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32.xml" ContentType="application/vnd.openxmlformats-officedocument.drawing+xml"/>
  <Override PartName="/xl/comments32.xml" ContentType="application/vnd.openxmlformats-officedocument.spreadsheetml.comments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19425" windowHeight="10305" firstSheet="10" activeTab="27"/>
  </bookViews>
  <sheets>
    <sheet name="1" sheetId="37" r:id="rId1"/>
    <sheet name="2" sheetId="39" r:id="rId2"/>
    <sheet name="3" sheetId="41" r:id="rId3"/>
    <sheet name="4" sheetId="42" r:id="rId4"/>
    <sheet name="5" sheetId="43" r:id="rId5"/>
    <sheet name="6" sheetId="44" r:id="rId6"/>
    <sheet name="7" sheetId="45" r:id="rId7"/>
    <sheet name="8" sheetId="46" r:id="rId8"/>
    <sheet name="9" sheetId="47" r:id="rId9"/>
    <sheet name="10" sheetId="51" r:id="rId10"/>
    <sheet name="11" sheetId="52" r:id="rId11"/>
    <sheet name="12" sheetId="53" r:id="rId12"/>
    <sheet name="13" sheetId="54" r:id="rId13"/>
    <sheet name="14" sheetId="55" r:id="rId14"/>
    <sheet name="15" sheetId="56" r:id="rId15"/>
    <sheet name="16" sheetId="57" r:id="rId16"/>
    <sheet name="17" sheetId="58" r:id="rId17"/>
    <sheet name="18" sheetId="59" r:id="rId18"/>
    <sheet name="19" sheetId="60" r:id="rId19"/>
    <sheet name="20" sheetId="61" r:id="rId20"/>
    <sheet name="21" sheetId="62" r:id="rId21"/>
    <sheet name="22" sheetId="63" r:id="rId22"/>
    <sheet name="23" sheetId="64" r:id="rId23"/>
    <sheet name="24" sheetId="65" r:id="rId24"/>
    <sheet name="25" sheetId="66" r:id="rId25"/>
    <sheet name="26" sheetId="68" r:id="rId26"/>
    <sheet name="27" sheetId="69" r:id="rId27"/>
    <sheet name="28" sheetId="70" r:id="rId28"/>
    <sheet name="29" sheetId="72" r:id="rId29"/>
    <sheet name="30" sheetId="73" r:id="rId30"/>
    <sheet name="31" sheetId="74" r:id="rId31"/>
    <sheet name="Sample_new" sheetId="36" r:id="rId32"/>
    <sheet name="Sheet7" sheetId="48" r:id="rId33"/>
    <sheet name="Sheet8" sheetId="49" r:id="rId34"/>
    <sheet name="Sheet9" sheetId="50" r:id="rId35"/>
    <sheet name="Sheet15" sheetId="67" r:id="rId36"/>
  </sheets>
  <externalReferences>
    <externalReference r:id="rId37"/>
  </externalReferences>
  <definedNames>
    <definedName name="IPP" localSheetId="0">#REF!</definedName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">#REF!</definedName>
    <definedName name="IPP" localSheetId="29">#REF!</definedName>
    <definedName name="IPP" localSheetId="30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31">#REF!</definedName>
    <definedName name="IPP">#REF!</definedName>
    <definedName name="ippp" localSheetId="0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">#REF!</definedName>
    <definedName name="ippp" localSheetId="29">#REF!</definedName>
    <definedName name="ippp" localSheetId="30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31">#REF!</definedName>
    <definedName name="ippp">#REF!</definedName>
    <definedName name="sdasdf" localSheetId="0">#REF!</definedName>
    <definedName name="sdasdf" localSheetId="9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">#REF!</definedName>
    <definedName name="sdasdf" localSheetId="29">#REF!</definedName>
    <definedName name="sdasdf" localSheetId="30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31">#REF!</definedName>
    <definedName name="sdasdf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100" i="74" l="1"/>
  <c r="Z99" i="74"/>
  <c r="Y99" i="74"/>
  <c r="W100" i="74"/>
  <c r="W99" i="74"/>
  <c r="V100" i="74"/>
  <c r="V99" i="74"/>
  <c r="L100" i="74" l="1"/>
  <c r="I100" i="74"/>
  <c r="H100" i="74"/>
  <c r="G100" i="74"/>
  <c r="G98" i="74" s="1"/>
  <c r="G85" i="74"/>
  <c r="G84" i="74"/>
  <c r="G87" i="74" s="1"/>
  <c r="G83" i="74"/>
  <c r="G82" i="74"/>
  <c r="G81" i="74"/>
  <c r="G72" i="74"/>
  <c r="G88" i="74" s="1"/>
  <c r="G60" i="74"/>
  <c r="G56" i="74"/>
  <c r="G42" i="74"/>
  <c r="G38" i="74"/>
  <c r="E100" i="74"/>
  <c r="AF260" i="74"/>
  <c r="AE260" i="74"/>
  <c r="AD260" i="74"/>
  <c r="AC260" i="74"/>
  <c r="AB260" i="74"/>
  <c r="AA260" i="74"/>
  <c r="Z260" i="74"/>
  <c r="Y260" i="74"/>
  <c r="X260" i="74"/>
  <c r="W260" i="74"/>
  <c r="V260" i="74"/>
  <c r="U260" i="74"/>
  <c r="T260" i="74"/>
  <c r="S260" i="74"/>
  <c r="R260" i="74"/>
  <c r="Q260" i="74"/>
  <c r="P260" i="74"/>
  <c r="O260" i="74"/>
  <c r="N260" i="74"/>
  <c r="M260" i="74"/>
  <c r="L260" i="74"/>
  <c r="K260" i="74"/>
  <c r="J260" i="74"/>
  <c r="I260" i="74"/>
  <c r="H260" i="74"/>
  <c r="G260" i="74"/>
  <c r="F260" i="74"/>
  <c r="E260" i="74"/>
  <c r="D260" i="74"/>
  <c r="C260" i="74"/>
  <c r="B260" i="74"/>
  <c r="A260" i="74"/>
  <c r="AF259" i="74"/>
  <c r="AE259" i="74"/>
  <c r="AD259" i="74"/>
  <c r="AC259" i="74"/>
  <c r="AB259" i="74"/>
  <c r="AA259" i="74"/>
  <c r="Z259" i="74"/>
  <c r="Y259" i="74"/>
  <c r="X259" i="74"/>
  <c r="W259" i="74"/>
  <c r="V259" i="74"/>
  <c r="U259" i="74"/>
  <c r="T259" i="74"/>
  <c r="S259" i="74"/>
  <c r="R259" i="74"/>
  <c r="Q259" i="74"/>
  <c r="P259" i="74"/>
  <c r="O259" i="74"/>
  <c r="N259" i="74"/>
  <c r="M259" i="74"/>
  <c r="L259" i="74"/>
  <c r="K259" i="74"/>
  <c r="J259" i="74"/>
  <c r="I259" i="74"/>
  <c r="H259" i="74"/>
  <c r="G259" i="74"/>
  <c r="F259" i="74"/>
  <c r="E259" i="74"/>
  <c r="D259" i="74"/>
  <c r="C259" i="74"/>
  <c r="B259" i="74"/>
  <c r="A259" i="74"/>
  <c r="AF258" i="74"/>
  <c r="AE258" i="74"/>
  <c r="AD258" i="74"/>
  <c r="AC258" i="74"/>
  <c r="AB258" i="74"/>
  <c r="AA258" i="74"/>
  <c r="Z258" i="74"/>
  <c r="Y258" i="74"/>
  <c r="X258" i="74"/>
  <c r="W258" i="74"/>
  <c r="V258" i="74"/>
  <c r="U258" i="74"/>
  <c r="T258" i="74"/>
  <c r="S258" i="74"/>
  <c r="R258" i="74"/>
  <c r="Q258" i="74"/>
  <c r="P258" i="74"/>
  <c r="O258" i="74"/>
  <c r="N258" i="74"/>
  <c r="M258" i="74"/>
  <c r="L258" i="74"/>
  <c r="K258" i="74"/>
  <c r="J258" i="74"/>
  <c r="I258" i="74"/>
  <c r="H258" i="74"/>
  <c r="G258" i="74"/>
  <c r="F258" i="74"/>
  <c r="E258" i="74"/>
  <c r="D258" i="74"/>
  <c r="C258" i="74"/>
  <c r="B258" i="74"/>
  <c r="A258" i="74"/>
  <c r="AF257" i="74"/>
  <c r="AE257" i="74"/>
  <c r="AD257" i="74"/>
  <c r="AC257" i="74"/>
  <c r="AB257" i="74"/>
  <c r="AA257" i="74"/>
  <c r="Z257" i="74"/>
  <c r="Y257" i="74"/>
  <c r="X257" i="74"/>
  <c r="W257" i="74"/>
  <c r="V257" i="74"/>
  <c r="U257" i="74"/>
  <c r="T257" i="74"/>
  <c r="S257" i="74"/>
  <c r="R257" i="74"/>
  <c r="Q257" i="74"/>
  <c r="P257" i="74"/>
  <c r="O257" i="74"/>
  <c r="N257" i="74"/>
  <c r="M257" i="74"/>
  <c r="L257" i="74"/>
  <c r="K257" i="74"/>
  <c r="J257" i="74"/>
  <c r="I257" i="74"/>
  <c r="H257" i="74"/>
  <c r="G257" i="74"/>
  <c r="F257" i="74"/>
  <c r="E257" i="74"/>
  <c r="D257" i="74"/>
  <c r="C257" i="74"/>
  <c r="B257" i="74"/>
  <c r="A257" i="74"/>
  <c r="AE256" i="74"/>
  <c r="AD256" i="74"/>
  <c r="AC256" i="74"/>
  <c r="AB256" i="74"/>
  <c r="AA256" i="74"/>
  <c r="Z256" i="74"/>
  <c r="Y256" i="74"/>
  <c r="X256" i="74"/>
  <c r="W256" i="74"/>
  <c r="V256" i="74"/>
  <c r="U256" i="74"/>
  <c r="T256" i="74"/>
  <c r="S256" i="74"/>
  <c r="R256" i="74"/>
  <c r="Q256" i="74"/>
  <c r="P256" i="74"/>
  <c r="D256" i="74"/>
  <c r="B256" i="74"/>
  <c r="S231" i="74"/>
  <c r="AG221" i="74"/>
  <c r="AG55" i="74" s="1"/>
  <c r="AG56" i="74" s="1"/>
  <c r="AG3" i="74" s="1"/>
  <c r="AF221" i="74"/>
  <c r="AE221" i="74"/>
  <c r="AD221" i="74"/>
  <c r="AC221" i="74"/>
  <c r="AB221" i="74"/>
  <c r="AA221" i="74"/>
  <c r="Z221" i="74"/>
  <c r="Y221" i="74"/>
  <c r="X221" i="74"/>
  <c r="W221" i="74"/>
  <c r="V221" i="74"/>
  <c r="U221" i="74"/>
  <c r="T221" i="74"/>
  <c r="S221" i="74"/>
  <c r="R221" i="74"/>
  <c r="Q221" i="74"/>
  <c r="C221" i="74"/>
  <c r="E220" i="74"/>
  <c r="F220" i="74" s="1"/>
  <c r="D220" i="74"/>
  <c r="C256" i="74" s="1"/>
  <c r="B220" i="74"/>
  <c r="AF256" i="74" s="1"/>
  <c r="E219" i="74"/>
  <c r="F219" i="74" s="1"/>
  <c r="G219" i="74" s="1"/>
  <c r="H219" i="74" s="1"/>
  <c r="I219" i="74" s="1"/>
  <c r="J219" i="74" s="1"/>
  <c r="K219" i="74" s="1"/>
  <c r="L219" i="74" s="1"/>
  <c r="M219" i="74" s="1"/>
  <c r="N219" i="74" s="1"/>
  <c r="O219" i="74" s="1"/>
  <c r="P219" i="74" s="1"/>
  <c r="D219" i="74"/>
  <c r="B219" i="74"/>
  <c r="D218" i="74"/>
  <c r="D221" i="74" s="1"/>
  <c r="B218" i="74"/>
  <c r="E217" i="74"/>
  <c r="F217" i="74" s="1"/>
  <c r="G217" i="74" s="1"/>
  <c r="H217" i="74" s="1"/>
  <c r="I217" i="74" s="1"/>
  <c r="J217" i="74" s="1"/>
  <c r="K217" i="74" s="1"/>
  <c r="L217" i="74" s="1"/>
  <c r="M217" i="74" s="1"/>
  <c r="N217" i="74" s="1"/>
  <c r="O217" i="74" s="1"/>
  <c r="P217" i="74" s="1"/>
  <c r="D217" i="74"/>
  <c r="B217" i="74"/>
  <c r="E216" i="74"/>
  <c r="F216" i="74" s="1"/>
  <c r="G216" i="74" s="1"/>
  <c r="H216" i="74" s="1"/>
  <c r="I216" i="74" s="1"/>
  <c r="J216" i="74" s="1"/>
  <c r="K216" i="74" s="1"/>
  <c r="L216" i="74" s="1"/>
  <c r="M216" i="74" s="1"/>
  <c r="N216" i="74" s="1"/>
  <c r="O216" i="74" s="1"/>
  <c r="P216" i="74" s="1"/>
  <c r="D216" i="74"/>
  <c r="B216" i="74"/>
  <c r="E215" i="74"/>
  <c r="F215" i="74" s="1"/>
  <c r="D215" i="74"/>
  <c r="B215" i="74"/>
  <c r="B221" i="74" s="1"/>
  <c r="AG213" i="74"/>
  <c r="AF213" i="74"/>
  <c r="AE213" i="74"/>
  <c r="AD213" i="74"/>
  <c r="AC213" i="74"/>
  <c r="AB213" i="74"/>
  <c r="AA213" i="74"/>
  <c r="Z213" i="74"/>
  <c r="Y213" i="74"/>
  <c r="X213" i="74"/>
  <c r="W213" i="74"/>
  <c r="V213" i="74"/>
  <c r="U213" i="74"/>
  <c r="T213" i="74"/>
  <c r="S213" i="74"/>
  <c r="R213" i="74"/>
  <c r="Q213" i="74"/>
  <c r="P213" i="74"/>
  <c r="O213" i="74"/>
  <c r="N213" i="74"/>
  <c r="M213" i="74"/>
  <c r="L213" i="74"/>
  <c r="K213" i="74"/>
  <c r="J213" i="74"/>
  <c r="I213" i="74"/>
  <c r="H213" i="74"/>
  <c r="G213" i="74"/>
  <c r="F213" i="74"/>
  <c r="E213" i="74"/>
  <c r="D213" i="74"/>
  <c r="C213" i="74"/>
  <c r="B213" i="74"/>
  <c r="AH106" i="74"/>
  <c r="AI106" i="74" s="1"/>
  <c r="AH105" i="74"/>
  <c r="AI105" i="74" s="1"/>
  <c r="AH104" i="74"/>
  <c r="AI104" i="74" s="1"/>
  <c r="AH103" i="74"/>
  <c r="AI103" i="74" s="1"/>
  <c r="AH102" i="74"/>
  <c r="AI102" i="74" s="1"/>
  <c r="AH101" i="74"/>
  <c r="AI101" i="74" s="1"/>
  <c r="AH100" i="74"/>
  <c r="AI100" i="74" s="1"/>
  <c r="AH99" i="74"/>
  <c r="AI99" i="74" s="1"/>
  <c r="AF98" i="74"/>
  <c r="AE98" i="74"/>
  <c r="AD98" i="74"/>
  <c r="AC98" i="74"/>
  <c r="AB98" i="74"/>
  <c r="AA98" i="74"/>
  <c r="Z98" i="74"/>
  <c r="Y98" i="74"/>
  <c r="X98" i="74"/>
  <c r="W98" i="74"/>
  <c r="V98" i="74"/>
  <c r="U98" i="74"/>
  <c r="T98" i="74"/>
  <c r="S98" i="74"/>
  <c r="R98" i="74"/>
  <c r="Q98" i="74"/>
  <c r="E98" i="74"/>
  <c r="D98" i="74"/>
  <c r="C98" i="74"/>
  <c r="AI97" i="74"/>
  <c r="AH97" i="74"/>
  <c r="AI96" i="74"/>
  <c r="AH96" i="74"/>
  <c r="AI95" i="74"/>
  <c r="AH95" i="74"/>
  <c r="AI94" i="74"/>
  <c r="AH94" i="74"/>
  <c r="AI93" i="74"/>
  <c r="AH93" i="74"/>
  <c r="AI92" i="74"/>
  <c r="AH92" i="74"/>
  <c r="AI91" i="74"/>
  <c r="AH91" i="74"/>
  <c r="AI90" i="74"/>
  <c r="AH90" i="74"/>
  <c r="AI89" i="74"/>
  <c r="AH89" i="74"/>
  <c r="AI86" i="74"/>
  <c r="AH86" i="74"/>
  <c r="AF85" i="74"/>
  <c r="AE85" i="74"/>
  <c r="AD85" i="74"/>
  <c r="AC85" i="74"/>
  <c r="AB85" i="74"/>
  <c r="AA85" i="74"/>
  <c r="Z85" i="74"/>
  <c r="Y85" i="74"/>
  <c r="X85" i="74"/>
  <c r="W85" i="74"/>
  <c r="V85" i="74"/>
  <c r="U85" i="74"/>
  <c r="T85" i="74"/>
  <c r="S85" i="74"/>
  <c r="R85" i="74"/>
  <c r="Q85" i="74"/>
  <c r="P85" i="74"/>
  <c r="O85" i="74"/>
  <c r="N85" i="74"/>
  <c r="M85" i="74"/>
  <c r="L85" i="74"/>
  <c r="K85" i="74"/>
  <c r="J85" i="74"/>
  <c r="I85" i="74"/>
  <c r="H85" i="74"/>
  <c r="F85" i="74"/>
  <c r="E85" i="74"/>
  <c r="D85" i="74"/>
  <c r="C85" i="74"/>
  <c r="B85" i="74"/>
  <c r="AF84" i="74"/>
  <c r="AE84" i="74"/>
  <c r="AD84" i="74"/>
  <c r="AC84" i="74"/>
  <c r="AB84" i="74"/>
  <c r="AA84" i="74"/>
  <c r="Z84" i="74"/>
  <c r="Y84" i="74"/>
  <c r="X84" i="74"/>
  <c r="W84" i="74"/>
  <c r="V84" i="74"/>
  <c r="U84" i="74"/>
  <c r="U87" i="74" s="1"/>
  <c r="T84" i="74"/>
  <c r="S84" i="74"/>
  <c r="R84" i="74"/>
  <c r="Q84" i="74"/>
  <c r="P84" i="74"/>
  <c r="O84" i="74"/>
  <c r="N84" i="74"/>
  <c r="M84" i="74"/>
  <c r="M87" i="74" s="1"/>
  <c r="L84" i="74"/>
  <c r="K84" i="74"/>
  <c r="J84" i="74"/>
  <c r="I84" i="74"/>
  <c r="H84" i="74"/>
  <c r="F84" i="74"/>
  <c r="E84" i="74"/>
  <c r="D84" i="74"/>
  <c r="C84" i="74"/>
  <c r="B84" i="74"/>
  <c r="AF83" i="74"/>
  <c r="AE83" i="74"/>
  <c r="AD83" i="74"/>
  <c r="AC83" i="74"/>
  <c r="AB83" i="74"/>
  <c r="AA83" i="74"/>
  <c r="Z83" i="74"/>
  <c r="Z87" i="74" s="1"/>
  <c r="Y83" i="74"/>
  <c r="X83" i="74"/>
  <c r="W83" i="74"/>
  <c r="V83" i="74"/>
  <c r="U83" i="74"/>
  <c r="T83" i="74"/>
  <c r="S83" i="74"/>
  <c r="R83" i="74"/>
  <c r="Q83" i="74"/>
  <c r="P83" i="74"/>
  <c r="O83" i="74"/>
  <c r="N83" i="74"/>
  <c r="M83" i="74"/>
  <c r="L83" i="74"/>
  <c r="K83" i="74"/>
  <c r="J83" i="74"/>
  <c r="I83" i="74"/>
  <c r="H83" i="74"/>
  <c r="F83" i="74"/>
  <c r="E83" i="74"/>
  <c r="D83" i="74"/>
  <c r="C83" i="74"/>
  <c r="B83" i="74"/>
  <c r="AF82" i="74"/>
  <c r="AE82" i="74"/>
  <c r="AD82" i="74"/>
  <c r="AC82" i="74"/>
  <c r="AB82" i="74"/>
  <c r="AA82" i="74"/>
  <c r="Z82" i="74"/>
  <c r="Y82" i="74"/>
  <c r="X82" i="74"/>
  <c r="W82" i="74"/>
  <c r="V82" i="74"/>
  <c r="U82" i="74"/>
  <c r="T82" i="74"/>
  <c r="S82" i="74"/>
  <c r="R82" i="74"/>
  <c r="Q82" i="74"/>
  <c r="P82" i="74"/>
  <c r="O82" i="74"/>
  <c r="N82" i="74"/>
  <c r="M82" i="74"/>
  <c r="L82" i="74"/>
  <c r="K82" i="74"/>
  <c r="J82" i="74"/>
  <c r="I82" i="74"/>
  <c r="H82" i="74"/>
  <c r="F82" i="74"/>
  <c r="E82" i="74"/>
  <c r="D82" i="74"/>
  <c r="C82" i="74"/>
  <c r="B82" i="74"/>
  <c r="AF81" i="74"/>
  <c r="AE81" i="74"/>
  <c r="AD81" i="74"/>
  <c r="AC81" i="74"/>
  <c r="AB81" i="74"/>
  <c r="AA81" i="74"/>
  <c r="Z81" i="74"/>
  <c r="Y81" i="74"/>
  <c r="X81" i="74"/>
  <c r="W81" i="74"/>
  <c r="W87" i="74" s="1"/>
  <c r="V81" i="74"/>
  <c r="U81" i="74"/>
  <c r="T81" i="74"/>
  <c r="T87" i="74" s="1"/>
  <c r="S81" i="74"/>
  <c r="R81" i="74"/>
  <c r="Q81" i="74"/>
  <c r="P81" i="74"/>
  <c r="O81" i="74"/>
  <c r="N81" i="74"/>
  <c r="M81" i="74"/>
  <c r="L81" i="74"/>
  <c r="K81" i="74"/>
  <c r="K87" i="74" s="1"/>
  <c r="J81" i="74"/>
  <c r="J87" i="74" s="1"/>
  <c r="I81" i="74"/>
  <c r="I87" i="74" s="1"/>
  <c r="H81" i="74"/>
  <c r="F81" i="74"/>
  <c r="F87" i="74" s="1"/>
  <c r="E81" i="74"/>
  <c r="D81" i="74"/>
  <c r="C81" i="74"/>
  <c r="B81" i="74"/>
  <c r="AI78" i="74"/>
  <c r="AH78" i="74"/>
  <c r="AI76" i="74"/>
  <c r="AH76" i="74"/>
  <c r="AG76" i="74"/>
  <c r="AG79" i="74" s="1"/>
  <c r="AI75" i="74"/>
  <c r="AH75" i="74"/>
  <c r="AI74" i="74"/>
  <c r="AH74" i="74"/>
  <c r="AI73" i="74"/>
  <c r="AH73" i="74"/>
  <c r="AG72" i="74"/>
  <c r="AF72" i="74"/>
  <c r="AE5" i="74" s="1"/>
  <c r="AE72" i="74"/>
  <c r="AD72" i="74"/>
  <c r="AC5" i="74" s="1"/>
  <c r="AC72" i="74"/>
  <c r="AB5" i="74" s="1"/>
  <c r="AB72" i="74"/>
  <c r="AA72" i="74"/>
  <c r="Z72" i="74"/>
  <c r="Y5" i="74" s="1"/>
  <c r="Y72" i="74"/>
  <c r="X5" i="74" s="1"/>
  <c r="X72" i="74"/>
  <c r="W5" i="74" s="1"/>
  <c r="W72" i="74"/>
  <c r="W88" i="74" s="1"/>
  <c r="V72" i="74"/>
  <c r="U72" i="74"/>
  <c r="T5" i="74" s="1"/>
  <c r="T72" i="74"/>
  <c r="S5" i="74" s="1"/>
  <c r="S72" i="74"/>
  <c r="R5" i="74" s="1"/>
  <c r="R72" i="74"/>
  <c r="Q72" i="74"/>
  <c r="P5" i="74" s="1"/>
  <c r="P72" i="74"/>
  <c r="O5" i="74" s="1"/>
  <c r="O72" i="74"/>
  <c r="N72" i="74"/>
  <c r="M72" i="74"/>
  <c r="M88" i="74" s="1"/>
  <c r="L72" i="74"/>
  <c r="K5" i="74" s="1"/>
  <c r="K72" i="74"/>
  <c r="J5" i="74" s="1"/>
  <c r="J72" i="74"/>
  <c r="I72" i="74"/>
  <c r="H5" i="74" s="1"/>
  <c r="H72" i="74"/>
  <c r="G5" i="74" s="1"/>
  <c r="F72" i="74"/>
  <c r="F88" i="74" s="1"/>
  <c r="E72" i="74"/>
  <c r="D72" i="74"/>
  <c r="C72" i="74"/>
  <c r="B5" i="74" s="1"/>
  <c r="B72" i="74"/>
  <c r="AF5" i="74" s="1"/>
  <c r="AI71" i="74"/>
  <c r="AH71" i="74"/>
  <c r="AI70" i="74"/>
  <c r="AH70" i="74"/>
  <c r="AI69" i="74"/>
  <c r="AH69" i="74"/>
  <c r="AI68" i="74"/>
  <c r="AH68" i="74"/>
  <c r="AI67" i="74"/>
  <c r="AH67" i="74"/>
  <c r="AI66" i="74"/>
  <c r="AH66" i="74"/>
  <c r="AI65" i="74"/>
  <c r="AH65" i="74"/>
  <c r="AI64" i="74"/>
  <c r="AH64" i="74"/>
  <c r="AI63" i="74"/>
  <c r="AH63" i="74"/>
  <c r="AI62" i="74"/>
  <c r="AH62" i="74"/>
  <c r="AI61" i="74"/>
  <c r="AH61" i="74"/>
  <c r="AG60" i="74"/>
  <c r="AG4" i="74" s="1"/>
  <c r="AF60" i="74"/>
  <c r="AE60" i="74"/>
  <c r="AD60" i="74"/>
  <c r="AC60" i="74"/>
  <c r="AB60" i="74"/>
  <c r="AA60" i="74"/>
  <c r="Z60" i="74"/>
  <c r="Y60" i="74"/>
  <c r="X60" i="74"/>
  <c r="W60" i="74"/>
  <c r="V60" i="74"/>
  <c r="U60" i="74"/>
  <c r="T60" i="74"/>
  <c r="S60" i="74"/>
  <c r="R60" i="74"/>
  <c r="Q60" i="74"/>
  <c r="P60" i="74"/>
  <c r="O60" i="74"/>
  <c r="N60" i="74"/>
  <c r="M60" i="74"/>
  <c r="L60" i="74"/>
  <c r="K60" i="74"/>
  <c r="J60" i="74"/>
  <c r="I60" i="74"/>
  <c r="H60" i="74"/>
  <c r="F60" i="74"/>
  <c r="E60" i="74"/>
  <c r="D60" i="74"/>
  <c r="C60" i="74"/>
  <c r="B60" i="74"/>
  <c r="AI59" i="74"/>
  <c r="AH59" i="74"/>
  <c r="AI58" i="74"/>
  <c r="AH58" i="74"/>
  <c r="AI57" i="74"/>
  <c r="AH57" i="74"/>
  <c r="AF56" i="74"/>
  <c r="AE56" i="74"/>
  <c r="AD56" i="74"/>
  <c r="AC56" i="74"/>
  <c r="AB56" i="74"/>
  <c r="AA56" i="74"/>
  <c r="Z56" i="74"/>
  <c r="Y56" i="74"/>
  <c r="X56" i="74"/>
  <c r="W56" i="74"/>
  <c r="V56" i="74"/>
  <c r="U56" i="74"/>
  <c r="T56" i="74"/>
  <c r="S56" i="74"/>
  <c r="R56" i="74"/>
  <c r="Q56" i="74"/>
  <c r="P56" i="74"/>
  <c r="O56" i="74"/>
  <c r="N56" i="74"/>
  <c r="M56" i="74"/>
  <c r="L56" i="74"/>
  <c r="K56" i="74"/>
  <c r="J56" i="74"/>
  <c r="I56" i="74"/>
  <c r="H56" i="74"/>
  <c r="F56" i="74"/>
  <c r="E56" i="74"/>
  <c r="D56" i="74"/>
  <c r="C56" i="74"/>
  <c r="B56" i="74"/>
  <c r="AI55" i="74"/>
  <c r="AH55" i="74"/>
  <c r="AI54" i="74"/>
  <c r="AH54" i="74"/>
  <c r="AI53" i="74"/>
  <c r="AH53" i="74"/>
  <c r="AI52" i="74"/>
  <c r="AH52" i="74"/>
  <c r="AI51" i="74"/>
  <c r="AH51" i="74"/>
  <c r="AI50" i="74"/>
  <c r="AH50" i="74"/>
  <c r="AI49" i="74"/>
  <c r="AH49" i="74"/>
  <c r="AI48" i="74"/>
  <c r="AH48" i="74"/>
  <c r="AI47" i="74"/>
  <c r="AH47" i="74"/>
  <c r="AI46" i="74"/>
  <c r="AH46" i="74"/>
  <c r="AI45" i="74"/>
  <c r="AH45" i="74"/>
  <c r="AI44" i="74"/>
  <c r="AH44" i="74"/>
  <c r="AI43" i="74"/>
  <c r="AH43" i="74"/>
  <c r="AG42" i="74"/>
  <c r="AF42" i="74"/>
  <c r="AE42" i="74"/>
  <c r="AD42" i="74"/>
  <c r="AC42" i="74"/>
  <c r="AB42" i="74"/>
  <c r="AA42" i="74"/>
  <c r="Z42" i="74"/>
  <c r="Y42" i="74"/>
  <c r="X42" i="74"/>
  <c r="W42" i="74"/>
  <c r="V42" i="74"/>
  <c r="U42" i="74"/>
  <c r="T42" i="74"/>
  <c r="S42" i="74"/>
  <c r="R42" i="74"/>
  <c r="Q42" i="74"/>
  <c r="P42" i="74"/>
  <c r="O42" i="74"/>
  <c r="N42" i="74"/>
  <c r="M42" i="74"/>
  <c r="L42" i="74"/>
  <c r="K42" i="74"/>
  <c r="J42" i="74"/>
  <c r="I42" i="74"/>
  <c r="H42" i="74"/>
  <c r="F42" i="74"/>
  <c r="E42" i="74"/>
  <c r="D42" i="74"/>
  <c r="C42" i="74"/>
  <c r="B42" i="74"/>
  <c r="AI41" i="74"/>
  <c r="AH41" i="74"/>
  <c r="AI40" i="74"/>
  <c r="AH40" i="74"/>
  <c r="AI39" i="74"/>
  <c r="AH39" i="74"/>
  <c r="AG38" i="74"/>
  <c r="AG77" i="74" s="1"/>
  <c r="AF38" i="74"/>
  <c r="AE38" i="74"/>
  <c r="AD38" i="74"/>
  <c r="AC38" i="74"/>
  <c r="AB38" i="74"/>
  <c r="AA38" i="74"/>
  <c r="Z38" i="74"/>
  <c r="Y38" i="74"/>
  <c r="X38" i="74"/>
  <c r="W38" i="74"/>
  <c r="V38" i="74"/>
  <c r="U38" i="74"/>
  <c r="T38" i="74"/>
  <c r="S38" i="74"/>
  <c r="R38" i="74"/>
  <c r="Q38" i="74"/>
  <c r="P38" i="74"/>
  <c r="O38" i="74"/>
  <c r="N38" i="74"/>
  <c r="M38" i="74"/>
  <c r="L38" i="74"/>
  <c r="K38" i="74"/>
  <c r="J38" i="74"/>
  <c r="I38" i="74"/>
  <c r="H38" i="74"/>
  <c r="F38" i="74"/>
  <c r="F77" i="74" s="1"/>
  <c r="F79" i="74" s="1"/>
  <c r="E38" i="74"/>
  <c r="D38" i="74"/>
  <c r="C38" i="74"/>
  <c r="B38" i="74"/>
  <c r="AI37" i="74"/>
  <c r="AH37" i="74"/>
  <c r="AI36" i="74"/>
  <c r="AH36" i="74"/>
  <c r="AI35" i="74"/>
  <c r="AH35" i="74"/>
  <c r="AI34" i="74"/>
  <c r="AH34" i="74"/>
  <c r="AI33" i="74"/>
  <c r="AH33" i="74"/>
  <c r="AI32" i="74"/>
  <c r="AH32" i="74"/>
  <c r="AI31" i="74"/>
  <c r="AH31" i="74"/>
  <c r="AI30" i="74"/>
  <c r="AH30" i="74"/>
  <c r="AI29" i="74"/>
  <c r="AH29" i="74"/>
  <c r="AI28" i="74"/>
  <c r="AH28" i="74"/>
  <c r="AI27" i="74"/>
  <c r="AH27" i="74"/>
  <c r="AI26" i="74"/>
  <c r="AH26" i="74"/>
  <c r="AI25" i="74"/>
  <c r="AH25" i="74"/>
  <c r="AI24" i="74"/>
  <c r="AH24" i="74"/>
  <c r="AI23" i="74"/>
  <c r="AH23" i="74"/>
  <c r="AI22" i="74"/>
  <c r="AH22" i="74"/>
  <c r="AI21" i="74"/>
  <c r="AH21" i="74"/>
  <c r="AI20" i="74"/>
  <c r="AH20" i="74"/>
  <c r="AI19" i="74"/>
  <c r="AH19" i="74"/>
  <c r="AI18" i="74"/>
  <c r="AH18" i="74"/>
  <c r="AI17" i="74"/>
  <c r="AH17" i="74"/>
  <c r="AI16" i="74"/>
  <c r="AH16" i="74"/>
  <c r="AI15" i="74"/>
  <c r="AH15" i="74"/>
  <c r="AI14" i="74"/>
  <c r="AH14" i="74"/>
  <c r="AI13" i="74"/>
  <c r="AH13" i="74"/>
  <c r="AI12" i="74"/>
  <c r="AH12" i="74"/>
  <c r="AI11" i="74"/>
  <c r="AH11" i="74"/>
  <c r="Z5" i="74"/>
  <c r="V5" i="74"/>
  <c r="N5" i="74"/>
  <c r="F5" i="74"/>
  <c r="E5" i="74"/>
  <c r="K4" i="74"/>
  <c r="B4" i="74"/>
  <c r="S232" i="74" s="1"/>
  <c r="AG2" i="74"/>
  <c r="AG6" i="74" s="1"/>
  <c r="AC100" i="73"/>
  <c r="E4" i="74"/>
  <c r="AF87" i="74" l="1"/>
  <c r="AF88" i="74"/>
  <c r="AF77" i="74"/>
  <c r="AF79" i="74" s="1"/>
  <c r="AE87" i="74"/>
  <c r="AE88" i="74" s="1"/>
  <c r="AD5" i="74"/>
  <c r="AE77" i="74"/>
  <c r="AE79" i="74" s="1"/>
  <c r="AD87" i="74"/>
  <c r="AD88" i="74" s="1"/>
  <c r="AD77" i="74"/>
  <c r="AD79" i="74" s="1"/>
  <c r="AC87" i="74"/>
  <c r="AC88" i="74"/>
  <c r="AC77" i="74"/>
  <c r="AC79" i="74" s="1"/>
  <c r="AB87" i="74"/>
  <c r="AB88" i="74" s="1"/>
  <c r="AA5" i="74"/>
  <c r="AB77" i="74"/>
  <c r="AB79" i="74" s="1"/>
  <c r="AA87" i="74"/>
  <c r="AA77" i="74"/>
  <c r="AA79" i="74" s="1"/>
  <c r="Z77" i="74"/>
  <c r="Z79" i="74" s="1"/>
  <c r="Y87" i="74"/>
  <c r="Y77" i="74"/>
  <c r="Y79" i="74" s="1"/>
  <c r="X87" i="74"/>
  <c r="X88" i="74"/>
  <c r="X77" i="74"/>
  <c r="X79" i="74" s="1"/>
  <c r="W77" i="74"/>
  <c r="W79" i="74" s="1"/>
  <c r="V87" i="74"/>
  <c r="V88" i="74" s="1"/>
  <c r="U5" i="74"/>
  <c r="V77" i="74"/>
  <c r="V79" i="74" s="1"/>
  <c r="U88" i="74"/>
  <c r="U77" i="74"/>
  <c r="U79" i="74" s="1"/>
  <c r="T88" i="74"/>
  <c r="T77" i="74"/>
  <c r="T79" i="74" s="1"/>
  <c r="S87" i="74"/>
  <c r="S77" i="74"/>
  <c r="S79" i="74" s="1"/>
  <c r="R87" i="74"/>
  <c r="R88" i="74" s="1"/>
  <c r="R77" i="74"/>
  <c r="R79" i="74" s="1"/>
  <c r="Q87" i="74"/>
  <c r="Q77" i="74"/>
  <c r="Q79" i="74" s="1"/>
  <c r="P87" i="74"/>
  <c r="P88" i="74" s="1"/>
  <c r="P77" i="74"/>
  <c r="P79" i="74" s="1"/>
  <c r="O87" i="74"/>
  <c r="O88" i="74" s="1"/>
  <c r="O77" i="74"/>
  <c r="O79" i="74" s="1"/>
  <c r="AG235" i="74" s="1"/>
  <c r="N87" i="74"/>
  <c r="N88" i="74"/>
  <c r="M5" i="74"/>
  <c r="N77" i="74"/>
  <c r="N79" i="74" s="1"/>
  <c r="L5" i="74"/>
  <c r="M77" i="74"/>
  <c r="M79" i="74" s="1"/>
  <c r="AE235" i="74" s="1"/>
  <c r="L77" i="74"/>
  <c r="L79" i="74" s="1"/>
  <c r="AH81" i="74"/>
  <c r="L87" i="74"/>
  <c r="L88" i="74" s="1"/>
  <c r="AI83" i="74"/>
  <c r="K77" i="74"/>
  <c r="K79" i="74" s="1"/>
  <c r="B230" i="74" s="1"/>
  <c r="J88" i="74"/>
  <c r="J77" i="74"/>
  <c r="J79" i="74" s="1"/>
  <c r="J7" i="74" s="1"/>
  <c r="I77" i="74"/>
  <c r="I79" i="74" s="1"/>
  <c r="G77" i="74"/>
  <c r="G79" i="74" s="1"/>
  <c r="G80" i="74" s="1"/>
  <c r="H77" i="74"/>
  <c r="H79" i="74" s="1"/>
  <c r="H7" i="74" s="1"/>
  <c r="AI60" i="74"/>
  <c r="E87" i="74"/>
  <c r="AI81" i="74"/>
  <c r="E88" i="74"/>
  <c r="D5" i="74"/>
  <c r="E77" i="74"/>
  <c r="E79" i="74" s="1"/>
  <c r="E80" i="74" s="1"/>
  <c r="AI82" i="74"/>
  <c r="D87" i="74"/>
  <c r="D88" i="74" s="1"/>
  <c r="AI85" i="74"/>
  <c r="D77" i="74"/>
  <c r="D79" i="74" s="1"/>
  <c r="D80" i="74" s="1"/>
  <c r="C5" i="74"/>
  <c r="C87" i="74"/>
  <c r="AI84" i="74"/>
  <c r="C77" i="74"/>
  <c r="C79" i="74" s="1"/>
  <c r="U235" i="74" s="1"/>
  <c r="AI56" i="74"/>
  <c r="AH42" i="74"/>
  <c r="B87" i="74"/>
  <c r="B77" i="74"/>
  <c r="H4" i="74"/>
  <c r="AO235" i="74"/>
  <c r="W80" i="74"/>
  <c r="W7" i="74"/>
  <c r="H80" i="74"/>
  <c r="Z235" i="74"/>
  <c r="P80" i="74"/>
  <c r="AH235" i="74"/>
  <c r="P7" i="74"/>
  <c r="X80" i="74"/>
  <c r="AP235" i="74"/>
  <c r="X7" i="74"/>
  <c r="AF80" i="74"/>
  <c r="AX235" i="74"/>
  <c r="AF7" i="74"/>
  <c r="I80" i="74"/>
  <c r="AA235" i="74"/>
  <c r="I7" i="74"/>
  <c r="AI235" i="74"/>
  <c r="Q7" i="74"/>
  <c r="Q80" i="74"/>
  <c r="Y80" i="74"/>
  <c r="AQ235" i="74"/>
  <c r="Y7" i="74"/>
  <c r="E256" i="74"/>
  <c r="G220" i="74"/>
  <c r="Y235" i="74"/>
  <c r="G7" i="74"/>
  <c r="Z80" i="74"/>
  <c r="AR235" i="74"/>
  <c r="Z7" i="74"/>
  <c r="AA80" i="74"/>
  <c r="AS235" i="74"/>
  <c r="AA7" i="74"/>
  <c r="F98" i="74"/>
  <c r="G215" i="74"/>
  <c r="R80" i="74"/>
  <c r="AJ235" i="74"/>
  <c r="R7" i="74"/>
  <c r="S80" i="74"/>
  <c r="AK235" i="74"/>
  <c r="S7" i="74"/>
  <c r="L80" i="74"/>
  <c r="AD235" i="74"/>
  <c r="L7" i="74"/>
  <c r="T80" i="74"/>
  <c r="AL235" i="74"/>
  <c r="T7" i="74"/>
  <c r="AB80" i="74"/>
  <c r="AB7" i="74"/>
  <c r="AT235" i="74"/>
  <c r="AW235" i="74"/>
  <c r="AE80" i="74"/>
  <c r="AE7" i="74"/>
  <c r="AM235" i="74"/>
  <c r="U7" i="74"/>
  <c r="U80" i="74"/>
  <c r="AU235" i="74"/>
  <c r="AC7" i="74"/>
  <c r="AC80" i="74"/>
  <c r="J80" i="74"/>
  <c r="AB235" i="74"/>
  <c r="X235" i="74"/>
  <c r="F7" i="74"/>
  <c r="F80" i="74"/>
  <c r="AF235" i="74"/>
  <c r="N7" i="74"/>
  <c r="N80" i="74"/>
  <c r="AN235" i="74"/>
  <c r="V7" i="74"/>
  <c r="V80" i="74"/>
  <c r="AV235" i="74"/>
  <c r="AD7" i="74"/>
  <c r="AD80" i="74"/>
  <c r="C88" i="74"/>
  <c r="K88" i="74"/>
  <c r="S88" i="74"/>
  <c r="AA88" i="74"/>
  <c r="Q5" i="74"/>
  <c r="AI38" i="74"/>
  <c r="AI42" i="74"/>
  <c r="AH85" i="74"/>
  <c r="B98" i="74"/>
  <c r="D232" i="74"/>
  <c r="AH60" i="74"/>
  <c r="AH72" i="74"/>
  <c r="Y88" i="74"/>
  <c r="I5" i="74"/>
  <c r="Q88" i="74"/>
  <c r="H87" i="74"/>
  <c r="H88" i="74" s="1"/>
  <c r="AH56" i="74"/>
  <c r="AI72" i="74"/>
  <c r="AH82" i="74"/>
  <c r="B88" i="74"/>
  <c r="Z88" i="74"/>
  <c r="E218" i="74"/>
  <c r="F218" i="74" s="1"/>
  <c r="G218" i="74" s="1"/>
  <c r="H218" i="74" s="1"/>
  <c r="I218" i="74" s="1"/>
  <c r="J218" i="74" s="1"/>
  <c r="K218" i="74" s="1"/>
  <c r="L218" i="74" s="1"/>
  <c r="M218" i="74" s="1"/>
  <c r="N218" i="74" s="1"/>
  <c r="O218" i="74" s="1"/>
  <c r="P218" i="74" s="1"/>
  <c r="I88" i="74"/>
  <c r="AH83" i="74"/>
  <c r="AH38" i="74"/>
  <c r="AH84" i="74"/>
  <c r="O80" i="74" l="1"/>
  <c r="O7" i="74"/>
  <c r="M80" i="74"/>
  <c r="C230" i="74"/>
  <c r="M7" i="74"/>
  <c r="AC235" i="74"/>
  <c r="K7" i="74"/>
  <c r="K80" i="74"/>
  <c r="K6" i="74"/>
  <c r="E7" i="74"/>
  <c r="W235" i="74"/>
  <c r="AI87" i="74"/>
  <c r="V235" i="74"/>
  <c r="D7" i="74"/>
  <c r="AH77" i="74"/>
  <c r="C7" i="74"/>
  <c r="C80" i="74"/>
  <c r="AI77" i="74"/>
  <c r="B79" i="74"/>
  <c r="B7" i="74" s="1"/>
  <c r="AI88" i="74"/>
  <c r="AH88" i="74"/>
  <c r="F221" i="74"/>
  <c r="E221" i="74"/>
  <c r="AH87" i="74"/>
  <c r="H215" i="74"/>
  <c r="G221" i="74"/>
  <c r="F256" i="74"/>
  <c r="H220" i="74"/>
  <c r="A7" i="74" l="1"/>
  <c r="T235" i="74"/>
  <c r="B80" i="74"/>
  <c r="AH80" i="74"/>
  <c r="AH79" i="74"/>
  <c r="AI79" i="74"/>
  <c r="G256" i="74"/>
  <c r="I220" i="74"/>
  <c r="I215" i="74"/>
  <c r="H98" i="74"/>
  <c r="H221" i="74"/>
  <c r="H256" i="74" l="1"/>
  <c r="J220" i="74"/>
  <c r="I98" i="74"/>
  <c r="J215" i="74"/>
  <c r="I221" i="74"/>
  <c r="K220" i="74" l="1"/>
  <c r="I256" i="74"/>
  <c r="J221" i="74"/>
  <c r="K215" i="74"/>
  <c r="J98" i="74"/>
  <c r="K221" i="74" l="1"/>
  <c r="L215" i="74"/>
  <c r="K98" i="74"/>
  <c r="J256" i="74"/>
  <c r="L220" i="74"/>
  <c r="Y72" i="73"/>
  <c r="K256" i="74" l="1"/>
  <c r="M220" i="74"/>
  <c r="L221" i="74"/>
  <c r="L98" i="74"/>
  <c r="M215" i="74"/>
  <c r="L256" i="74" l="1"/>
  <c r="N220" i="74"/>
  <c r="N215" i="74"/>
  <c r="M98" i="74"/>
  <c r="M221" i="74"/>
  <c r="O215" i="74" l="1"/>
  <c r="N98" i="74"/>
  <c r="N221" i="74"/>
  <c r="O220" i="74"/>
  <c r="M256" i="74"/>
  <c r="N256" i="74" l="1"/>
  <c r="P220" i="74"/>
  <c r="O256" i="74" s="1"/>
  <c r="P215" i="74"/>
  <c r="O98" i="74"/>
  <c r="O221" i="74"/>
  <c r="P98" i="74" l="1"/>
  <c r="P221" i="74"/>
  <c r="AH98" i="74" l="1"/>
  <c r="AI98" i="74"/>
  <c r="L100" i="73" l="1"/>
  <c r="K100" i="73"/>
  <c r="J100" i="73"/>
  <c r="I100" i="73"/>
  <c r="H100" i="73"/>
  <c r="G100" i="73"/>
  <c r="F100" i="73"/>
  <c r="E100" i="73"/>
  <c r="D100" i="73"/>
  <c r="C100" i="73"/>
  <c r="B100" i="73"/>
  <c r="AF260" i="73"/>
  <c r="AE260" i="73"/>
  <c r="AD260" i="73"/>
  <c r="AC260" i="73"/>
  <c r="AB260" i="73"/>
  <c r="AA260" i="73"/>
  <c r="Z260" i="73"/>
  <c r="Y260" i="73"/>
  <c r="X260" i="73"/>
  <c r="W260" i="73"/>
  <c r="V260" i="73"/>
  <c r="U260" i="73"/>
  <c r="T260" i="73"/>
  <c r="S260" i="73"/>
  <c r="R260" i="73"/>
  <c r="Q260" i="73"/>
  <c r="P260" i="73"/>
  <c r="O260" i="73"/>
  <c r="N260" i="73"/>
  <c r="M260" i="73"/>
  <c r="L260" i="73"/>
  <c r="K260" i="73"/>
  <c r="J260" i="73"/>
  <c r="I260" i="73"/>
  <c r="H260" i="73"/>
  <c r="G260" i="73"/>
  <c r="F260" i="73"/>
  <c r="E260" i="73"/>
  <c r="D260" i="73"/>
  <c r="C260" i="73"/>
  <c r="B260" i="73"/>
  <c r="A260" i="73"/>
  <c r="AF259" i="73"/>
  <c r="AE259" i="73"/>
  <c r="AD259" i="73"/>
  <c r="AC259" i="73"/>
  <c r="AB259" i="73"/>
  <c r="AA259" i="73"/>
  <c r="Z259" i="73"/>
  <c r="Y259" i="73"/>
  <c r="X259" i="73"/>
  <c r="W259" i="73"/>
  <c r="V259" i="73"/>
  <c r="U259" i="73"/>
  <c r="T259" i="73"/>
  <c r="S259" i="73"/>
  <c r="R259" i="73"/>
  <c r="Q259" i="73"/>
  <c r="P259" i="73"/>
  <c r="O259" i="73"/>
  <c r="N259" i="73"/>
  <c r="M259" i="73"/>
  <c r="L259" i="73"/>
  <c r="K259" i="73"/>
  <c r="J259" i="73"/>
  <c r="I259" i="73"/>
  <c r="H259" i="73"/>
  <c r="G259" i="73"/>
  <c r="F259" i="73"/>
  <c r="E259" i="73"/>
  <c r="D259" i="73"/>
  <c r="C259" i="73"/>
  <c r="B259" i="73"/>
  <c r="A259" i="73"/>
  <c r="AF258" i="73"/>
  <c r="AE258" i="73"/>
  <c r="AD258" i="73"/>
  <c r="AC258" i="73"/>
  <c r="AB258" i="73"/>
  <c r="AA258" i="73"/>
  <c r="Z258" i="73"/>
  <c r="Y258" i="73"/>
  <c r="X258" i="73"/>
  <c r="W258" i="73"/>
  <c r="V258" i="73"/>
  <c r="U258" i="73"/>
  <c r="T258" i="73"/>
  <c r="S258" i="73"/>
  <c r="R258" i="73"/>
  <c r="Q258" i="73"/>
  <c r="P258" i="73"/>
  <c r="O258" i="73"/>
  <c r="N258" i="73"/>
  <c r="M258" i="73"/>
  <c r="L258" i="73"/>
  <c r="K258" i="73"/>
  <c r="J258" i="73"/>
  <c r="I258" i="73"/>
  <c r="H258" i="73"/>
  <c r="G258" i="73"/>
  <c r="F258" i="73"/>
  <c r="E258" i="73"/>
  <c r="D258" i="73"/>
  <c r="C258" i="73"/>
  <c r="B258" i="73"/>
  <c r="A258" i="73"/>
  <c r="AF257" i="73"/>
  <c r="AE257" i="73"/>
  <c r="AD257" i="73"/>
  <c r="AC257" i="73"/>
  <c r="AB257" i="73"/>
  <c r="AA257" i="73"/>
  <c r="Z257" i="73"/>
  <c r="Y257" i="73"/>
  <c r="X257" i="73"/>
  <c r="W257" i="73"/>
  <c r="V257" i="73"/>
  <c r="U257" i="73"/>
  <c r="T257" i="73"/>
  <c r="S257" i="73"/>
  <c r="R257" i="73"/>
  <c r="Q257" i="73"/>
  <c r="P257" i="73"/>
  <c r="O257" i="73"/>
  <c r="N257" i="73"/>
  <c r="M257" i="73"/>
  <c r="L257" i="73"/>
  <c r="K257" i="73"/>
  <c r="J257" i="73"/>
  <c r="I257" i="73"/>
  <c r="H257" i="73"/>
  <c r="G257" i="73"/>
  <c r="F257" i="73"/>
  <c r="E257" i="73"/>
  <c r="D257" i="73"/>
  <c r="C257" i="73"/>
  <c r="B257" i="73"/>
  <c r="A257" i="73"/>
  <c r="AE256" i="73"/>
  <c r="AD256" i="73"/>
  <c r="AC256" i="73"/>
  <c r="AB256" i="73"/>
  <c r="AA256" i="73"/>
  <c r="Z256" i="73"/>
  <c r="Y256" i="73"/>
  <c r="X256" i="73"/>
  <c r="W256" i="73"/>
  <c r="V256" i="73"/>
  <c r="U256" i="73"/>
  <c r="T256" i="73"/>
  <c r="S256" i="73"/>
  <c r="R256" i="73"/>
  <c r="Q256" i="73"/>
  <c r="P256" i="73"/>
  <c r="C256" i="73"/>
  <c r="B256" i="73"/>
  <c r="S231" i="73"/>
  <c r="AG221" i="73"/>
  <c r="AG55" i="73" s="1"/>
  <c r="AG56" i="73" s="1"/>
  <c r="AG3" i="73" s="1"/>
  <c r="AF221" i="73"/>
  <c r="AE221" i="73"/>
  <c r="AD221" i="73"/>
  <c r="AC221" i="73"/>
  <c r="AB221" i="73"/>
  <c r="AA221" i="73"/>
  <c r="Z221" i="73"/>
  <c r="Y221" i="73"/>
  <c r="X221" i="73"/>
  <c r="W221" i="73"/>
  <c r="V221" i="73"/>
  <c r="U221" i="73"/>
  <c r="T221" i="73"/>
  <c r="S221" i="73"/>
  <c r="R221" i="73"/>
  <c r="Q221" i="73"/>
  <c r="C221" i="73"/>
  <c r="D220" i="73"/>
  <c r="E220" i="73" s="1"/>
  <c r="B220" i="73"/>
  <c r="AF256" i="73" s="1"/>
  <c r="E219" i="73"/>
  <c r="F219" i="73" s="1"/>
  <c r="G219" i="73" s="1"/>
  <c r="H219" i="73" s="1"/>
  <c r="I219" i="73" s="1"/>
  <c r="J219" i="73" s="1"/>
  <c r="K219" i="73" s="1"/>
  <c r="L219" i="73" s="1"/>
  <c r="M219" i="73" s="1"/>
  <c r="N219" i="73" s="1"/>
  <c r="O219" i="73" s="1"/>
  <c r="P219" i="73" s="1"/>
  <c r="D219" i="73"/>
  <c r="B219" i="73"/>
  <c r="D218" i="73"/>
  <c r="E218" i="73" s="1"/>
  <c r="F218" i="73" s="1"/>
  <c r="G218" i="73" s="1"/>
  <c r="H218" i="73" s="1"/>
  <c r="I218" i="73" s="1"/>
  <c r="J218" i="73" s="1"/>
  <c r="K218" i="73" s="1"/>
  <c r="L218" i="73" s="1"/>
  <c r="M218" i="73" s="1"/>
  <c r="N218" i="73" s="1"/>
  <c r="O218" i="73" s="1"/>
  <c r="P218" i="73" s="1"/>
  <c r="B218" i="73"/>
  <c r="E217" i="73"/>
  <c r="F217" i="73" s="1"/>
  <c r="G217" i="73" s="1"/>
  <c r="H217" i="73" s="1"/>
  <c r="I217" i="73" s="1"/>
  <c r="J217" i="73" s="1"/>
  <c r="K217" i="73" s="1"/>
  <c r="L217" i="73" s="1"/>
  <c r="M217" i="73" s="1"/>
  <c r="N217" i="73" s="1"/>
  <c r="O217" i="73" s="1"/>
  <c r="P217" i="73" s="1"/>
  <c r="D217" i="73"/>
  <c r="B217" i="73"/>
  <c r="D216" i="73"/>
  <c r="E216" i="73" s="1"/>
  <c r="F216" i="73" s="1"/>
  <c r="G216" i="73" s="1"/>
  <c r="H216" i="73" s="1"/>
  <c r="I216" i="73" s="1"/>
  <c r="J216" i="73" s="1"/>
  <c r="K216" i="73" s="1"/>
  <c r="L216" i="73" s="1"/>
  <c r="M216" i="73" s="1"/>
  <c r="N216" i="73" s="1"/>
  <c r="O216" i="73" s="1"/>
  <c r="P216" i="73" s="1"/>
  <c r="B216" i="73"/>
  <c r="E215" i="73"/>
  <c r="F215" i="73" s="1"/>
  <c r="D215" i="73"/>
  <c r="D221" i="73" s="1"/>
  <c r="B215" i="73"/>
  <c r="B221" i="73" s="1"/>
  <c r="AG213" i="73"/>
  <c r="AF213" i="73"/>
  <c r="AE213" i="73"/>
  <c r="AD213" i="73"/>
  <c r="AC213" i="73"/>
  <c r="AB213" i="73"/>
  <c r="AA213" i="73"/>
  <c r="Z213" i="73"/>
  <c r="Y213" i="73"/>
  <c r="X213" i="73"/>
  <c r="W213" i="73"/>
  <c r="V213" i="73"/>
  <c r="U213" i="73"/>
  <c r="T213" i="73"/>
  <c r="S213" i="73"/>
  <c r="R213" i="73"/>
  <c r="Q213" i="73"/>
  <c r="P213" i="73"/>
  <c r="O213" i="73"/>
  <c r="N213" i="73"/>
  <c r="M213" i="73"/>
  <c r="L213" i="73"/>
  <c r="K213" i="73"/>
  <c r="J213" i="73"/>
  <c r="I213" i="73"/>
  <c r="H213" i="73"/>
  <c r="G213" i="73"/>
  <c r="F213" i="73"/>
  <c r="E213" i="73"/>
  <c r="D213" i="73"/>
  <c r="C213" i="73"/>
  <c r="B213" i="73"/>
  <c r="AH106" i="73"/>
  <c r="AI106" i="73" s="1"/>
  <c r="AH105" i="73"/>
  <c r="AI105" i="73" s="1"/>
  <c r="AH104" i="73"/>
  <c r="AI104" i="73" s="1"/>
  <c r="AH103" i="73"/>
  <c r="AI103" i="73" s="1"/>
  <c r="AH102" i="73"/>
  <c r="AI102" i="73" s="1"/>
  <c r="AH101" i="73"/>
  <c r="AI101" i="73" s="1"/>
  <c r="AH100" i="73"/>
  <c r="AI100" i="73" s="1"/>
  <c r="AH99" i="73"/>
  <c r="AI99" i="73" s="1"/>
  <c r="AF98" i="73"/>
  <c r="AE98" i="73"/>
  <c r="AD98" i="73"/>
  <c r="AC98" i="73"/>
  <c r="AB98" i="73"/>
  <c r="AA98" i="73"/>
  <c r="Z98" i="73"/>
  <c r="Y98" i="73"/>
  <c r="X98" i="73"/>
  <c r="W98" i="73"/>
  <c r="V98" i="73"/>
  <c r="U98" i="73"/>
  <c r="T98" i="73"/>
  <c r="S98" i="73"/>
  <c r="R98" i="73"/>
  <c r="Q98" i="73"/>
  <c r="D98" i="73"/>
  <c r="C98" i="73"/>
  <c r="B98" i="73"/>
  <c r="AI97" i="73"/>
  <c r="AH97" i="73"/>
  <c r="AI96" i="73"/>
  <c r="AH96" i="73"/>
  <c r="AI95" i="73"/>
  <c r="AH95" i="73"/>
  <c r="AI94" i="73"/>
  <c r="AH94" i="73"/>
  <c r="AI93" i="73"/>
  <c r="AH93" i="73"/>
  <c r="AI92" i="73"/>
  <c r="AH92" i="73"/>
  <c r="AI91" i="73"/>
  <c r="AH91" i="73"/>
  <c r="AI90" i="73"/>
  <c r="AH90" i="73"/>
  <c r="AI89" i="73"/>
  <c r="AH89" i="73"/>
  <c r="AI86" i="73"/>
  <c r="AH86" i="73"/>
  <c r="AF85" i="73"/>
  <c r="AE85" i="73"/>
  <c r="AD85" i="73"/>
  <c r="AC85" i="73"/>
  <c r="AB85" i="73"/>
  <c r="AA85" i="73"/>
  <c r="Z85" i="73"/>
  <c r="Y85" i="73"/>
  <c r="X85" i="73"/>
  <c r="W85" i="73"/>
  <c r="V85" i="73"/>
  <c r="U85" i="73"/>
  <c r="T85" i="73"/>
  <c r="S85" i="73"/>
  <c r="R85" i="73"/>
  <c r="Q85" i="73"/>
  <c r="P85" i="73"/>
  <c r="O85" i="73"/>
  <c r="N85" i="73"/>
  <c r="M85" i="73"/>
  <c r="L85" i="73"/>
  <c r="K85" i="73"/>
  <c r="J85" i="73"/>
  <c r="I85" i="73"/>
  <c r="I87" i="73" s="1"/>
  <c r="H85" i="73"/>
  <c r="G85" i="73"/>
  <c r="F85" i="73"/>
  <c r="E85" i="73"/>
  <c r="D85" i="73"/>
  <c r="C85" i="73"/>
  <c r="B85" i="73"/>
  <c r="AF84" i="73"/>
  <c r="AE84" i="73"/>
  <c r="AD84" i="73"/>
  <c r="AC84" i="73"/>
  <c r="AB84" i="73"/>
  <c r="AA84" i="73"/>
  <c r="Z84" i="73"/>
  <c r="Y84" i="73"/>
  <c r="X84" i="73"/>
  <c r="W84" i="73"/>
  <c r="V84" i="73"/>
  <c r="U84" i="73"/>
  <c r="T84" i="73"/>
  <c r="S84" i="73"/>
  <c r="R84" i="73"/>
  <c r="Q84" i="73"/>
  <c r="P84" i="73"/>
  <c r="O84" i="73"/>
  <c r="N84" i="73"/>
  <c r="M84" i="73"/>
  <c r="L84" i="73"/>
  <c r="K84" i="73"/>
  <c r="J84" i="73"/>
  <c r="I84" i="73"/>
  <c r="H84" i="73"/>
  <c r="G84" i="73"/>
  <c r="F84" i="73"/>
  <c r="E84" i="73"/>
  <c r="D84" i="73"/>
  <c r="C84" i="73"/>
  <c r="B84" i="73"/>
  <c r="AF83" i="73"/>
  <c r="AE83" i="73"/>
  <c r="AD83" i="73"/>
  <c r="AC83" i="73"/>
  <c r="AC87" i="73" s="1"/>
  <c r="AB83" i="73"/>
  <c r="AA83" i="73"/>
  <c r="Z83" i="73"/>
  <c r="Y83" i="73"/>
  <c r="X83" i="73"/>
  <c r="W83" i="73"/>
  <c r="V83" i="73"/>
  <c r="U83" i="73"/>
  <c r="T83" i="73"/>
  <c r="S83" i="73"/>
  <c r="R83" i="73"/>
  <c r="Q83" i="73"/>
  <c r="P83" i="73"/>
  <c r="O83" i="73"/>
  <c r="N83" i="73"/>
  <c r="M83" i="73"/>
  <c r="L83" i="73"/>
  <c r="K83" i="73"/>
  <c r="J83" i="73"/>
  <c r="I83" i="73"/>
  <c r="H83" i="73"/>
  <c r="G83" i="73"/>
  <c r="F83" i="73"/>
  <c r="E83" i="73"/>
  <c r="D83" i="73"/>
  <c r="C83" i="73"/>
  <c r="B83" i="73"/>
  <c r="AF82" i="73"/>
  <c r="AE82" i="73"/>
  <c r="AD82" i="73"/>
  <c r="AC82" i="73"/>
  <c r="AB82" i="73"/>
  <c r="AA82" i="73"/>
  <c r="Z82" i="73"/>
  <c r="Y82" i="73"/>
  <c r="X82" i="73"/>
  <c r="W82" i="73"/>
  <c r="V82" i="73"/>
  <c r="U82" i="73"/>
  <c r="T82" i="73"/>
  <c r="S82" i="73"/>
  <c r="R82" i="73"/>
  <c r="Q82" i="73"/>
  <c r="P82" i="73"/>
  <c r="O82" i="73"/>
  <c r="N82" i="73"/>
  <c r="M82" i="73"/>
  <c r="L82" i="73"/>
  <c r="K82" i="73"/>
  <c r="J82" i="73"/>
  <c r="I82" i="73"/>
  <c r="H82" i="73"/>
  <c r="G82" i="73"/>
  <c r="F82" i="73"/>
  <c r="E82" i="73"/>
  <c r="D82" i="73"/>
  <c r="C82" i="73"/>
  <c r="B82" i="73"/>
  <c r="AF81" i="73"/>
  <c r="AE81" i="73"/>
  <c r="AD81" i="73"/>
  <c r="AC81" i="73"/>
  <c r="AB81" i="73"/>
  <c r="AA81" i="73"/>
  <c r="Z81" i="73"/>
  <c r="Y81" i="73"/>
  <c r="X81" i="73"/>
  <c r="W81" i="73"/>
  <c r="V81" i="73"/>
  <c r="U81" i="73"/>
  <c r="T81" i="73"/>
  <c r="S81" i="73"/>
  <c r="R81" i="73"/>
  <c r="Q81" i="73"/>
  <c r="Q87" i="73" s="1"/>
  <c r="P81" i="73"/>
  <c r="O81" i="73"/>
  <c r="O87" i="73" s="1"/>
  <c r="N81" i="73"/>
  <c r="M81" i="73"/>
  <c r="L81" i="73"/>
  <c r="K81" i="73"/>
  <c r="J81" i="73"/>
  <c r="I81" i="73"/>
  <c r="H81" i="73"/>
  <c r="G81" i="73"/>
  <c r="F81" i="73"/>
  <c r="E81" i="73"/>
  <c r="D81" i="73"/>
  <c r="D87" i="73" s="1"/>
  <c r="C81" i="73"/>
  <c r="B81" i="73"/>
  <c r="AI78" i="73"/>
  <c r="AH78" i="73"/>
  <c r="AI76" i="73"/>
  <c r="AH76" i="73"/>
  <c r="AG76" i="73"/>
  <c r="AG79" i="73" s="1"/>
  <c r="AI75" i="73"/>
  <c r="AH75" i="73"/>
  <c r="AI74" i="73"/>
  <c r="AH74" i="73"/>
  <c r="AI73" i="73"/>
  <c r="AH73" i="73"/>
  <c r="AG72" i="73"/>
  <c r="AF72" i="73"/>
  <c r="AE5" i="73" s="1"/>
  <c r="AE72" i="73"/>
  <c r="AD5" i="73" s="1"/>
  <c r="AD72" i="73"/>
  <c r="AC72" i="73"/>
  <c r="AB72" i="73"/>
  <c r="AA5" i="73" s="1"/>
  <c r="AA72" i="73"/>
  <c r="Z5" i="73" s="1"/>
  <c r="Z72" i="73"/>
  <c r="Y5" i="73" s="1"/>
  <c r="X5" i="73"/>
  <c r="X72" i="73"/>
  <c r="W5" i="73" s="1"/>
  <c r="W72" i="73"/>
  <c r="V5" i="73" s="1"/>
  <c r="V72" i="73"/>
  <c r="U72" i="73"/>
  <c r="T5" i="73" s="1"/>
  <c r="T72" i="73"/>
  <c r="S5" i="73" s="1"/>
  <c r="S72" i="73"/>
  <c r="R72" i="73"/>
  <c r="Q5" i="73" s="1"/>
  <c r="Q72" i="73"/>
  <c r="P5" i="73" s="1"/>
  <c r="P72" i="73"/>
  <c r="O5" i="73" s="1"/>
  <c r="O72" i="73"/>
  <c r="N5" i="73" s="1"/>
  <c r="N72" i="73"/>
  <c r="M5" i="73" s="1"/>
  <c r="M72" i="73"/>
  <c r="L5" i="73" s="1"/>
  <c r="L72" i="73"/>
  <c r="K5" i="73" s="1"/>
  <c r="K72" i="73"/>
  <c r="J5" i="73" s="1"/>
  <c r="J72" i="73"/>
  <c r="I5" i="73" s="1"/>
  <c r="I72" i="73"/>
  <c r="H5" i="73" s="1"/>
  <c r="H72" i="73"/>
  <c r="G5" i="73" s="1"/>
  <c r="G72" i="73"/>
  <c r="F5" i="73" s="1"/>
  <c r="F72" i="73"/>
  <c r="E72" i="73"/>
  <c r="D5" i="73" s="1"/>
  <c r="D72" i="73"/>
  <c r="C5" i="73" s="1"/>
  <c r="C72" i="73"/>
  <c r="B5" i="73" s="1"/>
  <c r="B72" i="73"/>
  <c r="AF5" i="73" s="1"/>
  <c r="AI71" i="73"/>
  <c r="AH71" i="73"/>
  <c r="AI70" i="73"/>
  <c r="AH70" i="73"/>
  <c r="AI69" i="73"/>
  <c r="AH69" i="73"/>
  <c r="AI68" i="73"/>
  <c r="AH68" i="73"/>
  <c r="AI67" i="73"/>
  <c r="AH67" i="73"/>
  <c r="AI66" i="73"/>
  <c r="AH66" i="73"/>
  <c r="AI65" i="73"/>
  <c r="AH65" i="73"/>
  <c r="AI64" i="73"/>
  <c r="AH64" i="73"/>
  <c r="AI63" i="73"/>
  <c r="AH63" i="73"/>
  <c r="AI62" i="73"/>
  <c r="AH62" i="73"/>
  <c r="AI61" i="73"/>
  <c r="AH61" i="73"/>
  <c r="AG60" i="73"/>
  <c r="AG4" i="73" s="1"/>
  <c r="AF60" i="73"/>
  <c r="AE60" i="73"/>
  <c r="AD60" i="73"/>
  <c r="AC60" i="73"/>
  <c r="AB60" i="73"/>
  <c r="AA60" i="73"/>
  <c r="Z60" i="73"/>
  <c r="Y60" i="73"/>
  <c r="X60" i="73"/>
  <c r="W60" i="73"/>
  <c r="V60" i="73"/>
  <c r="U60" i="73"/>
  <c r="T60" i="73"/>
  <c r="S60" i="73"/>
  <c r="R60" i="73"/>
  <c r="Q60" i="73"/>
  <c r="P60" i="73"/>
  <c r="O60" i="73"/>
  <c r="N60" i="73"/>
  <c r="M60" i="73"/>
  <c r="L60" i="73"/>
  <c r="K60" i="73"/>
  <c r="J60" i="73"/>
  <c r="I60" i="73"/>
  <c r="H60" i="73"/>
  <c r="G60" i="73"/>
  <c r="F60" i="73"/>
  <c r="E60" i="73"/>
  <c r="D60" i="73"/>
  <c r="C60" i="73"/>
  <c r="B60" i="73"/>
  <c r="AI59" i="73"/>
  <c r="AH59" i="73"/>
  <c r="AI58" i="73"/>
  <c r="AH58" i="73"/>
  <c r="AI57" i="73"/>
  <c r="AH57" i="73"/>
  <c r="AF56" i="73"/>
  <c r="AE56" i="73"/>
  <c r="AD56" i="73"/>
  <c r="AC56" i="73"/>
  <c r="AB56" i="73"/>
  <c r="AA56" i="73"/>
  <c r="Z56" i="73"/>
  <c r="Y56" i="73"/>
  <c r="X56" i="73"/>
  <c r="W56" i="73"/>
  <c r="V56" i="73"/>
  <c r="U56" i="73"/>
  <c r="T56" i="73"/>
  <c r="S56" i="73"/>
  <c r="R56" i="73"/>
  <c r="Q56" i="73"/>
  <c r="P56" i="73"/>
  <c r="O56" i="73"/>
  <c r="N56" i="73"/>
  <c r="M56" i="73"/>
  <c r="L56" i="73"/>
  <c r="K56" i="73"/>
  <c r="J56" i="73"/>
  <c r="I56" i="73"/>
  <c r="H56" i="73"/>
  <c r="G56" i="73"/>
  <c r="F56" i="73"/>
  <c r="E56" i="73"/>
  <c r="D56" i="73"/>
  <c r="C56" i="73"/>
  <c r="B56" i="73"/>
  <c r="AI55" i="73"/>
  <c r="AH55" i="73"/>
  <c r="AI54" i="73"/>
  <c r="AH54" i="73"/>
  <c r="AI53" i="73"/>
  <c r="AH53" i="73"/>
  <c r="AI52" i="73"/>
  <c r="AH52" i="73"/>
  <c r="AI51" i="73"/>
  <c r="AH51" i="73"/>
  <c r="AI50" i="73"/>
  <c r="AH50" i="73"/>
  <c r="AI49" i="73"/>
  <c r="AH49" i="73"/>
  <c r="AI48" i="73"/>
  <c r="AH48" i="73"/>
  <c r="AI47" i="73"/>
  <c r="AH47" i="73"/>
  <c r="AI46" i="73"/>
  <c r="AH46" i="73"/>
  <c r="AI45" i="73"/>
  <c r="AH45" i="73"/>
  <c r="AI44" i="73"/>
  <c r="AH44" i="73"/>
  <c r="AI43" i="73"/>
  <c r="AH43" i="73"/>
  <c r="AG42" i="73"/>
  <c r="AF42" i="73"/>
  <c r="AE42" i="73"/>
  <c r="AD42" i="73"/>
  <c r="AC42" i="73"/>
  <c r="AB42" i="73"/>
  <c r="AA42" i="73"/>
  <c r="Z42" i="73"/>
  <c r="Y42" i="73"/>
  <c r="X42" i="73"/>
  <c r="W42" i="73"/>
  <c r="V42" i="73"/>
  <c r="U42" i="73"/>
  <c r="T42" i="73"/>
  <c r="S42" i="73"/>
  <c r="R42" i="73"/>
  <c r="Q42" i="73"/>
  <c r="P42" i="73"/>
  <c r="O42" i="73"/>
  <c r="N42" i="73"/>
  <c r="M42" i="73"/>
  <c r="L42" i="73"/>
  <c r="K42" i="73"/>
  <c r="J42" i="73"/>
  <c r="I42" i="73"/>
  <c r="H42" i="73"/>
  <c r="G42" i="73"/>
  <c r="F42" i="73"/>
  <c r="E42" i="73"/>
  <c r="D42" i="73"/>
  <c r="C42" i="73"/>
  <c r="B42" i="73"/>
  <c r="AI41" i="73"/>
  <c r="AH41" i="73"/>
  <c r="AI40" i="73"/>
  <c r="AH40" i="73"/>
  <c r="AI39" i="73"/>
  <c r="AH39" i="73"/>
  <c r="AG38" i="73"/>
  <c r="AG77" i="73" s="1"/>
  <c r="AF38" i="73"/>
  <c r="AE38" i="73"/>
  <c r="AD38" i="73"/>
  <c r="AC38" i="73"/>
  <c r="AC77" i="73" s="1"/>
  <c r="AC79" i="73" s="1"/>
  <c r="AB38" i="73"/>
  <c r="AA38" i="73"/>
  <c r="Z38" i="73"/>
  <c r="Y38" i="73"/>
  <c r="X38" i="73"/>
  <c r="W38" i="73"/>
  <c r="V38" i="73"/>
  <c r="U38" i="73"/>
  <c r="T38" i="73"/>
  <c r="S38" i="73"/>
  <c r="R38" i="73"/>
  <c r="Q38" i="73"/>
  <c r="P38" i="73"/>
  <c r="O38" i="73"/>
  <c r="N38" i="73"/>
  <c r="M38" i="73"/>
  <c r="L38" i="73"/>
  <c r="K38" i="73"/>
  <c r="J38" i="73"/>
  <c r="I38" i="73"/>
  <c r="H38" i="73"/>
  <c r="G38" i="73"/>
  <c r="F38" i="73"/>
  <c r="E38" i="73"/>
  <c r="D38" i="73"/>
  <c r="C38" i="73"/>
  <c r="B38" i="73"/>
  <c r="AI37" i="73"/>
  <c r="AH37" i="73"/>
  <c r="AI36" i="73"/>
  <c r="AH36" i="73"/>
  <c r="AI35" i="73"/>
  <c r="AH35" i="73"/>
  <c r="AI34" i="73"/>
  <c r="AH34" i="73"/>
  <c r="AI33" i="73"/>
  <c r="AH33" i="73"/>
  <c r="AI32" i="73"/>
  <c r="AH32" i="73"/>
  <c r="AI31" i="73"/>
  <c r="AH31" i="73"/>
  <c r="AI30" i="73"/>
  <c r="AH30" i="73"/>
  <c r="AI29" i="73"/>
  <c r="AH29" i="73"/>
  <c r="AI28" i="73"/>
  <c r="AH28" i="73"/>
  <c r="AI27" i="73"/>
  <c r="AH27" i="73"/>
  <c r="AI26" i="73"/>
  <c r="AH26" i="73"/>
  <c r="AI25" i="73"/>
  <c r="AH25" i="73"/>
  <c r="AI24" i="73"/>
  <c r="AH24" i="73"/>
  <c r="AI23" i="73"/>
  <c r="AH23" i="73"/>
  <c r="AI22" i="73"/>
  <c r="AH22" i="73"/>
  <c r="AI21" i="73"/>
  <c r="AH21" i="73"/>
  <c r="AI20" i="73"/>
  <c r="AH20" i="73"/>
  <c r="AI19" i="73"/>
  <c r="AH19" i="73"/>
  <c r="AI18" i="73"/>
  <c r="AH18" i="73"/>
  <c r="AI17" i="73"/>
  <c r="AH17" i="73"/>
  <c r="AI16" i="73"/>
  <c r="AH16" i="73"/>
  <c r="AI15" i="73"/>
  <c r="AH15" i="73"/>
  <c r="AI14" i="73"/>
  <c r="AH14" i="73"/>
  <c r="AI13" i="73"/>
  <c r="AH13" i="73"/>
  <c r="AI12" i="73"/>
  <c r="AH12" i="73"/>
  <c r="AI11" i="73"/>
  <c r="AH11" i="73"/>
  <c r="AB5" i="73"/>
  <c r="R5" i="73"/>
  <c r="K4" i="73"/>
  <c r="B4" i="73"/>
  <c r="S232" i="73" s="1"/>
  <c r="AG2" i="73"/>
  <c r="AF100" i="72"/>
  <c r="AF36" i="72"/>
  <c r="AE100" i="72"/>
  <c r="AE36" i="72"/>
  <c r="AD100" i="72"/>
  <c r="AD36" i="72"/>
  <c r="AC100" i="72"/>
  <c r="AC36" i="72"/>
  <c r="AB100" i="72"/>
  <c r="AB36" i="72"/>
  <c r="AA100" i="72"/>
  <c r="AA36" i="72"/>
  <c r="Z100" i="72"/>
  <c r="Z36" i="72"/>
  <c r="W100" i="72"/>
  <c r="X100" i="72"/>
  <c r="Y100" i="72"/>
  <c r="W36" i="72"/>
  <c r="X36" i="72"/>
  <c r="Y36" i="72"/>
  <c r="V100" i="72"/>
  <c r="V36" i="72"/>
  <c r="U100" i="72"/>
  <c r="E4" i="73"/>
  <c r="AF87" i="73" l="1"/>
  <c r="AE87" i="73"/>
  <c r="AE88" i="73" s="1"/>
  <c r="AF88" i="73"/>
  <c r="AE77" i="73"/>
  <c r="AE79" i="73" s="1"/>
  <c r="AD87" i="73"/>
  <c r="AD88" i="73" s="1"/>
  <c r="AC5" i="73"/>
  <c r="AD77" i="73"/>
  <c r="AD79" i="73" s="1"/>
  <c r="AD7" i="73" s="1"/>
  <c r="AF77" i="73"/>
  <c r="AF79" i="73" s="1"/>
  <c r="AX235" i="73" s="1"/>
  <c r="AB87" i="73"/>
  <c r="AB77" i="73"/>
  <c r="AB79" i="73" s="1"/>
  <c r="AA87" i="73"/>
  <c r="Z87" i="73"/>
  <c r="AA77" i="73"/>
  <c r="AA79" i="73" s="1"/>
  <c r="Y87" i="73"/>
  <c r="X87" i="73"/>
  <c r="X88" i="73" s="1"/>
  <c r="X77" i="73"/>
  <c r="X79" i="73" s="1"/>
  <c r="W87" i="73"/>
  <c r="W88" i="73"/>
  <c r="W77" i="73"/>
  <c r="W79" i="73" s="1"/>
  <c r="Y77" i="73"/>
  <c r="Y79" i="73" s="1"/>
  <c r="AQ235" i="73" s="1"/>
  <c r="Z77" i="73"/>
  <c r="Z79" i="73" s="1"/>
  <c r="V87" i="73"/>
  <c r="V88" i="73" s="1"/>
  <c r="U5" i="73"/>
  <c r="V77" i="73"/>
  <c r="V79" i="73" s="1"/>
  <c r="U87" i="73"/>
  <c r="U77" i="73"/>
  <c r="U79" i="73" s="1"/>
  <c r="T87" i="73"/>
  <c r="S87" i="73"/>
  <c r="S77" i="73"/>
  <c r="S79" i="73" s="1"/>
  <c r="R87" i="73"/>
  <c r="R77" i="73"/>
  <c r="R79" i="73" s="1"/>
  <c r="Q77" i="73"/>
  <c r="Q79" i="73" s="1"/>
  <c r="T77" i="73"/>
  <c r="T79" i="73" s="1"/>
  <c r="T80" i="73" s="1"/>
  <c r="P87" i="73"/>
  <c r="P88" i="73" s="1"/>
  <c r="P77" i="73"/>
  <c r="P79" i="73" s="1"/>
  <c r="O88" i="73"/>
  <c r="O77" i="73"/>
  <c r="O79" i="73" s="1"/>
  <c r="N87" i="73"/>
  <c r="N88" i="73" s="1"/>
  <c r="N77" i="73"/>
  <c r="N79" i="73" s="1"/>
  <c r="AF235" i="73" s="1"/>
  <c r="M87" i="73"/>
  <c r="M88" i="73" s="1"/>
  <c r="M77" i="73"/>
  <c r="M79" i="73" s="1"/>
  <c r="AE235" i="73" s="1"/>
  <c r="L77" i="73"/>
  <c r="L79" i="73" s="1"/>
  <c r="L87" i="73"/>
  <c r="K77" i="73"/>
  <c r="K79" i="73" s="1"/>
  <c r="K87" i="73"/>
  <c r="J87" i="73"/>
  <c r="J77" i="73"/>
  <c r="J79" i="73" s="1"/>
  <c r="AB235" i="73" s="1"/>
  <c r="I77" i="73"/>
  <c r="I79" i="73" s="1"/>
  <c r="H77" i="73"/>
  <c r="H79" i="73" s="1"/>
  <c r="G87" i="73"/>
  <c r="G88" i="73" s="1"/>
  <c r="G77" i="73"/>
  <c r="G79" i="73" s="1"/>
  <c r="F87" i="73"/>
  <c r="F88" i="73" s="1"/>
  <c r="F77" i="73"/>
  <c r="F79" i="73" s="1"/>
  <c r="E5" i="73"/>
  <c r="AH81" i="73"/>
  <c r="E87" i="73"/>
  <c r="AI84" i="73"/>
  <c r="E77" i="73"/>
  <c r="E79" i="73" s="1"/>
  <c r="E80" i="73" s="1"/>
  <c r="AI83" i="73"/>
  <c r="AI82" i="73"/>
  <c r="D77" i="73"/>
  <c r="D79" i="73" s="1"/>
  <c r="D7" i="73" s="1"/>
  <c r="AI60" i="73"/>
  <c r="C87" i="73"/>
  <c r="AI85" i="73"/>
  <c r="AI81" i="73"/>
  <c r="AI56" i="73"/>
  <c r="C77" i="73"/>
  <c r="C79" i="73" s="1"/>
  <c r="C80" i="73" s="1"/>
  <c r="AH42" i="73"/>
  <c r="B77" i="73"/>
  <c r="AH85" i="73"/>
  <c r="B87" i="73"/>
  <c r="AH84" i="73"/>
  <c r="H4" i="73"/>
  <c r="Q80" i="73"/>
  <c r="AI235" i="73"/>
  <c r="Q7" i="73"/>
  <c r="J80" i="73"/>
  <c r="J7" i="73"/>
  <c r="R80" i="73"/>
  <c r="AJ235" i="73"/>
  <c r="R7" i="73"/>
  <c r="Z80" i="73"/>
  <c r="AR235" i="73"/>
  <c r="Z7" i="73"/>
  <c r="I80" i="73"/>
  <c r="AA235" i="73"/>
  <c r="I7" i="73"/>
  <c r="B79" i="73"/>
  <c r="K80" i="73"/>
  <c r="S80" i="73"/>
  <c r="AK235" i="73"/>
  <c r="S7" i="73"/>
  <c r="AA80" i="73"/>
  <c r="AS235" i="73"/>
  <c r="AA7" i="73"/>
  <c r="E98" i="73"/>
  <c r="D256" i="73"/>
  <c r="F220" i="73"/>
  <c r="AB80" i="73"/>
  <c r="AT235" i="73"/>
  <c r="AB7" i="73"/>
  <c r="W235" i="73"/>
  <c r="E7" i="73"/>
  <c r="AM235" i="73"/>
  <c r="U7" i="73"/>
  <c r="U80" i="73"/>
  <c r="AU235" i="73"/>
  <c r="AC7" i="73"/>
  <c r="AC80" i="73"/>
  <c r="AG6" i="73"/>
  <c r="C88" i="73"/>
  <c r="K88" i="73"/>
  <c r="S88" i="73"/>
  <c r="AA88" i="73"/>
  <c r="L80" i="73"/>
  <c r="AD235" i="73"/>
  <c r="L7" i="73"/>
  <c r="X235" i="73"/>
  <c r="F7" i="73"/>
  <c r="F80" i="73"/>
  <c r="Y235" i="73"/>
  <c r="G7" i="73"/>
  <c r="G80" i="73"/>
  <c r="AG235" i="73"/>
  <c r="O7" i="73"/>
  <c r="O80" i="73"/>
  <c r="AO235" i="73"/>
  <c r="W7" i="73"/>
  <c r="W80" i="73"/>
  <c r="AW235" i="73"/>
  <c r="AE7" i="73"/>
  <c r="AE80" i="73"/>
  <c r="D88" i="73"/>
  <c r="L88" i="73"/>
  <c r="T88" i="73"/>
  <c r="AB88" i="73"/>
  <c r="F98" i="73"/>
  <c r="G215" i="73"/>
  <c r="F221" i="73"/>
  <c r="D80" i="73"/>
  <c r="V235" i="73"/>
  <c r="AN235" i="73"/>
  <c r="V7" i="73"/>
  <c r="V80" i="73"/>
  <c r="Z235" i="73"/>
  <c r="H7" i="73"/>
  <c r="P80" i="73"/>
  <c r="AH235" i="73"/>
  <c r="P7" i="73"/>
  <c r="X80" i="73"/>
  <c r="AP235" i="73"/>
  <c r="X7" i="73"/>
  <c r="E88" i="73"/>
  <c r="U88" i="73"/>
  <c r="AC88" i="73"/>
  <c r="AH60" i="73"/>
  <c r="AI38" i="73"/>
  <c r="AI42" i="73"/>
  <c r="E221" i="73"/>
  <c r="D232" i="73"/>
  <c r="AH56" i="73"/>
  <c r="H87" i="73"/>
  <c r="H88" i="73" s="1"/>
  <c r="AH72" i="73"/>
  <c r="I88" i="73"/>
  <c r="Q88" i="73"/>
  <c r="Y88" i="73"/>
  <c r="AI72" i="73"/>
  <c r="AH82" i="73"/>
  <c r="B88" i="73"/>
  <c r="J88" i="73"/>
  <c r="R88" i="73"/>
  <c r="Z88" i="73"/>
  <c r="AH83" i="73"/>
  <c r="AH38" i="73"/>
  <c r="U36" i="72"/>
  <c r="T100" i="72"/>
  <c r="S100" i="72"/>
  <c r="R100" i="72"/>
  <c r="P100" i="72"/>
  <c r="Q100" i="72"/>
  <c r="O100" i="72"/>
  <c r="N100" i="72"/>
  <c r="M38" i="72"/>
  <c r="F72" i="72"/>
  <c r="D100" i="72"/>
  <c r="D99" i="72"/>
  <c r="C100" i="72"/>
  <c r="C99" i="72"/>
  <c r="B100" i="72"/>
  <c r="B99" i="72"/>
  <c r="B98" i="72"/>
  <c r="B85" i="72"/>
  <c r="B84" i="72"/>
  <c r="B83" i="72"/>
  <c r="B87" i="72" s="1"/>
  <c r="B82" i="72"/>
  <c r="B81" i="72"/>
  <c r="B72" i="72"/>
  <c r="AF5" i="72" s="1"/>
  <c r="B60" i="72"/>
  <c r="B56" i="72"/>
  <c r="B42" i="72"/>
  <c r="B38" i="72"/>
  <c r="AF260" i="72"/>
  <c r="AE260" i="72"/>
  <c r="AD260" i="72"/>
  <c r="AC260" i="72"/>
  <c r="AB260" i="72"/>
  <c r="AA260" i="72"/>
  <c r="Z260" i="72"/>
  <c r="Y260" i="72"/>
  <c r="X260" i="72"/>
  <c r="W260" i="72"/>
  <c r="V260" i="72"/>
  <c r="U260" i="72"/>
  <c r="T260" i="72"/>
  <c r="S260" i="72"/>
  <c r="R260" i="72"/>
  <c r="Q260" i="72"/>
  <c r="P260" i="72"/>
  <c r="O260" i="72"/>
  <c r="N260" i="72"/>
  <c r="M260" i="72"/>
  <c r="L260" i="72"/>
  <c r="K260" i="72"/>
  <c r="J260" i="72"/>
  <c r="I260" i="72"/>
  <c r="H260" i="72"/>
  <c r="G260" i="72"/>
  <c r="F260" i="72"/>
  <c r="E260" i="72"/>
  <c r="D260" i="72"/>
  <c r="C260" i="72"/>
  <c r="B260" i="72"/>
  <c r="A260" i="72"/>
  <c r="AF259" i="72"/>
  <c r="AE259" i="72"/>
  <c r="AD259" i="72"/>
  <c r="AC259" i="72"/>
  <c r="AB259" i="72"/>
  <c r="AA259" i="72"/>
  <c r="Z259" i="72"/>
  <c r="Y259" i="72"/>
  <c r="X259" i="72"/>
  <c r="W259" i="72"/>
  <c r="V259" i="72"/>
  <c r="U259" i="72"/>
  <c r="T259" i="72"/>
  <c r="S259" i="72"/>
  <c r="R259" i="72"/>
  <c r="Q259" i="72"/>
  <c r="P259" i="72"/>
  <c r="O259" i="72"/>
  <c r="N259" i="72"/>
  <c r="M259" i="72"/>
  <c r="L259" i="72"/>
  <c r="K259" i="72"/>
  <c r="J259" i="72"/>
  <c r="I259" i="72"/>
  <c r="H259" i="72"/>
  <c r="G259" i="72"/>
  <c r="F259" i="72"/>
  <c r="E259" i="72"/>
  <c r="D259" i="72"/>
  <c r="C259" i="72"/>
  <c r="B259" i="72"/>
  <c r="A259" i="72"/>
  <c r="AF258" i="72"/>
  <c r="AE258" i="72"/>
  <c r="AD258" i="72"/>
  <c r="AC258" i="72"/>
  <c r="AB258" i="72"/>
  <c r="AA258" i="72"/>
  <c r="Z258" i="72"/>
  <c r="Y258" i="72"/>
  <c r="X258" i="72"/>
  <c r="W258" i="72"/>
  <c r="V258" i="72"/>
  <c r="U258" i="72"/>
  <c r="T258" i="72"/>
  <c r="S258" i="72"/>
  <c r="R258" i="72"/>
  <c r="Q258" i="72"/>
  <c r="P258" i="72"/>
  <c r="O258" i="72"/>
  <c r="N258" i="72"/>
  <c r="M258" i="72"/>
  <c r="L258" i="72"/>
  <c r="K258" i="72"/>
  <c r="J258" i="72"/>
  <c r="I258" i="72"/>
  <c r="H258" i="72"/>
  <c r="G258" i="72"/>
  <c r="F258" i="72"/>
  <c r="E258" i="72"/>
  <c r="D258" i="72"/>
  <c r="C258" i="72"/>
  <c r="B258" i="72"/>
  <c r="A258" i="72"/>
  <c r="AF257" i="72"/>
  <c r="AE257" i="72"/>
  <c r="AD257" i="72"/>
  <c r="AC257" i="72"/>
  <c r="AB257" i="72"/>
  <c r="AA257" i="72"/>
  <c r="Z257" i="72"/>
  <c r="Y257" i="72"/>
  <c r="X257" i="72"/>
  <c r="W257" i="72"/>
  <c r="V257" i="72"/>
  <c r="U257" i="72"/>
  <c r="T257" i="72"/>
  <c r="S257" i="72"/>
  <c r="R257" i="72"/>
  <c r="Q257" i="72"/>
  <c r="P257" i="72"/>
  <c r="O257" i="72"/>
  <c r="N257" i="72"/>
  <c r="M257" i="72"/>
  <c r="L257" i="72"/>
  <c r="K257" i="72"/>
  <c r="J257" i="72"/>
  <c r="I257" i="72"/>
  <c r="H257" i="72"/>
  <c r="G257" i="72"/>
  <c r="F257" i="72"/>
  <c r="E257" i="72"/>
  <c r="D257" i="72"/>
  <c r="C257" i="72"/>
  <c r="B257" i="72"/>
  <c r="A257" i="72"/>
  <c r="AE256" i="72"/>
  <c r="AD256" i="72"/>
  <c r="AC256" i="72"/>
  <c r="AB256" i="72"/>
  <c r="AA256" i="72"/>
  <c r="Z256" i="72"/>
  <c r="Y256" i="72"/>
  <c r="X256" i="72"/>
  <c r="W256" i="72"/>
  <c r="V256" i="72"/>
  <c r="U256" i="72"/>
  <c r="T256" i="72"/>
  <c r="S256" i="72"/>
  <c r="R256" i="72"/>
  <c r="Q256" i="72"/>
  <c r="P256" i="72"/>
  <c r="C256" i="72"/>
  <c r="B256" i="72"/>
  <c r="S231" i="72"/>
  <c r="AG221" i="72"/>
  <c r="AF221" i="72"/>
  <c r="AE221" i="72"/>
  <c r="AD221" i="72"/>
  <c r="AC221" i="72"/>
  <c r="AB221" i="72"/>
  <c r="AA221" i="72"/>
  <c r="Z221" i="72"/>
  <c r="Y221" i="72"/>
  <c r="X221" i="72"/>
  <c r="W221" i="72"/>
  <c r="V221" i="72"/>
  <c r="U221" i="72"/>
  <c r="T221" i="72"/>
  <c r="S221" i="72"/>
  <c r="R221" i="72"/>
  <c r="Q221" i="72"/>
  <c r="C221" i="72"/>
  <c r="F220" i="72"/>
  <c r="E256" i="72" s="1"/>
  <c r="E220" i="72"/>
  <c r="D256" i="72" s="1"/>
  <c r="D220" i="72"/>
  <c r="B220" i="72"/>
  <c r="AF256" i="72" s="1"/>
  <c r="D219" i="72"/>
  <c r="E219" i="72" s="1"/>
  <c r="F219" i="72" s="1"/>
  <c r="G219" i="72" s="1"/>
  <c r="H219" i="72" s="1"/>
  <c r="I219" i="72" s="1"/>
  <c r="J219" i="72" s="1"/>
  <c r="K219" i="72" s="1"/>
  <c r="L219" i="72" s="1"/>
  <c r="M219" i="72" s="1"/>
  <c r="N219" i="72" s="1"/>
  <c r="O219" i="72" s="1"/>
  <c r="P219" i="72" s="1"/>
  <c r="B219" i="72"/>
  <c r="D218" i="72"/>
  <c r="E218" i="72" s="1"/>
  <c r="F218" i="72" s="1"/>
  <c r="G218" i="72" s="1"/>
  <c r="H218" i="72" s="1"/>
  <c r="I218" i="72" s="1"/>
  <c r="J218" i="72" s="1"/>
  <c r="K218" i="72" s="1"/>
  <c r="L218" i="72" s="1"/>
  <c r="M218" i="72" s="1"/>
  <c r="N218" i="72" s="1"/>
  <c r="O218" i="72" s="1"/>
  <c r="P218" i="72" s="1"/>
  <c r="B218" i="72"/>
  <c r="E217" i="72"/>
  <c r="F217" i="72" s="1"/>
  <c r="G217" i="72" s="1"/>
  <c r="H217" i="72" s="1"/>
  <c r="I217" i="72" s="1"/>
  <c r="J217" i="72" s="1"/>
  <c r="K217" i="72" s="1"/>
  <c r="L217" i="72" s="1"/>
  <c r="M217" i="72" s="1"/>
  <c r="N217" i="72" s="1"/>
  <c r="O217" i="72" s="1"/>
  <c r="P217" i="72" s="1"/>
  <c r="D217" i="72"/>
  <c r="B217" i="72"/>
  <c r="F216" i="72"/>
  <c r="G216" i="72" s="1"/>
  <c r="H216" i="72" s="1"/>
  <c r="I216" i="72" s="1"/>
  <c r="J216" i="72" s="1"/>
  <c r="K216" i="72" s="1"/>
  <c r="L216" i="72" s="1"/>
  <c r="M216" i="72" s="1"/>
  <c r="N216" i="72" s="1"/>
  <c r="O216" i="72" s="1"/>
  <c r="P216" i="72" s="1"/>
  <c r="E216" i="72"/>
  <c r="D216" i="72"/>
  <c r="B216" i="72"/>
  <c r="D215" i="72"/>
  <c r="D221" i="72" s="1"/>
  <c r="B215" i="72"/>
  <c r="B221" i="72" s="1"/>
  <c r="AG213" i="72"/>
  <c r="AF213" i="72"/>
  <c r="AE213" i="72"/>
  <c r="AD213" i="72"/>
  <c r="AC213" i="72"/>
  <c r="AB213" i="72"/>
  <c r="AA213" i="72"/>
  <c r="Z213" i="72"/>
  <c r="Y213" i="72"/>
  <c r="X213" i="72"/>
  <c r="W213" i="72"/>
  <c r="V213" i="72"/>
  <c r="U213" i="72"/>
  <c r="T213" i="72"/>
  <c r="S213" i="72"/>
  <c r="R213" i="72"/>
  <c r="Q213" i="72"/>
  <c r="P213" i="72"/>
  <c r="O213" i="72"/>
  <c r="N213" i="72"/>
  <c r="M213" i="72"/>
  <c r="L213" i="72"/>
  <c r="K213" i="72"/>
  <c r="J213" i="72"/>
  <c r="I213" i="72"/>
  <c r="H213" i="72"/>
  <c r="G213" i="72"/>
  <c r="F213" i="72"/>
  <c r="E213" i="72"/>
  <c r="D213" i="72"/>
  <c r="C213" i="72"/>
  <c r="B213" i="72"/>
  <c r="AH106" i="72"/>
  <c r="AI106" i="72" s="1"/>
  <c r="AH105" i="72"/>
  <c r="AI105" i="72" s="1"/>
  <c r="AH104" i="72"/>
  <c r="AI104" i="72" s="1"/>
  <c r="AH103" i="72"/>
  <c r="AI103" i="72" s="1"/>
  <c r="AH102" i="72"/>
  <c r="AI102" i="72" s="1"/>
  <c r="AH101" i="72"/>
  <c r="AI101" i="72" s="1"/>
  <c r="AH100" i="72"/>
  <c r="AI100" i="72" s="1"/>
  <c r="AH99" i="72"/>
  <c r="AI99" i="72" s="1"/>
  <c r="AF98" i="72"/>
  <c r="AE98" i="72"/>
  <c r="AD98" i="72"/>
  <c r="AC98" i="72"/>
  <c r="AB98" i="72"/>
  <c r="AA98" i="72"/>
  <c r="Z98" i="72"/>
  <c r="Y98" i="72"/>
  <c r="X98" i="72"/>
  <c r="W98" i="72"/>
  <c r="V98" i="72"/>
  <c r="U98" i="72"/>
  <c r="T98" i="72"/>
  <c r="S98" i="72"/>
  <c r="R98" i="72"/>
  <c r="Q98" i="72"/>
  <c r="D98" i="72"/>
  <c r="C98" i="72"/>
  <c r="AI97" i="72"/>
  <c r="AH97" i="72"/>
  <c r="AI96" i="72"/>
  <c r="AH96" i="72"/>
  <c r="AI95" i="72"/>
  <c r="AH95" i="72"/>
  <c r="AI94" i="72"/>
  <c r="AH94" i="72"/>
  <c r="AI93" i="72"/>
  <c r="AH93" i="72"/>
  <c r="AI92" i="72"/>
  <c r="AH92" i="72"/>
  <c r="AI91" i="72"/>
  <c r="AH91" i="72"/>
  <c r="AI90" i="72"/>
  <c r="AH90" i="72"/>
  <c r="AI89" i="72"/>
  <c r="AH89" i="72"/>
  <c r="AI86" i="72"/>
  <c r="AH86" i="72"/>
  <c r="AF85" i="72"/>
  <c r="AE85" i="72"/>
  <c r="AD85" i="72"/>
  <c r="AC85" i="72"/>
  <c r="AB85" i="72"/>
  <c r="AA85" i="72"/>
  <c r="Z85" i="72"/>
  <c r="Y85" i="72"/>
  <c r="X85" i="72"/>
  <c r="W85" i="72"/>
  <c r="V85" i="72"/>
  <c r="U85" i="72"/>
  <c r="T85" i="72"/>
  <c r="S85" i="72"/>
  <c r="R85" i="72"/>
  <c r="Q85" i="72"/>
  <c r="P85" i="72"/>
  <c r="O85" i="72"/>
  <c r="N85" i="72"/>
  <c r="M85" i="72"/>
  <c r="L85" i="72"/>
  <c r="K85" i="72"/>
  <c r="J85" i="72"/>
  <c r="I85" i="72"/>
  <c r="H85" i="72"/>
  <c r="G85" i="72"/>
  <c r="F85" i="72"/>
  <c r="E85" i="72"/>
  <c r="D85" i="72"/>
  <c r="C85" i="72"/>
  <c r="AF84" i="72"/>
  <c r="AE84" i="72"/>
  <c r="AD84" i="72"/>
  <c r="AC84" i="72"/>
  <c r="AB84" i="72"/>
  <c r="AA84" i="72"/>
  <c r="Z84" i="72"/>
  <c r="Y84" i="72"/>
  <c r="X84" i="72"/>
  <c r="W84" i="72"/>
  <c r="V84" i="72"/>
  <c r="U84" i="72"/>
  <c r="T84" i="72"/>
  <c r="S84" i="72"/>
  <c r="R84" i="72"/>
  <c r="Q84" i="72"/>
  <c r="P84" i="72"/>
  <c r="O84" i="72"/>
  <c r="N84" i="72"/>
  <c r="M84" i="72"/>
  <c r="L84" i="72"/>
  <c r="K84" i="72"/>
  <c r="J84" i="72"/>
  <c r="I84" i="72"/>
  <c r="H84" i="72"/>
  <c r="G84" i="72"/>
  <c r="F84" i="72"/>
  <c r="E84" i="72"/>
  <c r="D84" i="72"/>
  <c r="C84" i="72"/>
  <c r="AF83" i="72"/>
  <c r="AE83" i="72"/>
  <c r="AD83" i="72"/>
  <c r="AC83" i="72"/>
  <c r="AB83" i="72"/>
  <c r="AA83" i="72"/>
  <c r="Z83" i="72"/>
  <c r="Y83" i="72"/>
  <c r="X83" i="72"/>
  <c r="W83" i="72"/>
  <c r="V83" i="72"/>
  <c r="U83" i="72"/>
  <c r="T83" i="72"/>
  <c r="S83" i="72"/>
  <c r="R83" i="72"/>
  <c r="Q83" i="72"/>
  <c r="P83" i="72"/>
  <c r="O83" i="72"/>
  <c r="N83" i="72"/>
  <c r="M83" i="72"/>
  <c r="L83" i="72"/>
  <c r="K83" i="72"/>
  <c r="J83" i="72"/>
  <c r="I83" i="72"/>
  <c r="H83" i="72"/>
  <c r="G83" i="72"/>
  <c r="F83" i="72"/>
  <c r="E83" i="72"/>
  <c r="D83" i="72"/>
  <c r="C83" i="72"/>
  <c r="AF82" i="72"/>
  <c r="AE82" i="72"/>
  <c r="AD82" i="72"/>
  <c r="AC82" i="72"/>
  <c r="AB82" i="72"/>
  <c r="AA82" i="72"/>
  <c r="Z82" i="72"/>
  <c r="Y82" i="72"/>
  <c r="X82" i="72"/>
  <c r="W82" i="72"/>
  <c r="V82" i="72"/>
  <c r="U82" i="72"/>
  <c r="T82" i="72"/>
  <c r="S82" i="72"/>
  <c r="R82" i="72"/>
  <c r="Q82" i="72"/>
  <c r="P82" i="72"/>
  <c r="P87" i="72" s="1"/>
  <c r="O82" i="72"/>
  <c r="N82" i="72"/>
  <c r="M82" i="72"/>
  <c r="L82" i="72"/>
  <c r="K82" i="72"/>
  <c r="J82" i="72"/>
  <c r="I82" i="72"/>
  <c r="H82" i="72"/>
  <c r="G82" i="72"/>
  <c r="F82" i="72"/>
  <c r="E82" i="72"/>
  <c r="D82" i="72"/>
  <c r="C82" i="72"/>
  <c r="AF81" i="72"/>
  <c r="AE81" i="72"/>
  <c r="AE87" i="72" s="1"/>
  <c r="AD81" i="72"/>
  <c r="AD87" i="72" s="1"/>
  <c r="AC81" i="72"/>
  <c r="AB81" i="72"/>
  <c r="AA81" i="72"/>
  <c r="Z81" i="72"/>
  <c r="Y81" i="72"/>
  <c r="X81" i="72"/>
  <c r="W81" i="72"/>
  <c r="V81" i="72"/>
  <c r="U81" i="72"/>
  <c r="U87" i="72" s="1"/>
  <c r="T81" i="72"/>
  <c r="S81" i="72"/>
  <c r="R81" i="72"/>
  <c r="Q81" i="72"/>
  <c r="P81" i="72"/>
  <c r="O81" i="72"/>
  <c r="O87" i="72" s="1"/>
  <c r="N81" i="72"/>
  <c r="M81" i="72"/>
  <c r="M87" i="72" s="1"/>
  <c r="L81" i="72"/>
  <c r="K81" i="72"/>
  <c r="J81" i="72"/>
  <c r="I81" i="72"/>
  <c r="H81" i="72"/>
  <c r="G81" i="72"/>
  <c r="F81" i="72"/>
  <c r="E81" i="72"/>
  <c r="D81" i="72"/>
  <c r="C81" i="72"/>
  <c r="AI78" i="72"/>
  <c r="AH78" i="72"/>
  <c r="AI76" i="72"/>
  <c r="AH76" i="72"/>
  <c r="AG76" i="72"/>
  <c r="AI75" i="72"/>
  <c r="AH75" i="72"/>
  <c r="AI74" i="72"/>
  <c r="AH74" i="72"/>
  <c r="AI73" i="72"/>
  <c r="AH73" i="72"/>
  <c r="AG72" i="72"/>
  <c r="AF72" i="72"/>
  <c r="AE5" i="72" s="1"/>
  <c r="AE72" i="72"/>
  <c r="AD5" i="72" s="1"/>
  <c r="AD72" i="72"/>
  <c r="AC5" i="72" s="1"/>
  <c r="AC72" i="72"/>
  <c r="AB5" i="72" s="1"/>
  <c r="AB72" i="72"/>
  <c r="AA5" i="72" s="1"/>
  <c r="AA72" i="72"/>
  <c r="Z5" i="72" s="1"/>
  <c r="Z72" i="72"/>
  <c r="Y5" i="72" s="1"/>
  <c r="Y72" i="72"/>
  <c r="X5" i="72" s="1"/>
  <c r="X72" i="72"/>
  <c r="W5" i="72" s="1"/>
  <c r="W72" i="72"/>
  <c r="V5" i="72" s="1"/>
  <c r="V72" i="72"/>
  <c r="U72" i="72"/>
  <c r="U88" i="72" s="1"/>
  <c r="T72" i="72"/>
  <c r="S5" i="72" s="1"/>
  <c r="S72" i="72"/>
  <c r="R5" i="72" s="1"/>
  <c r="R72" i="72"/>
  <c r="Q5" i="72" s="1"/>
  <c r="Q72" i="72"/>
  <c r="P72" i="72"/>
  <c r="O5" i="72" s="1"/>
  <c r="O72" i="72"/>
  <c r="N5" i="72" s="1"/>
  <c r="N72" i="72"/>
  <c r="M5" i="72" s="1"/>
  <c r="M72" i="72"/>
  <c r="M88" i="72" s="1"/>
  <c r="L72" i="72"/>
  <c r="K72" i="72"/>
  <c r="J5" i="72" s="1"/>
  <c r="J72" i="72"/>
  <c r="I5" i="72" s="1"/>
  <c r="I72" i="72"/>
  <c r="H5" i="72" s="1"/>
  <c r="H72" i="72"/>
  <c r="G5" i="72" s="1"/>
  <c r="G72" i="72"/>
  <c r="F5" i="72" s="1"/>
  <c r="E5" i="72"/>
  <c r="E72" i="72"/>
  <c r="D5" i="72" s="1"/>
  <c r="D72" i="72"/>
  <c r="C5" i="72" s="1"/>
  <c r="C72" i="72"/>
  <c r="B5" i="72" s="1"/>
  <c r="AI71" i="72"/>
  <c r="AH71" i="72"/>
  <c r="AI70" i="72"/>
  <c r="AH70" i="72"/>
  <c r="AI69" i="72"/>
  <c r="AH69" i="72"/>
  <c r="AI68" i="72"/>
  <c r="AH68" i="72"/>
  <c r="AI67" i="72"/>
  <c r="AH67" i="72"/>
  <c r="AI66" i="72"/>
  <c r="AH66" i="72"/>
  <c r="AI65" i="72"/>
  <c r="AH65" i="72"/>
  <c r="AI64" i="72"/>
  <c r="AH64" i="72"/>
  <c r="AI63" i="72"/>
  <c r="AH63" i="72"/>
  <c r="AI62" i="72"/>
  <c r="AH62" i="72"/>
  <c r="AI61" i="72"/>
  <c r="AH61" i="72"/>
  <c r="AG60" i="72"/>
  <c r="AF60" i="72"/>
  <c r="AE60" i="72"/>
  <c r="AD60" i="72"/>
  <c r="AC60" i="72"/>
  <c r="AB60" i="72"/>
  <c r="AA60" i="72"/>
  <c r="Z60" i="72"/>
  <c r="Y60" i="72"/>
  <c r="X60" i="72"/>
  <c r="W60" i="72"/>
  <c r="V60" i="72"/>
  <c r="U60" i="72"/>
  <c r="T60" i="72"/>
  <c r="S60" i="72"/>
  <c r="R60" i="72"/>
  <c r="Q60" i="72"/>
  <c r="P60" i="72"/>
  <c r="O60" i="72"/>
  <c r="N60" i="72"/>
  <c r="M60" i="72"/>
  <c r="L60" i="72"/>
  <c r="K60" i="72"/>
  <c r="J60" i="72"/>
  <c r="I60" i="72"/>
  <c r="H60" i="72"/>
  <c r="G60" i="72"/>
  <c r="F60" i="72"/>
  <c r="E60" i="72"/>
  <c r="D60" i="72"/>
  <c r="C60" i="72"/>
  <c r="AI59" i="72"/>
  <c r="AH59" i="72"/>
  <c r="AI58" i="72"/>
  <c r="AH58" i="72"/>
  <c r="AI57" i="72"/>
  <c r="AH57" i="72"/>
  <c r="AF56" i="72"/>
  <c r="AE56" i="72"/>
  <c r="AD56" i="72"/>
  <c r="AC56" i="72"/>
  <c r="AB56" i="72"/>
  <c r="AA56" i="72"/>
  <c r="Z56" i="72"/>
  <c r="Y56" i="72"/>
  <c r="X56" i="72"/>
  <c r="W56" i="72"/>
  <c r="V56" i="72"/>
  <c r="U56" i="72"/>
  <c r="T56" i="72"/>
  <c r="S56" i="72"/>
  <c r="R56" i="72"/>
  <c r="Q56" i="72"/>
  <c r="P56" i="72"/>
  <c r="O56" i="72"/>
  <c r="N56" i="72"/>
  <c r="M56" i="72"/>
  <c r="L56" i="72"/>
  <c r="K56" i="72"/>
  <c r="J56" i="72"/>
  <c r="I56" i="72"/>
  <c r="H56" i="72"/>
  <c r="G56" i="72"/>
  <c r="F56" i="72"/>
  <c r="E56" i="72"/>
  <c r="D56" i="72"/>
  <c r="C56" i="72"/>
  <c r="AI55" i="72"/>
  <c r="AH55" i="72"/>
  <c r="AG55" i="72"/>
  <c r="AG56" i="72" s="1"/>
  <c r="AI54" i="72"/>
  <c r="AH54" i="72"/>
  <c r="AI53" i="72"/>
  <c r="AH53" i="72"/>
  <c r="AI52" i="72"/>
  <c r="AH52" i="72"/>
  <c r="AI51" i="72"/>
  <c r="AH51" i="72"/>
  <c r="AI50" i="72"/>
  <c r="AH50" i="72"/>
  <c r="AI49" i="72"/>
  <c r="AH49" i="72"/>
  <c r="AI48" i="72"/>
  <c r="AH48" i="72"/>
  <c r="AI47" i="72"/>
  <c r="AH47" i="72"/>
  <c r="AI46" i="72"/>
  <c r="AH46" i="72"/>
  <c r="AI45" i="72"/>
  <c r="AH45" i="72"/>
  <c r="AI44" i="72"/>
  <c r="AH44" i="72"/>
  <c r="AI43" i="72"/>
  <c r="AH43" i="72"/>
  <c r="AG42" i="72"/>
  <c r="AF42" i="72"/>
  <c r="AE42" i="72"/>
  <c r="AD42" i="72"/>
  <c r="AC42" i="72"/>
  <c r="AB42" i="72"/>
  <c r="AA42" i="72"/>
  <c r="Z42" i="72"/>
  <c r="Y42" i="72"/>
  <c r="X42" i="72"/>
  <c r="W42" i="72"/>
  <c r="V42" i="72"/>
  <c r="U42" i="72"/>
  <c r="T42" i="72"/>
  <c r="S42" i="72"/>
  <c r="R42" i="72"/>
  <c r="Q42" i="72"/>
  <c r="P42" i="72"/>
  <c r="O42" i="72"/>
  <c r="N42" i="72"/>
  <c r="M42" i="72"/>
  <c r="L42" i="72"/>
  <c r="K42" i="72"/>
  <c r="J42" i="72"/>
  <c r="I42" i="72"/>
  <c r="H42" i="72"/>
  <c r="G42" i="72"/>
  <c r="F42" i="72"/>
  <c r="E42" i="72"/>
  <c r="D42" i="72"/>
  <c r="C42" i="72"/>
  <c r="AI41" i="72"/>
  <c r="AH41" i="72"/>
  <c r="AI40" i="72"/>
  <c r="AH40" i="72"/>
  <c r="AI39" i="72"/>
  <c r="AH39" i="72"/>
  <c r="AG38" i="72"/>
  <c r="AF38" i="72"/>
  <c r="AE38" i="72"/>
  <c r="AD38" i="72"/>
  <c r="AC38" i="72"/>
  <c r="AB38" i="72"/>
  <c r="AA38" i="72"/>
  <c r="Z38" i="72"/>
  <c r="Y38" i="72"/>
  <c r="X38" i="72"/>
  <c r="W38" i="72"/>
  <c r="V38" i="72"/>
  <c r="U38" i="72"/>
  <c r="T38" i="72"/>
  <c r="S38" i="72"/>
  <c r="R38" i="72"/>
  <c r="Q38" i="72"/>
  <c r="P38" i="72"/>
  <c r="O38" i="72"/>
  <c r="N38" i="72"/>
  <c r="L38" i="72"/>
  <c r="K38" i="72"/>
  <c r="J38" i="72"/>
  <c r="I38" i="72"/>
  <c r="H38" i="72"/>
  <c r="G38" i="72"/>
  <c r="F38" i="72"/>
  <c r="E38" i="72"/>
  <c r="D38" i="72"/>
  <c r="C38" i="72"/>
  <c r="AI37" i="72"/>
  <c r="AH37" i="72"/>
  <c r="AI36" i="72"/>
  <c r="AH36" i="72"/>
  <c r="AI35" i="72"/>
  <c r="AH35" i="72"/>
  <c r="AI34" i="72"/>
  <c r="AH34" i="72"/>
  <c r="AI33" i="72"/>
  <c r="AH33" i="72"/>
  <c r="AI32" i="72"/>
  <c r="AH32" i="72"/>
  <c r="AI31" i="72"/>
  <c r="AH31" i="72"/>
  <c r="AI30" i="72"/>
  <c r="AH30" i="72"/>
  <c r="AI29" i="72"/>
  <c r="AH29" i="72"/>
  <c r="AI28" i="72"/>
  <c r="AH28" i="72"/>
  <c r="AI27" i="72"/>
  <c r="AH27" i="72"/>
  <c r="AI26" i="72"/>
  <c r="AH26" i="72"/>
  <c r="AI25" i="72"/>
  <c r="AH25" i="72"/>
  <c r="AI24" i="72"/>
  <c r="AH24" i="72"/>
  <c r="AI23" i="72"/>
  <c r="AH23" i="72"/>
  <c r="AI22" i="72"/>
  <c r="AH22" i="72"/>
  <c r="AI21" i="72"/>
  <c r="AH21" i="72"/>
  <c r="AI20" i="72"/>
  <c r="AH20" i="72"/>
  <c r="AI19" i="72"/>
  <c r="AH19" i="72"/>
  <c r="AI18" i="72"/>
  <c r="AH18" i="72"/>
  <c r="AI17" i="72"/>
  <c r="AH17" i="72"/>
  <c r="AI16" i="72"/>
  <c r="AH16" i="72"/>
  <c r="AI15" i="72"/>
  <c r="AH15" i="72"/>
  <c r="AI14" i="72"/>
  <c r="AH14" i="72"/>
  <c r="AI13" i="72"/>
  <c r="AH13" i="72"/>
  <c r="AI12" i="72"/>
  <c r="AH12" i="72"/>
  <c r="AI11" i="72"/>
  <c r="AH11" i="72"/>
  <c r="T5" i="72"/>
  <c r="P5" i="72"/>
  <c r="AG4" i="72"/>
  <c r="K4" i="72"/>
  <c r="B4" i="72"/>
  <c r="S232" i="72" s="1"/>
  <c r="AG2" i="72"/>
  <c r="AF100" i="70"/>
  <c r="AF99" i="70"/>
  <c r="AF38" i="70"/>
  <c r="AE100" i="70"/>
  <c r="AE99" i="70"/>
  <c r="AD100" i="70"/>
  <c r="AD99" i="70"/>
  <c r="AB100" i="70"/>
  <c r="AB99" i="70"/>
  <c r="Z100" i="70"/>
  <c r="Y100" i="70"/>
  <c r="X100" i="70"/>
  <c r="W100" i="70"/>
  <c r="V100" i="70"/>
  <c r="U100" i="70"/>
  <c r="T100" i="70"/>
  <c r="S100" i="70"/>
  <c r="R100" i="70"/>
  <c r="R36" i="70"/>
  <c r="E4" i="72"/>
  <c r="AV235" i="73" l="1"/>
  <c r="AD80" i="73"/>
  <c r="AF80" i="73"/>
  <c r="AF7" i="73"/>
  <c r="Y80" i="73"/>
  <c r="Y7" i="73"/>
  <c r="AL235" i="73"/>
  <c r="T7" i="73"/>
  <c r="M7" i="73"/>
  <c r="B230" i="73"/>
  <c r="M80" i="73"/>
  <c r="C230" i="73"/>
  <c r="K6" i="73" s="1"/>
  <c r="N80" i="73"/>
  <c r="N7" i="73"/>
  <c r="AC235" i="73"/>
  <c r="K7" i="73"/>
  <c r="AI77" i="73"/>
  <c r="C7" i="73"/>
  <c r="AH77" i="73"/>
  <c r="U235" i="73"/>
  <c r="H215" i="73"/>
  <c r="AH87" i="73"/>
  <c r="AI88" i="73"/>
  <c r="AH88" i="73"/>
  <c r="AI87" i="73"/>
  <c r="E256" i="73"/>
  <c r="G220" i="73"/>
  <c r="G221" i="73" s="1"/>
  <c r="B80" i="73"/>
  <c r="AH79" i="73"/>
  <c r="T235" i="73"/>
  <c r="B7" i="73"/>
  <c r="A7" i="73" s="1"/>
  <c r="AI79" i="73"/>
  <c r="H80" i="73"/>
  <c r="AF87" i="72"/>
  <c r="AF77" i="72"/>
  <c r="AF79" i="72" s="1"/>
  <c r="AE88" i="72"/>
  <c r="AE77" i="72"/>
  <c r="AE79" i="72" s="1"/>
  <c r="AD88" i="72"/>
  <c r="AD77" i="72"/>
  <c r="AD79" i="72" s="1"/>
  <c r="AC87" i="72"/>
  <c r="AC88" i="72" s="1"/>
  <c r="AC77" i="72"/>
  <c r="AC79" i="72" s="1"/>
  <c r="AB87" i="72"/>
  <c r="AB88" i="72" s="1"/>
  <c r="AB77" i="72"/>
  <c r="AB79" i="72" s="1"/>
  <c r="AA87" i="72"/>
  <c r="AA77" i="72"/>
  <c r="AA79" i="72" s="1"/>
  <c r="Z87" i="72"/>
  <c r="Z88" i="72" s="1"/>
  <c r="Z77" i="72"/>
  <c r="Z79" i="72" s="1"/>
  <c r="X77" i="72"/>
  <c r="X79" i="72" s="1"/>
  <c r="X87" i="72"/>
  <c r="W87" i="72"/>
  <c r="W88" i="72" s="1"/>
  <c r="Y87" i="72"/>
  <c r="W77" i="72"/>
  <c r="W79" i="72" s="1"/>
  <c r="AO235" i="72" s="1"/>
  <c r="Y77" i="72"/>
  <c r="Y79" i="72" s="1"/>
  <c r="V87" i="72"/>
  <c r="V88" i="72" s="1"/>
  <c r="U5" i="72"/>
  <c r="V77" i="72"/>
  <c r="V79" i="72" s="1"/>
  <c r="U77" i="72"/>
  <c r="U79" i="72" s="1"/>
  <c r="T87" i="72"/>
  <c r="T88" i="72" s="1"/>
  <c r="T77" i="72"/>
  <c r="T79" i="72" s="1"/>
  <c r="S87" i="72"/>
  <c r="S77" i="72"/>
  <c r="S79" i="72" s="1"/>
  <c r="R87" i="72"/>
  <c r="R88" i="72"/>
  <c r="R77" i="72"/>
  <c r="R79" i="72" s="1"/>
  <c r="Q87" i="72"/>
  <c r="Q77" i="72"/>
  <c r="Q79" i="72" s="1"/>
  <c r="P77" i="72"/>
  <c r="P79" i="72" s="1"/>
  <c r="P80" i="72" s="1"/>
  <c r="O88" i="72"/>
  <c r="O77" i="72"/>
  <c r="O79" i="72" s="1"/>
  <c r="N87" i="72"/>
  <c r="N88" i="72" s="1"/>
  <c r="N77" i="72"/>
  <c r="N79" i="72" s="1"/>
  <c r="L5" i="72"/>
  <c r="M77" i="72"/>
  <c r="M79" i="72" s="1"/>
  <c r="M80" i="72" s="1"/>
  <c r="L87" i="72"/>
  <c r="L88" i="72" s="1"/>
  <c r="K5" i="72"/>
  <c r="L77" i="72"/>
  <c r="L79" i="72" s="1"/>
  <c r="L80" i="72" s="1"/>
  <c r="AI81" i="72"/>
  <c r="K77" i="72"/>
  <c r="K79" i="72" s="1"/>
  <c r="K7" i="72" s="1"/>
  <c r="K87" i="72"/>
  <c r="J77" i="72"/>
  <c r="J79" i="72" s="1"/>
  <c r="J7" i="72" s="1"/>
  <c r="AH42" i="72"/>
  <c r="I77" i="72"/>
  <c r="I79" i="72" s="1"/>
  <c r="H87" i="72"/>
  <c r="H77" i="72"/>
  <c r="H79" i="72" s="1"/>
  <c r="Z235" i="72" s="1"/>
  <c r="G77" i="72"/>
  <c r="G79" i="72" s="1"/>
  <c r="G7" i="72" s="1"/>
  <c r="J87" i="72"/>
  <c r="J88" i="72" s="1"/>
  <c r="G87" i="72"/>
  <c r="G88" i="72" s="1"/>
  <c r="I87" i="72"/>
  <c r="AI83" i="72"/>
  <c r="F77" i="72"/>
  <c r="F79" i="72" s="1"/>
  <c r="X235" i="72" s="1"/>
  <c r="AI60" i="72"/>
  <c r="E87" i="72"/>
  <c r="AH84" i="72"/>
  <c r="AI82" i="72"/>
  <c r="E88" i="72"/>
  <c r="AI56" i="72"/>
  <c r="E77" i="72"/>
  <c r="E79" i="72" s="1"/>
  <c r="W235" i="72" s="1"/>
  <c r="AH81" i="72"/>
  <c r="D87" i="72"/>
  <c r="D88" i="72" s="1"/>
  <c r="D77" i="72"/>
  <c r="D79" i="72" s="1"/>
  <c r="V235" i="72" s="1"/>
  <c r="C77" i="72"/>
  <c r="C79" i="72" s="1"/>
  <c r="C87" i="72"/>
  <c r="B77" i="72"/>
  <c r="B79" i="72" s="1"/>
  <c r="B80" i="72" s="1"/>
  <c r="B88" i="72"/>
  <c r="H4" i="72"/>
  <c r="Y80" i="72"/>
  <c r="AQ235" i="72"/>
  <c r="Y7" i="72"/>
  <c r="AJ235" i="72"/>
  <c r="R7" i="72"/>
  <c r="R80" i="72"/>
  <c r="AR235" i="72"/>
  <c r="Z80" i="72"/>
  <c r="Z7" i="72"/>
  <c r="F88" i="72"/>
  <c r="AH235" i="72"/>
  <c r="P7" i="72"/>
  <c r="AG79" i="72"/>
  <c r="AG3" i="72"/>
  <c r="Q80" i="72"/>
  <c r="AI235" i="72"/>
  <c r="Q7" i="72"/>
  <c r="C80" i="72"/>
  <c r="U235" i="72"/>
  <c r="C7" i="72"/>
  <c r="K80" i="72"/>
  <c r="AC235" i="72"/>
  <c r="S80" i="72"/>
  <c r="AK235" i="72"/>
  <c r="S7" i="72"/>
  <c r="AA80" i="72"/>
  <c r="AS235" i="72"/>
  <c r="AA7" i="72"/>
  <c r="H7" i="72"/>
  <c r="AA235" i="72"/>
  <c r="I7" i="72"/>
  <c r="T80" i="72"/>
  <c r="AL235" i="72"/>
  <c r="T7" i="72"/>
  <c r="AB80" i="72"/>
  <c r="AT235" i="72"/>
  <c r="AB7" i="72"/>
  <c r="AG77" i="72"/>
  <c r="AM235" i="72"/>
  <c r="U7" i="72"/>
  <c r="U80" i="72"/>
  <c r="AU235" i="72"/>
  <c r="AC7" i="72"/>
  <c r="AC80" i="72"/>
  <c r="Q88" i="72"/>
  <c r="Y88" i="72"/>
  <c r="AF80" i="72"/>
  <c r="AX235" i="72"/>
  <c r="AF7" i="72"/>
  <c r="D80" i="72"/>
  <c r="AG6" i="72"/>
  <c r="AF235" i="72"/>
  <c r="N7" i="72"/>
  <c r="N80" i="72"/>
  <c r="AV235" i="72"/>
  <c r="AD7" i="72"/>
  <c r="AD80" i="72"/>
  <c r="X80" i="72"/>
  <c r="AP235" i="72"/>
  <c r="X7" i="72"/>
  <c r="AN235" i="72"/>
  <c r="V7" i="72"/>
  <c r="V80" i="72"/>
  <c r="AG235" i="72"/>
  <c r="O7" i="72"/>
  <c r="O80" i="72"/>
  <c r="AW235" i="72"/>
  <c r="AE7" i="72"/>
  <c r="AE80" i="72"/>
  <c r="C88" i="72"/>
  <c r="K88" i="72"/>
  <c r="S88" i="72"/>
  <c r="AA88" i="72"/>
  <c r="AI38" i="72"/>
  <c r="AI42" i="72"/>
  <c r="AI84" i="72"/>
  <c r="AH85" i="72"/>
  <c r="F87" i="72"/>
  <c r="D232" i="72"/>
  <c r="AI85" i="72"/>
  <c r="H88" i="72"/>
  <c r="P88" i="72"/>
  <c r="X88" i="72"/>
  <c r="AF88" i="72"/>
  <c r="E215" i="72"/>
  <c r="G220" i="72"/>
  <c r="AH56" i="72"/>
  <c r="AH60" i="72"/>
  <c r="AH72" i="72"/>
  <c r="AI72" i="72"/>
  <c r="AH82" i="72"/>
  <c r="AH83" i="72"/>
  <c r="AH38" i="72"/>
  <c r="W80" i="72" l="1"/>
  <c r="W7" i="72"/>
  <c r="AH80" i="73"/>
  <c r="F256" i="73"/>
  <c r="H220" i="73"/>
  <c r="G98" i="73"/>
  <c r="I215" i="73"/>
  <c r="H98" i="73"/>
  <c r="H221" i="73"/>
  <c r="M7" i="72"/>
  <c r="AE235" i="72"/>
  <c r="Y235" i="72"/>
  <c r="AB235" i="72"/>
  <c r="L7" i="72"/>
  <c r="C230" i="72"/>
  <c r="AD235" i="72"/>
  <c r="J80" i="72"/>
  <c r="I80" i="72"/>
  <c r="AI87" i="72"/>
  <c r="I88" i="72"/>
  <c r="AH87" i="72"/>
  <c r="H80" i="72"/>
  <c r="B230" i="72"/>
  <c r="G80" i="72"/>
  <c r="F80" i="72"/>
  <c r="F7" i="72"/>
  <c r="E80" i="72"/>
  <c r="E7" i="72"/>
  <c r="D7" i="72"/>
  <c r="AI88" i="72"/>
  <c r="AH77" i="72"/>
  <c r="AI77" i="72"/>
  <c r="B7" i="72"/>
  <c r="AI79" i="72"/>
  <c r="T235" i="72"/>
  <c r="AH79" i="72"/>
  <c r="AH88" i="72"/>
  <c r="F215" i="72"/>
  <c r="E98" i="72"/>
  <c r="E221" i="72"/>
  <c r="F256" i="72"/>
  <c r="H220" i="72"/>
  <c r="J215" i="73" l="1"/>
  <c r="G256" i="73"/>
  <c r="I220" i="73"/>
  <c r="K6" i="72"/>
  <c r="AH80" i="72"/>
  <c r="A7" i="72"/>
  <c r="G215" i="72"/>
  <c r="F98" i="72"/>
  <c r="F221" i="72"/>
  <c r="G256" i="72"/>
  <c r="I220" i="72"/>
  <c r="H256" i="73" l="1"/>
  <c r="J220" i="73"/>
  <c r="J221" i="73" s="1"/>
  <c r="K215" i="73"/>
  <c r="J98" i="73"/>
  <c r="I221" i="73"/>
  <c r="I98" i="73"/>
  <c r="H256" i="72"/>
  <c r="J220" i="72"/>
  <c r="H215" i="72"/>
  <c r="G98" i="72"/>
  <c r="G221" i="72"/>
  <c r="L215" i="73" l="1"/>
  <c r="K98" i="73"/>
  <c r="K220" i="73"/>
  <c r="I256" i="73"/>
  <c r="I215" i="72"/>
  <c r="H98" i="72"/>
  <c r="H221" i="72"/>
  <c r="K220" i="72"/>
  <c r="I256" i="72"/>
  <c r="J256" i="73" l="1"/>
  <c r="L220" i="73"/>
  <c r="L221" i="73"/>
  <c r="M215" i="73"/>
  <c r="L98" i="73"/>
  <c r="K221" i="73"/>
  <c r="J256" i="72"/>
  <c r="L220" i="72"/>
  <c r="I98" i="72"/>
  <c r="I221" i="72"/>
  <c r="J215" i="72"/>
  <c r="N215" i="73" l="1"/>
  <c r="M98" i="73"/>
  <c r="K256" i="73"/>
  <c r="M220" i="73"/>
  <c r="M221" i="73" s="1"/>
  <c r="K256" i="72"/>
  <c r="M220" i="72"/>
  <c r="J221" i="72"/>
  <c r="K215" i="72"/>
  <c r="J98" i="72"/>
  <c r="L256" i="73" l="1"/>
  <c r="N220" i="73"/>
  <c r="O215" i="73"/>
  <c r="N98" i="73"/>
  <c r="N221" i="73"/>
  <c r="K221" i="72"/>
  <c r="L215" i="72"/>
  <c r="K98" i="72"/>
  <c r="N220" i="72"/>
  <c r="L256" i="72"/>
  <c r="P215" i="73" l="1"/>
  <c r="O98" i="73"/>
  <c r="M256" i="73"/>
  <c r="O220" i="73"/>
  <c r="M256" i="72"/>
  <c r="O220" i="72"/>
  <c r="L221" i="72"/>
  <c r="L98" i="72"/>
  <c r="M215" i="72"/>
  <c r="N256" i="73" l="1"/>
  <c r="P220" i="73"/>
  <c r="O256" i="73" s="1"/>
  <c r="O221" i="73"/>
  <c r="P98" i="73"/>
  <c r="P221" i="73"/>
  <c r="N256" i="72"/>
  <c r="P220" i="72"/>
  <c r="O256" i="72" s="1"/>
  <c r="N215" i="72"/>
  <c r="M98" i="72"/>
  <c r="M221" i="72"/>
  <c r="Q100" i="70"/>
  <c r="Q36" i="70"/>
  <c r="P100" i="70"/>
  <c r="P36" i="70"/>
  <c r="AH106" i="36"/>
  <c r="AI106" i="36" s="1"/>
  <c r="AH106" i="70"/>
  <c r="AI106" i="70" s="1"/>
  <c r="O100" i="70"/>
  <c r="O36" i="70"/>
  <c r="N100" i="70"/>
  <c r="N36" i="70"/>
  <c r="M100" i="70"/>
  <c r="L100" i="70"/>
  <c r="K100" i="70"/>
  <c r="J100" i="70"/>
  <c r="I100" i="70"/>
  <c r="H100" i="70"/>
  <c r="G100" i="70"/>
  <c r="F100" i="70"/>
  <c r="E100" i="70"/>
  <c r="AF260" i="70"/>
  <c r="AE260" i="70"/>
  <c r="AD260" i="70"/>
  <c r="AC260" i="70"/>
  <c r="AB260" i="70"/>
  <c r="AA260" i="70"/>
  <c r="Z260" i="70"/>
  <c r="Y260" i="70"/>
  <c r="X260" i="70"/>
  <c r="W260" i="70"/>
  <c r="V260" i="70"/>
  <c r="U260" i="70"/>
  <c r="T260" i="70"/>
  <c r="S260" i="70"/>
  <c r="R260" i="70"/>
  <c r="Q260" i="70"/>
  <c r="P260" i="70"/>
  <c r="O260" i="70"/>
  <c r="N260" i="70"/>
  <c r="M260" i="70"/>
  <c r="L260" i="70"/>
  <c r="K260" i="70"/>
  <c r="J260" i="70"/>
  <c r="I260" i="70"/>
  <c r="H260" i="70"/>
  <c r="G260" i="70"/>
  <c r="F260" i="70"/>
  <c r="E260" i="70"/>
  <c r="D260" i="70"/>
  <c r="C260" i="70"/>
  <c r="B260" i="70"/>
  <c r="A260" i="70"/>
  <c r="AF259" i="70"/>
  <c r="AE259" i="70"/>
  <c r="AD259" i="70"/>
  <c r="AC259" i="70"/>
  <c r="AB259" i="70"/>
  <c r="AA259" i="70"/>
  <c r="Z259" i="70"/>
  <c r="Y259" i="70"/>
  <c r="X259" i="70"/>
  <c r="W259" i="70"/>
  <c r="V259" i="70"/>
  <c r="U259" i="70"/>
  <c r="T259" i="70"/>
  <c r="S259" i="70"/>
  <c r="R259" i="70"/>
  <c r="Q259" i="70"/>
  <c r="P259" i="70"/>
  <c r="O259" i="70"/>
  <c r="N259" i="70"/>
  <c r="M259" i="70"/>
  <c r="L259" i="70"/>
  <c r="K259" i="70"/>
  <c r="J259" i="70"/>
  <c r="I259" i="70"/>
  <c r="H259" i="70"/>
  <c r="G259" i="70"/>
  <c r="F259" i="70"/>
  <c r="E259" i="70"/>
  <c r="D259" i="70"/>
  <c r="C259" i="70"/>
  <c r="B259" i="70"/>
  <c r="A259" i="70"/>
  <c r="AF258" i="70"/>
  <c r="AE258" i="70"/>
  <c r="AD258" i="70"/>
  <c r="AC258" i="70"/>
  <c r="AB258" i="70"/>
  <c r="AA258" i="70"/>
  <c r="Z258" i="70"/>
  <c r="Y258" i="70"/>
  <c r="X258" i="70"/>
  <c r="W258" i="70"/>
  <c r="V258" i="70"/>
  <c r="U258" i="70"/>
  <c r="T258" i="70"/>
  <c r="S258" i="70"/>
  <c r="R258" i="70"/>
  <c r="Q258" i="70"/>
  <c r="P258" i="70"/>
  <c r="O258" i="70"/>
  <c r="N258" i="70"/>
  <c r="M258" i="70"/>
  <c r="L258" i="70"/>
  <c r="K258" i="70"/>
  <c r="J258" i="70"/>
  <c r="I258" i="70"/>
  <c r="H258" i="70"/>
  <c r="G258" i="70"/>
  <c r="F258" i="70"/>
  <c r="E258" i="70"/>
  <c r="D258" i="70"/>
  <c r="C258" i="70"/>
  <c r="B258" i="70"/>
  <c r="A258" i="70"/>
  <c r="AF257" i="70"/>
  <c r="AE257" i="70"/>
  <c r="AD257" i="70"/>
  <c r="AC257" i="70"/>
  <c r="AB257" i="70"/>
  <c r="AA257" i="70"/>
  <c r="Z257" i="70"/>
  <c r="Y257" i="70"/>
  <c r="X257" i="70"/>
  <c r="W257" i="70"/>
  <c r="V257" i="70"/>
  <c r="U257" i="70"/>
  <c r="T257" i="70"/>
  <c r="S257" i="70"/>
  <c r="R257" i="70"/>
  <c r="Q257" i="70"/>
  <c r="P257" i="70"/>
  <c r="O257" i="70"/>
  <c r="N257" i="70"/>
  <c r="M257" i="70"/>
  <c r="L257" i="70"/>
  <c r="K257" i="70"/>
  <c r="J257" i="70"/>
  <c r="I257" i="70"/>
  <c r="H257" i="70"/>
  <c r="G257" i="70"/>
  <c r="F257" i="70"/>
  <c r="E257" i="70"/>
  <c r="D257" i="70"/>
  <c r="C257" i="70"/>
  <c r="B257" i="70"/>
  <c r="A257" i="70"/>
  <c r="AE256" i="70"/>
  <c r="AD256" i="70"/>
  <c r="AC256" i="70"/>
  <c r="AB256" i="70"/>
  <c r="AA256" i="70"/>
  <c r="Z256" i="70"/>
  <c r="Y256" i="70"/>
  <c r="X256" i="70"/>
  <c r="W256" i="70"/>
  <c r="V256" i="70"/>
  <c r="U256" i="70"/>
  <c r="T256" i="70"/>
  <c r="S256" i="70"/>
  <c r="R256" i="70"/>
  <c r="Q256" i="70"/>
  <c r="P256" i="70"/>
  <c r="B256" i="70"/>
  <c r="S231" i="70"/>
  <c r="AG221" i="70"/>
  <c r="AF221" i="70"/>
  <c r="AE221" i="70"/>
  <c r="AD221" i="70"/>
  <c r="AC221" i="70"/>
  <c r="AB221" i="70"/>
  <c r="AA221" i="70"/>
  <c r="Z221" i="70"/>
  <c r="Y221" i="70"/>
  <c r="X221" i="70"/>
  <c r="W221" i="70"/>
  <c r="V221" i="70"/>
  <c r="U221" i="70"/>
  <c r="T221" i="70"/>
  <c r="S221" i="70"/>
  <c r="R221" i="70"/>
  <c r="Q221" i="70"/>
  <c r="C221" i="70"/>
  <c r="D220" i="70"/>
  <c r="D98" i="70" s="1"/>
  <c r="B220" i="70"/>
  <c r="AF256" i="70" s="1"/>
  <c r="E219" i="70"/>
  <c r="F219" i="70" s="1"/>
  <c r="G219" i="70" s="1"/>
  <c r="H219" i="70" s="1"/>
  <c r="I219" i="70" s="1"/>
  <c r="J219" i="70" s="1"/>
  <c r="K219" i="70" s="1"/>
  <c r="L219" i="70" s="1"/>
  <c r="M219" i="70" s="1"/>
  <c r="N219" i="70" s="1"/>
  <c r="O219" i="70" s="1"/>
  <c r="P219" i="70" s="1"/>
  <c r="D219" i="70"/>
  <c r="B219" i="70"/>
  <c r="D218" i="70"/>
  <c r="E218" i="70" s="1"/>
  <c r="F218" i="70" s="1"/>
  <c r="G218" i="70" s="1"/>
  <c r="H218" i="70" s="1"/>
  <c r="I218" i="70" s="1"/>
  <c r="J218" i="70" s="1"/>
  <c r="K218" i="70" s="1"/>
  <c r="L218" i="70" s="1"/>
  <c r="M218" i="70" s="1"/>
  <c r="N218" i="70" s="1"/>
  <c r="O218" i="70" s="1"/>
  <c r="P218" i="70" s="1"/>
  <c r="B218" i="70"/>
  <c r="F217" i="70"/>
  <c r="G217" i="70" s="1"/>
  <c r="H217" i="70" s="1"/>
  <c r="I217" i="70" s="1"/>
  <c r="J217" i="70" s="1"/>
  <c r="K217" i="70" s="1"/>
  <c r="L217" i="70" s="1"/>
  <c r="M217" i="70" s="1"/>
  <c r="N217" i="70" s="1"/>
  <c r="O217" i="70" s="1"/>
  <c r="P217" i="70" s="1"/>
  <c r="E217" i="70"/>
  <c r="D217" i="70"/>
  <c r="B217" i="70"/>
  <c r="D216" i="70"/>
  <c r="D221" i="70" s="1"/>
  <c r="B216" i="70"/>
  <c r="E215" i="70"/>
  <c r="F215" i="70" s="1"/>
  <c r="D215" i="70"/>
  <c r="B215" i="70"/>
  <c r="B221" i="70" s="1"/>
  <c r="AG213" i="70"/>
  <c r="AF213" i="70"/>
  <c r="AE213" i="70"/>
  <c r="AD213" i="70"/>
  <c r="AC213" i="70"/>
  <c r="AB213" i="70"/>
  <c r="AA213" i="70"/>
  <c r="Z213" i="70"/>
  <c r="Y213" i="70"/>
  <c r="X213" i="70"/>
  <c r="W213" i="70"/>
  <c r="V213" i="70"/>
  <c r="U213" i="70"/>
  <c r="T213" i="70"/>
  <c r="S213" i="70"/>
  <c r="R213" i="70"/>
  <c r="Q213" i="70"/>
  <c r="P213" i="70"/>
  <c r="O213" i="70"/>
  <c r="N213" i="70"/>
  <c r="M213" i="70"/>
  <c r="L213" i="70"/>
  <c r="K213" i="70"/>
  <c r="J213" i="70"/>
  <c r="I213" i="70"/>
  <c r="H213" i="70"/>
  <c r="G213" i="70"/>
  <c r="F213" i="70"/>
  <c r="E213" i="70"/>
  <c r="D213" i="70"/>
  <c r="C213" i="70"/>
  <c r="B213" i="70"/>
  <c r="AH105" i="70"/>
  <c r="AI105" i="70" s="1"/>
  <c r="AH104" i="70"/>
  <c r="AI104" i="70" s="1"/>
  <c r="AH103" i="70"/>
  <c r="AI103" i="70" s="1"/>
  <c r="AH102" i="70"/>
  <c r="AI102" i="70" s="1"/>
  <c r="AH101" i="70"/>
  <c r="AI101" i="70" s="1"/>
  <c r="AH100" i="70"/>
  <c r="AI100" i="70" s="1"/>
  <c r="AH99" i="70"/>
  <c r="AI99" i="70" s="1"/>
  <c r="AF98" i="70"/>
  <c r="AE98" i="70"/>
  <c r="AD98" i="70"/>
  <c r="AC98" i="70"/>
  <c r="AB98" i="70"/>
  <c r="AA98" i="70"/>
  <c r="Z98" i="70"/>
  <c r="Y98" i="70"/>
  <c r="X98" i="70"/>
  <c r="W98" i="70"/>
  <c r="V98" i="70"/>
  <c r="U98" i="70"/>
  <c r="T98" i="70"/>
  <c r="S98" i="70"/>
  <c r="R98" i="70"/>
  <c r="Q98" i="70"/>
  <c r="C98" i="70"/>
  <c r="AI97" i="70"/>
  <c r="AH97" i="70"/>
  <c r="AI96" i="70"/>
  <c r="AH96" i="70"/>
  <c r="AI95" i="70"/>
  <c r="AH95" i="70"/>
  <c r="AI94" i="70"/>
  <c r="AH94" i="70"/>
  <c r="AI93" i="70"/>
  <c r="AH93" i="70"/>
  <c r="AI92" i="70"/>
  <c r="AH92" i="70"/>
  <c r="AI91" i="70"/>
  <c r="AH91" i="70"/>
  <c r="AI90" i="70"/>
  <c r="AH90" i="70"/>
  <c r="AI89" i="70"/>
  <c r="AH89" i="70"/>
  <c r="AI86" i="70"/>
  <c r="AH86" i="70"/>
  <c r="AF85" i="70"/>
  <c r="AE85" i="70"/>
  <c r="AD85" i="70"/>
  <c r="AC85" i="70"/>
  <c r="AB85" i="70"/>
  <c r="AA85" i="70"/>
  <c r="Z85" i="70"/>
  <c r="Y85" i="70"/>
  <c r="X85" i="70"/>
  <c r="W85" i="70"/>
  <c r="V85" i="70"/>
  <c r="U85" i="70"/>
  <c r="T85" i="70"/>
  <c r="S85" i="70"/>
  <c r="R85" i="70"/>
  <c r="Q85" i="70"/>
  <c r="P85" i="70"/>
  <c r="O85" i="70"/>
  <c r="N85" i="70"/>
  <c r="M85" i="70"/>
  <c r="L85" i="70"/>
  <c r="L87" i="70" s="1"/>
  <c r="K85" i="70"/>
  <c r="J85" i="70"/>
  <c r="I85" i="70"/>
  <c r="H85" i="70"/>
  <c r="G85" i="70"/>
  <c r="F85" i="70"/>
  <c r="E85" i="70"/>
  <c r="D85" i="70"/>
  <c r="C85" i="70"/>
  <c r="B85" i="70"/>
  <c r="AF84" i="70"/>
  <c r="AE84" i="70"/>
  <c r="AD84" i="70"/>
  <c r="AC84" i="70"/>
  <c r="AB84" i="70"/>
  <c r="AA84" i="70"/>
  <c r="Z84" i="70"/>
  <c r="Y84" i="70"/>
  <c r="X84" i="70"/>
  <c r="W84" i="70"/>
  <c r="V84" i="70"/>
  <c r="U84" i="70"/>
  <c r="T84" i="70"/>
  <c r="S84" i="70"/>
  <c r="R84" i="70"/>
  <c r="Q84" i="70"/>
  <c r="P84" i="70"/>
  <c r="O84" i="70"/>
  <c r="N84" i="70"/>
  <c r="M84" i="70"/>
  <c r="L84" i="70"/>
  <c r="K84" i="70"/>
  <c r="J84" i="70"/>
  <c r="I84" i="70"/>
  <c r="H84" i="70"/>
  <c r="G84" i="70"/>
  <c r="F84" i="70"/>
  <c r="E84" i="70"/>
  <c r="D84" i="70"/>
  <c r="C84" i="70"/>
  <c r="B84" i="70"/>
  <c r="AF83" i="70"/>
  <c r="AE83" i="70"/>
  <c r="AD83" i="70"/>
  <c r="AC83" i="70"/>
  <c r="AB83" i="70"/>
  <c r="AA83" i="70"/>
  <c r="Z83" i="70"/>
  <c r="Y83" i="70"/>
  <c r="X83" i="70"/>
  <c r="W83" i="70"/>
  <c r="V83" i="70"/>
  <c r="U83" i="70"/>
  <c r="T83" i="70"/>
  <c r="S83" i="70"/>
  <c r="R83" i="70"/>
  <c r="Q83" i="70"/>
  <c r="P83" i="70"/>
  <c r="O83" i="70"/>
  <c r="N83" i="70"/>
  <c r="M83" i="70"/>
  <c r="L83" i="70"/>
  <c r="K83" i="70"/>
  <c r="J83" i="70"/>
  <c r="I83" i="70"/>
  <c r="H83" i="70"/>
  <c r="G83" i="70"/>
  <c r="F83" i="70"/>
  <c r="E83" i="70"/>
  <c r="D83" i="70"/>
  <c r="C83" i="70"/>
  <c r="B83" i="70"/>
  <c r="AF82" i="70"/>
  <c r="AE82" i="70"/>
  <c r="AD82" i="70"/>
  <c r="AC82" i="70"/>
  <c r="AB82" i="70"/>
  <c r="AA82" i="70"/>
  <c r="Z82" i="70"/>
  <c r="Y82" i="70"/>
  <c r="X82" i="70"/>
  <c r="W82" i="70"/>
  <c r="V82" i="70"/>
  <c r="U82" i="70"/>
  <c r="T82" i="70"/>
  <c r="S82" i="70"/>
  <c r="R82" i="70"/>
  <c r="Q82" i="70"/>
  <c r="P82" i="70"/>
  <c r="O82" i="70"/>
  <c r="N82" i="70"/>
  <c r="M82" i="70"/>
  <c r="L82" i="70"/>
  <c r="K82" i="70"/>
  <c r="J82" i="70"/>
  <c r="I82" i="70"/>
  <c r="H82" i="70"/>
  <c r="G82" i="70"/>
  <c r="F82" i="70"/>
  <c r="E82" i="70"/>
  <c r="D82" i="70"/>
  <c r="C82" i="70"/>
  <c r="B82" i="70"/>
  <c r="AF81" i="70"/>
  <c r="AE81" i="70"/>
  <c r="AD81" i="70"/>
  <c r="AC81" i="70"/>
  <c r="AB81" i="70"/>
  <c r="AA81" i="70"/>
  <c r="AA87" i="70" s="1"/>
  <c r="AA88" i="70" s="1"/>
  <c r="Z81" i="70"/>
  <c r="Z87" i="70" s="1"/>
  <c r="Y81" i="70"/>
  <c r="X81" i="70"/>
  <c r="W81" i="70"/>
  <c r="V81" i="70"/>
  <c r="U81" i="70"/>
  <c r="T81" i="70"/>
  <c r="T87" i="70" s="1"/>
  <c r="S81" i="70"/>
  <c r="R81" i="70"/>
  <c r="Q81" i="70"/>
  <c r="P81" i="70"/>
  <c r="P87" i="70" s="1"/>
  <c r="O81" i="70"/>
  <c r="N81" i="70"/>
  <c r="M81" i="70"/>
  <c r="M87" i="70" s="1"/>
  <c r="L81" i="70"/>
  <c r="K81" i="70"/>
  <c r="J81" i="70"/>
  <c r="I81" i="70"/>
  <c r="H81" i="70"/>
  <c r="G81" i="70"/>
  <c r="F81" i="70"/>
  <c r="E81" i="70"/>
  <c r="D81" i="70"/>
  <c r="C81" i="70"/>
  <c r="B81" i="70"/>
  <c r="AI78" i="70"/>
  <c r="AH78" i="70"/>
  <c r="AI76" i="70"/>
  <c r="AH76" i="70"/>
  <c r="AG76" i="70"/>
  <c r="AG79" i="70" s="1"/>
  <c r="AI75" i="70"/>
  <c r="AH75" i="70"/>
  <c r="AI74" i="70"/>
  <c r="AH74" i="70"/>
  <c r="AI73" i="70"/>
  <c r="AH73" i="70"/>
  <c r="AG72" i="70"/>
  <c r="AF72" i="70"/>
  <c r="AE72" i="70"/>
  <c r="AD5" i="70" s="1"/>
  <c r="AD72" i="70"/>
  <c r="AC5" i="70" s="1"/>
  <c r="AC72" i="70"/>
  <c r="AB5" i="70" s="1"/>
  <c r="AB72" i="70"/>
  <c r="AA5" i="70" s="1"/>
  <c r="AA72" i="70"/>
  <c r="Z72" i="70"/>
  <c r="Y72" i="70"/>
  <c r="X72" i="70"/>
  <c r="W72" i="70"/>
  <c r="V5" i="70" s="1"/>
  <c r="V72" i="70"/>
  <c r="U5" i="70" s="1"/>
  <c r="U72" i="70"/>
  <c r="T5" i="70" s="1"/>
  <c r="T72" i="70"/>
  <c r="S5" i="70" s="1"/>
  <c r="S72" i="70"/>
  <c r="R5" i="70" s="1"/>
  <c r="R72" i="70"/>
  <c r="Q5" i="70" s="1"/>
  <c r="Q72" i="70"/>
  <c r="P72" i="70"/>
  <c r="O72" i="70"/>
  <c r="N72" i="70"/>
  <c r="M5" i="70" s="1"/>
  <c r="M72" i="70"/>
  <c r="L5" i="70" s="1"/>
  <c r="L72" i="70"/>
  <c r="K5" i="70" s="1"/>
  <c r="K72" i="70"/>
  <c r="J5" i="70" s="1"/>
  <c r="J72" i="70"/>
  <c r="I72" i="70"/>
  <c r="H72" i="70"/>
  <c r="G72" i="70"/>
  <c r="F5" i="70" s="1"/>
  <c r="F72" i="70"/>
  <c r="E5" i="70" s="1"/>
  <c r="E72" i="70"/>
  <c r="D5" i="70" s="1"/>
  <c r="D72" i="70"/>
  <c r="C5" i="70" s="1"/>
  <c r="C72" i="70"/>
  <c r="B5" i="70" s="1"/>
  <c r="B72" i="70"/>
  <c r="AF5" i="70" s="1"/>
  <c r="AI71" i="70"/>
  <c r="AH71" i="70"/>
  <c r="AI70" i="70"/>
  <c r="AH70" i="70"/>
  <c r="AI69" i="70"/>
  <c r="AH69" i="70"/>
  <c r="AI68" i="70"/>
  <c r="AH68" i="70"/>
  <c r="AI67" i="70"/>
  <c r="AH67" i="70"/>
  <c r="AI66" i="70"/>
  <c r="AH66" i="70"/>
  <c r="AI65" i="70"/>
  <c r="AH65" i="70"/>
  <c r="AI64" i="70"/>
  <c r="AH64" i="70"/>
  <c r="AI63" i="70"/>
  <c r="AH63" i="70"/>
  <c r="AI62" i="70"/>
  <c r="AH62" i="70"/>
  <c r="AI61" i="70"/>
  <c r="AH61" i="70"/>
  <c r="AG60" i="70"/>
  <c r="AF60" i="70"/>
  <c r="AE60" i="70"/>
  <c r="AD60" i="70"/>
  <c r="AC60" i="70"/>
  <c r="AB60" i="70"/>
  <c r="AA60" i="70"/>
  <c r="Z60" i="70"/>
  <c r="Y60" i="70"/>
  <c r="X60" i="70"/>
  <c r="W60" i="70"/>
  <c r="V60" i="70"/>
  <c r="U60" i="70"/>
  <c r="T60" i="70"/>
  <c r="S60" i="70"/>
  <c r="R60" i="70"/>
  <c r="Q60" i="70"/>
  <c r="P60" i="70"/>
  <c r="O60" i="70"/>
  <c r="N60" i="70"/>
  <c r="M60" i="70"/>
  <c r="L60" i="70"/>
  <c r="K60" i="70"/>
  <c r="J60" i="70"/>
  <c r="I60" i="70"/>
  <c r="H60" i="70"/>
  <c r="G60" i="70"/>
  <c r="F60" i="70"/>
  <c r="E60" i="70"/>
  <c r="D60" i="70"/>
  <c r="C60" i="70"/>
  <c r="B60" i="70"/>
  <c r="AI59" i="70"/>
  <c r="AH59" i="70"/>
  <c r="AI58" i="70"/>
  <c r="AH58" i="70"/>
  <c r="AI57" i="70"/>
  <c r="AH57" i="70"/>
  <c r="AF56" i="70"/>
  <c r="AE56" i="70"/>
  <c r="AD56" i="70"/>
  <c r="AC56" i="70"/>
  <c r="AB56" i="70"/>
  <c r="AA56" i="70"/>
  <c r="Z56" i="70"/>
  <c r="Y56" i="70"/>
  <c r="X56" i="70"/>
  <c r="W56" i="70"/>
  <c r="V56" i="70"/>
  <c r="U56" i="70"/>
  <c r="T56" i="70"/>
  <c r="S56" i="70"/>
  <c r="R56" i="70"/>
  <c r="Q56" i="70"/>
  <c r="P56" i="70"/>
  <c r="O56" i="70"/>
  <c r="N56" i="70"/>
  <c r="M56" i="70"/>
  <c r="L56" i="70"/>
  <c r="K56" i="70"/>
  <c r="J56" i="70"/>
  <c r="I56" i="70"/>
  <c r="H56" i="70"/>
  <c r="G56" i="70"/>
  <c r="F56" i="70"/>
  <c r="E56" i="70"/>
  <c r="D56" i="70"/>
  <c r="C56" i="70"/>
  <c r="B56" i="70"/>
  <c r="AI55" i="70"/>
  <c r="AH55" i="70"/>
  <c r="AG55" i="70"/>
  <c r="AG56" i="70" s="1"/>
  <c r="AG3" i="70" s="1"/>
  <c r="AI54" i="70"/>
  <c r="AH54" i="70"/>
  <c r="AI53" i="70"/>
  <c r="AH53" i="70"/>
  <c r="AI52" i="70"/>
  <c r="AH52" i="70"/>
  <c r="AI51" i="70"/>
  <c r="AH51" i="70"/>
  <c r="AI50" i="70"/>
  <c r="AH50" i="70"/>
  <c r="AI49" i="70"/>
  <c r="AH49" i="70"/>
  <c r="AI48" i="70"/>
  <c r="AH48" i="70"/>
  <c r="AI47" i="70"/>
  <c r="AH47" i="70"/>
  <c r="AI46" i="70"/>
  <c r="AH46" i="70"/>
  <c r="AI45" i="70"/>
  <c r="AH45" i="70"/>
  <c r="AI44" i="70"/>
  <c r="AH44" i="70"/>
  <c r="AI43" i="70"/>
  <c r="AH43" i="70"/>
  <c r="AG42" i="70"/>
  <c r="AF42" i="70"/>
  <c r="AE42" i="70"/>
  <c r="AD42" i="70"/>
  <c r="AC42" i="70"/>
  <c r="AB42" i="70"/>
  <c r="AA42" i="70"/>
  <c r="Z42" i="70"/>
  <c r="Y42" i="70"/>
  <c r="X42" i="70"/>
  <c r="W42" i="70"/>
  <c r="V42" i="70"/>
  <c r="U42" i="70"/>
  <c r="T42" i="70"/>
  <c r="S42" i="70"/>
  <c r="R42" i="70"/>
  <c r="Q42" i="70"/>
  <c r="P42" i="70"/>
  <c r="O42" i="70"/>
  <c r="N42" i="70"/>
  <c r="M42" i="70"/>
  <c r="L42" i="70"/>
  <c r="K42" i="70"/>
  <c r="J42" i="70"/>
  <c r="I42" i="70"/>
  <c r="H42" i="70"/>
  <c r="G42" i="70"/>
  <c r="F42" i="70"/>
  <c r="E42" i="70"/>
  <c r="D42" i="70"/>
  <c r="C42" i="70"/>
  <c r="B42" i="70"/>
  <c r="AI41" i="70"/>
  <c r="AH41" i="70"/>
  <c r="AI40" i="70"/>
  <c r="AH40" i="70"/>
  <c r="AI39" i="70"/>
  <c r="AH39" i="70"/>
  <c r="AG38" i="70"/>
  <c r="AG77" i="70" s="1"/>
  <c r="AE38" i="70"/>
  <c r="AD38" i="70"/>
  <c r="AC38" i="70"/>
  <c r="AB38" i="70"/>
  <c r="AA38" i="70"/>
  <c r="Z38" i="70"/>
  <c r="Y38" i="70"/>
  <c r="X38" i="70"/>
  <c r="W38" i="70"/>
  <c r="V38" i="70"/>
  <c r="U38" i="70"/>
  <c r="T38" i="70"/>
  <c r="S38" i="70"/>
  <c r="R38" i="70"/>
  <c r="Q38" i="70"/>
  <c r="P38" i="70"/>
  <c r="O38" i="70"/>
  <c r="N38" i="70"/>
  <c r="M38" i="70"/>
  <c r="L38" i="70"/>
  <c r="K38" i="70"/>
  <c r="J38" i="70"/>
  <c r="I38" i="70"/>
  <c r="H38" i="70"/>
  <c r="G38" i="70"/>
  <c r="F38" i="70"/>
  <c r="E38" i="70"/>
  <c r="D38" i="70"/>
  <c r="C38" i="70"/>
  <c r="B38" i="70"/>
  <c r="AI37" i="70"/>
  <c r="AH37" i="70"/>
  <c r="AI36" i="70"/>
  <c r="AH36" i="70"/>
  <c r="AI35" i="70"/>
  <c r="AH35" i="70"/>
  <c r="AI34" i="70"/>
  <c r="AH34" i="70"/>
  <c r="AI33" i="70"/>
  <c r="AH33" i="70"/>
  <c r="AI32" i="70"/>
  <c r="AH32" i="70"/>
  <c r="AI31" i="70"/>
  <c r="AH31" i="70"/>
  <c r="AI30" i="70"/>
  <c r="AH30" i="70"/>
  <c r="AI29" i="70"/>
  <c r="AH29" i="70"/>
  <c r="AI28" i="70"/>
  <c r="AH28" i="70"/>
  <c r="AI27" i="70"/>
  <c r="AH27" i="70"/>
  <c r="AI26" i="70"/>
  <c r="AH26" i="70"/>
  <c r="AI25" i="70"/>
  <c r="AH25" i="70"/>
  <c r="AI24" i="70"/>
  <c r="AH24" i="70"/>
  <c r="AI23" i="70"/>
  <c r="AH23" i="70"/>
  <c r="AI22" i="70"/>
  <c r="AH22" i="70"/>
  <c r="AI21" i="70"/>
  <c r="AH21" i="70"/>
  <c r="AI20" i="70"/>
  <c r="AH20" i="70"/>
  <c r="AI19" i="70"/>
  <c r="AH19" i="70"/>
  <c r="AI18" i="70"/>
  <c r="AH18" i="70"/>
  <c r="AI17" i="70"/>
  <c r="AH17" i="70"/>
  <c r="AI16" i="70"/>
  <c r="AH16" i="70"/>
  <c r="AI15" i="70"/>
  <c r="AH15" i="70"/>
  <c r="AI14" i="70"/>
  <c r="AH14" i="70"/>
  <c r="AI13" i="70"/>
  <c r="AH13" i="70"/>
  <c r="AI12" i="70"/>
  <c r="AH12" i="70"/>
  <c r="AI11" i="70"/>
  <c r="AH11" i="70"/>
  <c r="AE5" i="70"/>
  <c r="Z5" i="70"/>
  <c r="X5" i="70"/>
  <c r="W5" i="70"/>
  <c r="AG4" i="70"/>
  <c r="K4" i="70"/>
  <c r="B4" i="70"/>
  <c r="S232" i="70" s="1"/>
  <c r="Z100" i="69"/>
  <c r="Y100" i="69"/>
  <c r="X100" i="69"/>
  <c r="W100" i="69"/>
  <c r="V100" i="69"/>
  <c r="T100" i="69"/>
  <c r="R60" i="69"/>
  <c r="Q100" i="69"/>
  <c r="Q99" i="69"/>
  <c r="M100" i="69"/>
  <c r="M99" i="69"/>
  <c r="E4" i="70"/>
  <c r="AI98" i="73" l="1"/>
  <c r="AH98" i="73"/>
  <c r="O215" i="72"/>
  <c r="N98" i="72"/>
  <c r="N221" i="72"/>
  <c r="AF87" i="70"/>
  <c r="AF88" i="70" s="1"/>
  <c r="AF77" i="70"/>
  <c r="AF79" i="70" s="1"/>
  <c r="AE87" i="70"/>
  <c r="AE88" i="70" s="1"/>
  <c r="AE77" i="70"/>
  <c r="AE79" i="70" s="1"/>
  <c r="AD87" i="70"/>
  <c r="AD77" i="70"/>
  <c r="AD79" i="70" s="1"/>
  <c r="AC87" i="70"/>
  <c r="AC77" i="70"/>
  <c r="AC79" i="70" s="1"/>
  <c r="AB87" i="70"/>
  <c r="AB77" i="70"/>
  <c r="AB79" i="70" s="1"/>
  <c r="AA77" i="70"/>
  <c r="AA79" i="70" s="1"/>
  <c r="Z88" i="70"/>
  <c r="Y5" i="70"/>
  <c r="Z77" i="70"/>
  <c r="Z79" i="70" s="1"/>
  <c r="Y87" i="70"/>
  <c r="Y88" i="70" s="1"/>
  <c r="Y77" i="70"/>
  <c r="Y79" i="70" s="1"/>
  <c r="X87" i="70"/>
  <c r="X88" i="70" s="1"/>
  <c r="X77" i="70"/>
  <c r="X79" i="70" s="1"/>
  <c r="X7" i="70" s="1"/>
  <c r="W87" i="70"/>
  <c r="W88" i="70"/>
  <c r="W77" i="70"/>
  <c r="W79" i="70" s="1"/>
  <c r="V77" i="70"/>
  <c r="V79" i="70" s="1"/>
  <c r="V87" i="70"/>
  <c r="U87" i="70"/>
  <c r="U77" i="70"/>
  <c r="U79" i="70" s="1"/>
  <c r="U7" i="70" s="1"/>
  <c r="T77" i="70"/>
  <c r="T79" i="70" s="1"/>
  <c r="AL235" i="70" s="1"/>
  <c r="S87" i="70"/>
  <c r="S88" i="70" s="1"/>
  <c r="S77" i="70"/>
  <c r="S79" i="70" s="1"/>
  <c r="R87" i="70"/>
  <c r="R88" i="70" s="1"/>
  <c r="R77" i="70"/>
  <c r="R79" i="70" s="1"/>
  <c r="P5" i="70"/>
  <c r="Q87" i="70"/>
  <c r="Q88" i="70" s="1"/>
  <c r="Q77" i="70"/>
  <c r="Q79" i="70" s="1"/>
  <c r="Q80" i="70" s="1"/>
  <c r="P88" i="70"/>
  <c r="O5" i="70"/>
  <c r="P77" i="70"/>
  <c r="P79" i="70" s="1"/>
  <c r="P80" i="70" s="1"/>
  <c r="O87" i="70"/>
  <c r="O88" i="70" s="1"/>
  <c r="O77" i="70"/>
  <c r="O79" i="70" s="1"/>
  <c r="N5" i="70"/>
  <c r="N87" i="70"/>
  <c r="N77" i="70"/>
  <c r="N79" i="70" s="1"/>
  <c r="AF235" i="70" s="1"/>
  <c r="M77" i="70"/>
  <c r="M79" i="70" s="1"/>
  <c r="M80" i="70" s="1"/>
  <c r="L77" i="70"/>
  <c r="L79" i="70" s="1"/>
  <c r="L80" i="70" s="1"/>
  <c r="K87" i="70"/>
  <c r="K88" i="70" s="1"/>
  <c r="K77" i="70"/>
  <c r="K79" i="70" s="1"/>
  <c r="K7" i="70" s="1"/>
  <c r="I5" i="70"/>
  <c r="J87" i="70"/>
  <c r="J88" i="70" s="1"/>
  <c r="J77" i="70"/>
  <c r="J79" i="70" s="1"/>
  <c r="J7" i="70" s="1"/>
  <c r="H5" i="70"/>
  <c r="I87" i="70"/>
  <c r="I88" i="70" s="1"/>
  <c r="I77" i="70"/>
  <c r="I79" i="70" s="1"/>
  <c r="I7" i="70" s="1"/>
  <c r="G5" i="70"/>
  <c r="H87" i="70"/>
  <c r="H88" i="70" s="1"/>
  <c r="H77" i="70"/>
  <c r="H79" i="70" s="1"/>
  <c r="H80" i="70" s="1"/>
  <c r="G87" i="70"/>
  <c r="G88" i="70" s="1"/>
  <c r="G77" i="70"/>
  <c r="G79" i="70" s="1"/>
  <c r="G7" i="70" s="1"/>
  <c r="AI42" i="70"/>
  <c r="F87" i="70"/>
  <c r="F88" i="70" s="1"/>
  <c r="F77" i="70"/>
  <c r="F79" i="70" s="1"/>
  <c r="F7" i="70" s="1"/>
  <c r="AH60" i="70"/>
  <c r="E87" i="70"/>
  <c r="E77" i="70"/>
  <c r="E79" i="70" s="1"/>
  <c r="E80" i="70" s="1"/>
  <c r="AI84" i="70"/>
  <c r="D87" i="70"/>
  <c r="AI85" i="70"/>
  <c r="AH82" i="70"/>
  <c r="AI38" i="70"/>
  <c r="C87" i="70"/>
  <c r="C88" i="70" s="1"/>
  <c r="C77" i="70"/>
  <c r="C79" i="70" s="1"/>
  <c r="C80" i="70" s="1"/>
  <c r="AH83" i="70"/>
  <c r="AI83" i="70"/>
  <c r="AI81" i="70"/>
  <c r="AH56" i="70"/>
  <c r="D77" i="70"/>
  <c r="D79" i="70" s="1"/>
  <c r="D7" i="70" s="1"/>
  <c r="AI60" i="70"/>
  <c r="AI56" i="70"/>
  <c r="D232" i="70"/>
  <c r="H4" i="70"/>
  <c r="C7" i="70"/>
  <c r="U235" i="70"/>
  <c r="AC235" i="70"/>
  <c r="K80" i="70"/>
  <c r="S7" i="70"/>
  <c r="S80" i="70"/>
  <c r="AK235" i="70"/>
  <c r="AA7" i="70"/>
  <c r="AS235" i="70"/>
  <c r="AA80" i="70"/>
  <c r="AB7" i="70"/>
  <c r="AT235" i="70"/>
  <c r="AB80" i="70"/>
  <c r="W235" i="70"/>
  <c r="AM235" i="70"/>
  <c r="AC7" i="70"/>
  <c r="AU235" i="70"/>
  <c r="AC80" i="70"/>
  <c r="AN235" i="70"/>
  <c r="V7" i="70"/>
  <c r="V80" i="70"/>
  <c r="AD7" i="70"/>
  <c r="AV235" i="70"/>
  <c r="AD80" i="70"/>
  <c r="AG235" i="70"/>
  <c r="O80" i="70"/>
  <c r="O7" i="70"/>
  <c r="AO235" i="70"/>
  <c r="W80" i="70"/>
  <c r="W7" i="70"/>
  <c r="AW235" i="70"/>
  <c r="AE80" i="70"/>
  <c r="AE7" i="70"/>
  <c r="AH235" i="70"/>
  <c r="AF80" i="70"/>
  <c r="AX235" i="70"/>
  <c r="AF7" i="70"/>
  <c r="G215" i="70"/>
  <c r="T7" i="70"/>
  <c r="Y80" i="70"/>
  <c r="Y7" i="70"/>
  <c r="AQ235" i="70"/>
  <c r="E88" i="70"/>
  <c r="M88" i="70"/>
  <c r="U88" i="70"/>
  <c r="AC88" i="70"/>
  <c r="J80" i="70"/>
  <c r="R80" i="70"/>
  <c r="R7" i="70"/>
  <c r="AJ235" i="70"/>
  <c r="Z80" i="70"/>
  <c r="Z7" i="70"/>
  <c r="AR235" i="70"/>
  <c r="N88" i="70"/>
  <c r="V88" i="70"/>
  <c r="AD88" i="70"/>
  <c r="AH38" i="70"/>
  <c r="AH42" i="70"/>
  <c r="B77" i="70"/>
  <c r="AH84" i="70"/>
  <c r="D88" i="70"/>
  <c r="L88" i="70"/>
  <c r="T88" i="70"/>
  <c r="AB88" i="70"/>
  <c r="E216" i="70"/>
  <c r="E220" i="70"/>
  <c r="AH85" i="70"/>
  <c r="B98" i="70"/>
  <c r="C256" i="70"/>
  <c r="AG2" i="70"/>
  <c r="AG6" i="70" s="1"/>
  <c r="AI82" i="70"/>
  <c r="AH72" i="70"/>
  <c r="AH81" i="70"/>
  <c r="B87" i="70"/>
  <c r="AI72" i="70"/>
  <c r="B72" i="69"/>
  <c r="AF5" i="69" s="1"/>
  <c r="B60" i="69"/>
  <c r="B56" i="69"/>
  <c r="B42" i="69"/>
  <c r="B38" i="69"/>
  <c r="B77" i="69" s="1"/>
  <c r="AF259" i="69"/>
  <c r="AE259" i="69"/>
  <c r="AD259" i="69"/>
  <c r="AC259" i="69"/>
  <c r="AB259" i="69"/>
  <c r="AA259" i="69"/>
  <c r="Z259" i="69"/>
  <c r="Y259" i="69"/>
  <c r="X259" i="69"/>
  <c r="W259" i="69"/>
  <c r="V259" i="69"/>
  <c r="U259" i="69"/>
  <c r="T259" i="69"/>
  <c r="S259" i="69"/>
  <c r="R259" i="69"/>
  <c r="Q259" i="69"/>
  <c r="P259" i="69"/>
  <c r="O259" i="69"/>
  <c r="N259" i="69"/>
  <c r="M259" i="69"/>
  <c r="L259" i="69"/>
  <c r="K259" i="69"/>
  <c r="J259" i="69"/>
  <c r="I259" i="69"/>
  <c r="H259" i="69"/>
  <c r="G259" i="69"/>
  <c r="F259" i="69"/>
  <c r="E259" i="69"/>
  <c r="D259" i="69"/>
  <c r="C259" i="69"/>
  <c r="B259" i="69"/>
  <c r="A259" i="69"/>
  <c r="AF258" i="69"/>
  <c r="AE258" i="69"/>
  <c r="AD258" i="69"/>
  <c r="AC258" i="69"/>
  <c r="AB258" i="69"/>
  <c r="AA258" i="69"/>
  <c r="Z258" i="69"/>
  <c r="Y258" i="69"/>
  <c r="X258" i="69"/>
  <c r="W258" i="69"/>
  <c r="V258" i="69"/>
  <c r="U258" i="69"/>
  <c r="T258" i="69"/>
  <c r="S258" i="69"/>
  <c r="R258" i="69"/>
  <c r="Q258" i="69"/>
  <c r="P258" i="69"/>
  <c r="O258" i="69"/>
  <c r="N258" i="69"/>
  <c r="M258" i="69"/>
  <c r="L258" i="69"/>
  <c r="K258" i="69"/>
  <c r="J258" i="69"/>
  <c r="I258" i="69"/>
  <c r="H258" i="69"/>
  <c r="G258" i="69"/>
  <c r="F258" i="69"/>
  <c r="E258" i="69"/>
  <c r="D258" i="69"/>
  <c r="C258" i="69"/>
  <c r="B258" i="69"/>
  <c r="A258" i="69"/>
  <c r="AF257" i="69"/>
  <c r="AE257" i="69"/>
  <c r="AD257" i="69"/>
  <c r="AC257" i="69"/>
  <c r="AB257" i="69"/>
  <c r="AA257" i="69"/>
  <c r="Z257" i="69"/>
  <c r="Y257" i="69"/>
  <c r="X257" i="69"/>
  <c r="W257" i="69"/>
  <c r="V257" i="69"/>
  <c r="U257" i="69"/>
  <c r="T257" i="69"/>
  <c r="S257" i="69"/>
  <c r="R257" i="69"/>
  <c r="Q257" i="69"/>
  <c r="P257" i="69"/>
  <c r="O257" i="69"/>
  <c r="N257" i="69"/>
  <c r="M257" i="69"/>
  <c r="L257" i="69"/>
  <c r="K257" i="69"/>
  <c r="J257" i="69"/>
  <c r="I257" i="69"/>
  <c r="H257" i="69"/>
  <c r="G257" i="69"/>
  <c r="F257" i="69"/>
  <c r="E257" i="69"/>
  <c r="D257" i="69"/>
  <c r="C257" i="69"/>
  <c r="B257" i="69"/>
  <c r="A257" i="69"/>
  <c r="AF256" i="69"/>
  <c r="AE256" i="69"/>
  <c r="AD256" i="69"/>
  <c r="AC256" i="69"/>
  <c r="AB256" i="69"/>
  <c r="AA256" i="69"/>
  <c r="Z256" i="69"/>
  <c r="Y256" i="69"/>
  <c r="X256" i="69"/>
  <c r="W256" i="69"/>
  <c r="V256" i="69"/>
  <c r="U256" i="69"/>
  <c r="T256" i="69"/>
  <c r="S256" i="69"/>
  <c r="R256" i="69"/>
  <c r="Q256" i="69"/>
  <c r="P256" i="69"/>
  <c r="O256" i="69"/>
  <c r="N256" i="69"/>
  <c r="M256" i="69"/>
  <c r="L256" i="69"/>
  <c r="K256" i="69"/>
  <c r="J256" i="69"/>
  <c r="I256" i="69"/>
  <c r="H256" i="69"/>
  <c r="G256" i="69"/>
  <c r="F256" i="69"/>
  <c r="E256" i="69"/>
  <c r="D256" i="69"/>
  <c r="C256" i="69"/>
  <c r="B256" i="69"/>
  <c r="A256" i="69"/>
  <c r="AE255" i="69"/>
  <c r="AD255" i="69"/>
  <c r="AC255" i="69"/>
  <c r="AB255" i="69"/>
  <c r="AA255" i="69"/>
  <c r="Z255" i="69"/>
  <c r="Y255" i="69"/>
  <c r="X255" i="69"/>
  <c r="W255" i="69"/>
  <c r="V255" i="69"/>
  <c r="U255" i="69"/>
  <c r="T255" i="69"/>
  <c r="S255" i="69"/>
  <c r="R255" i="69"/>
  <c r="Q255" i="69"/>
  <c r="P255" i="69"/>
  <c r="C255" i="69"/>
  <c r="B255" i="69"/>
  <c r="S230" i="69"/>
  <c r="AG220" i="69"/>
  <c r="AF220" i="69"/>
  <c r="AE220" i="69"/>
  <c r="AD220" i="69"/>
  <c r="AC220" i="69"/>
  <c r="AB220" i="69"/>
  <c r="AA220" i="69"/>
  <c r="Z220" i="69"/>
  <c r="Y220" i="69"/>
  <c r="X220" i="69"/>
  <c r="W220" i="69"/>
  <c r="V220" i="69"/>
  <c r="U220" i="69"/>
  <c r="T220" i="69"/>
  <c r="S220" i="69"/>
  <c r="R220" i="69"/>
  <c r="Q220" i="69"/>
  <c r="D220" i="69"/>
  <c r="C220" i="69"/>
  <c r="E219" i="69"/>
  <c r="D255" i="69" s="1"/>
  <c r="D219" i="69"/>
  <c r="B219" i="69"/>
  <c r="AF255" i="69" s="1"/>
  <c r="D218" i="69"/>
  <c r="E218" i="69" s="1"/>
  <c r="F218" i="69" s="1"/>
  <c r="G218" i="69" s="1"/>
  <c r="H218" i="69" s="1"/>
  <c r="I218" i="69" s="1"/>
  <c r="J218" i="69" s="1"/>
  <c r="K218" i="69" s="1"/>
  <c r="L218" i="69" s="1"/>
  <c r="M218" i="69" s="1"/>
  <c r="N218" i="69" s="1"/>
  <c r="O218" i="69" s="1"/>
  <c r="P218" i="69" s="1"/>
  <c r="B218" i="69"/>
  <c r="D217" i="69"/>
  <c r="E217" i="69" s="1"/>
  <c r="F217" i="69" s="1"/>
  <c r="G217" i="69" s="1"/>
  <c r="H217" i="69" s="1"/>
  <c r="I217" i="69" s="1"/>
  <c r="J217" i="69" s="1"/>
  <c r="K217" i="69" s="1"/>
  <c r="L217" i="69" s="1"/>
  <c r="M217" i="69" s="1"/>
  <c r="N217" i="69" s="1"/>
  <c r="O217" i="69" s="1"/>
  <c r="P217" i="69" s="1"/>
  <c r="B217" i="69"/>
  <c r="E216" i="69"/>
  <c r="F216" i="69" s="1"/>
  <c r="G216" i="69" s="1"/>
  <c r="H216" i="69" s="1"/>
  <c r="I216" i="69" s="1"/>
  <c r="J216" i="69" s="1"/>
  <c r="K216" i="69" s="1"/>
  <c r="L216" i="69" s="1"/>
  <c r="M216" i="69" s="1"/>
  <c r="N216" i="69" s="1"/>
  <c r="O216" i="69" s="1"/>
  <c r="P216" i="69" s="1"/>
  <c r="D216" i="69"/>
  <c r="B216" i="69"/>
  <c r="E215" i="69"/>
  <c r="F215" i="69" s="1"/>
  <c r="G215" i="69" s="1"/>
  <c r="H215" i="69" s="1"/>
  <c r="I215" i="69" s="1"/>
  <c r="J215" i="69" s="1"/>
  <c r="K215" i="69" s="1"/>
  <c r="L215" i="69" s="1"/>
  <c r="M215" i="69" s="1"/>
  <c r="N215" i="69" s="1"/>
  <c r="O215" i="69" s="1"/>
  <c r="P215" i="69" s="1"/>
  <c r="D215" i="69"/>
  <c r="B215" i="69"/>
  <c r="D214" i="69"/>
  <c r="E214" i="69" s="1"/>
  <c r="B214" i="69"/>
  <c r="B220" i="69" s="1"/>
  <c r="AG212" i="69"/>
  <c r="AF212" i="69"/>
  <c r="AE212" i="69"/>
  <c r="AD212" i="69"/>
  <c r="AC212" i="69"/>
  <c r="AB212" i="69"/>
  <c r="AA212" i="69"/>
  <c r="Z212" i="69"/>
  <c r="Y212" i="69"/>
  <c r="X212" i="69"/>
  <c r="W212" i="69"/>
  <c r="V212" i="69"/>
  <c r="U212" i="69"/>
  <c r="T212" i="69"/>
  <c r="S212" i="69"/>
  <c r="R212" i="69"/>
  <c r="Q212" i="69"/>
  <c r="P212" i="69"/>
  <c r="O212" i="69"/>
  <c r="N212" i="69"/>
  <c r="M212" i="69"/>
  <c r="L212" i="69"/>
  <c r="K212" i="69"/>
  <c r="J212" i="69"/>
  <c r="I212" i="69"/>
  <c r="H212" i="69"/>
  <c r="G212" i="69"/>
  <c r="F212" i="69"/>
  <c r="E212" i="69"/>
  <c r="D212" i="69"/>
  <c r="C212" i="69"/>
  <c r="B212" i="69"/>
  <c r="AH105" i="69"/>
  <c r="AI105" i="69" s="1"/>
  <c r="AH104" i="69"/>
  <c r="AI104" i="69" s="1"/>
  <c r="AH103" i="69"/>
  <c r="AI103" i="69" s="1"/>
  <c r="AH102" i="69"/>
  <c r="AI102" i="69" s="1"/>
  <c r="AH101" i="69"/>
  <c r="AI101" i="69" s="1"/>
  <c r="AH100" i="69"/>
  <c r="AI100" i="69" s="1"/>
  <c r="AH99" i="69"/>
  <c r="AI99" i="69" s="1"/>
  <c r="AF98" i="69"/>
  <c r="AE98" i="69"/>
  <c r="AD98" i="69"/>
  <c r="AC98" i="69"/>
  <c r="AB98" i="69"/>
  <c r="AA98" i="69"/>
  <c r="Z98" i="69"/>
  <c r="Y98" i="69"/>
  <c r="X98" i="69"/>
  <c r="W98" i="69"/>
  <c r="V98" i="69"/>
  <c r="U98" i="69"/>
  <c r="T98" i="69"/>
  <c r="S98" i="69"/>
  <c r="R98" i="69"/>
  <c r="Q98" i="69"/>
  <c r="D98" i="69"/>
  <c r="C98" i="69"/>
  <c r="AI97" i="69"/>
  <c r="AH97" i="69"/>
  <c r="AI96" i="69"/>
  <c r="AH96" i="69"/>
  <c r="AI95" i="69"/>
  <c r="AH95" i="69"/>
  <c r="AI94" i="69"/>
  <c r="AH94" i="69"/>
  <c r="AI93" i="69"/>
  <c r="AH93" i="69"/>
  <c r="AI92" i="69"/>
  <c r="AH92" i="69"/>
  <c r="AI91" i="69"/>
  <c r="AH91" i="69"/>
  <c r="AI90" i="69"/>
  <c r="AH90" i="69"/>
  <c r="AI89" i="69"/>
  <c r="AH89" i="69"/>
  <c r="AI86" i="69"/>
  <c r="AH86" i="69"/>
  <c r="AF85" i="69"/>
  <c r="AE85" i="69"/>
  <c r="AD85" i="69"/>
  <c r="AC85" i="69"/>
  <c r="AB85" i="69"/>
  <c r="AA85" i="69"/>
  <c r="Z85" i="69"/>
  <c r="Y85" i="69"/>
  <c r="X85" i="69"/>
  <c r="W85" i="69"/>
  <c r="V85" i="69"/>
  <c r="U85" i="69"/>
  <c r="T85" i="69"/>
  <c r="S85" i="69"/>
  <c r="R85" i="69"/>
  <c r="Q85" i="69"/>
  <c r="P85" i="69"/>
  <c r="O85" i="69"/>
  <c r="N85" i="69"/>
  <c r="M85" i="69"/>
  <c r="M87" i="69" s="1"/>
  <c r="L85" i="69"/>
  <c r="K85" i="69"/>
  <c r="J85" i="69"/>
  <c r="I85" i="69"/>
  <c r="H85" i="69"/>
  <c r="G85" i="69"/>
  <c r="F85" i="69"/>
  <c r="E85" i="69"/>
  <c r="D85" i="69"/>
  <c r="C85" i="69"/>
  <c r="B85" i="69"/>
  <c r="AF84" i="69"/>
  <c r="AE84" i="69"/>
  <c r="AD84" i="69"/>
  <c r="AC84" i="69"/>
  <c r="AB84" i="69"/>
  <c r="AA84" i="69"/>
  <c r="Z84" i="69"/>
  <c r="Y84" i="69"/>
  <c r="X84" i="69"/>
  <c r="W84" i="69"/>
  <c r="V84" i="69"/>
  <c r="U84" i="69"/>
  <c r="U87" i="69" s="1"/>
  <c r="T84" i="69"/>
  <c r="S84" i="69"/>
  <c r="R84" i="69"/>
  <c r="Q84" i="69"/>
  <c r="P84" i="69"/>
  <c r="O84" i="69"/>
  <c r="N84" i="69"/>
  <c r="M84" i="69"/>
  <c r="L84" i="69"/>
  <c r="K84" i="69"/>
  <c r="J84" i="69"/>
  <c r="I84" i="69"/>
  <c r="H84" i="69"/>
  <c r="G84" i="69"/>
  <c r="F84" i="69"/>
  <c r="E84" i="69"/>
  <c r="D84" i="69"/>
  <c r="C84" i="69"/>
  <c r="B84" i="69"/>
  <c r="AF83" i="69"/>
  <c r="AE83" i="69"/>
  <c r="AD83" i="69"/>
  <c r="AC83" i="69"/>
  <c r="AB83" i="69"/>
  <c r="AA83" i="69"/>
  <c r="Z83" i="69"/>
  <c r="Y83" i="69"/>
  <c r="X83" i="69"/>
  <c r="W83" i="69"/>
  <c r="V83" i="69"/>
  <c r="U83" i="69"/>
  <c r="T83" i="69"/>
  <c r="S83" i="69"/>
  <c r="R83" i="69"/>
  <c r="Q83" i="69"/>
  <c r="P83" i="69"/>
  <c r="O83" i="69"/>
  <c r="N83" i="69"/>
  <c r="M83" i="69"/>
  <c r="L83" i="69"/>
  <c r="K83" i="69"/>
  <c r="J83" i="69"/>
  <c r="I83" i="69"/>
  <c r="H83" i="69"/>
  <c r="G83" i="69"/>
  <c r="F83" i="69"/>
  <c r="E83" i="69"/>
  <c r="D83" i="69"/>
  <c r="C83" i="69"/>
  <c r="B83" i="69"/>
  <c r="AF82" i="69"/>
  <c r="AE82" i="69"/>
  <c r="AD82" i="69"/>
  <c r="AC82" i="69"/>
  <c r="AB82" i="69"/>
  <c r="AA82" i="69"/>
  <c r="AA87" i="69" s="1"/>
  <c r="Z82" i="69"/>
  <c r="Y82" i="69"/>
  <c r="X82" i="69"/>
  <c r="W82" i="69"/>
  <c r="V82" i="69"/>
  <c r="U82" i="69"/>
  <c r="T82" i="69"/>
  <c r="S82" i="69"/>
  <c r="R82" i="69"/>
  <c r="Q82" i="69"/>
  <c r="P82" i="69"/>
  <c r="O82" i="69"/>
  <c r="N82" i="69"/>
  <c r="M82" i="69"/>
  <c r="L82" i="69"/>
  <c r="K82" i="69"/>
  <c r="J82" i="69"/>
  <c r="I82" i="69"/>
  <c r="H82" i="69"/>
  <c r="G82" i="69"/>
  <c r="F82" i="69"/>
  <c r="E82" i="69"/>
  <c r="D82" i="69"/>
  <c r="C82" i="69"/>
  <c r="B82" i="69"/>
  <c r="AF81" i="69"/>
  <c r="AE81" i="69"/>
  <c r="AD81" i="69"/>
  <c r="AC81" i="69"/>
  <c r="AB81" i="69"/>
  <c r="AA81" i="69"/>
  <c r="Z81" i="69"/>
  <c r="Z87" i="69" s="1"/>
  <c r="Y81" i="69"/>
  <c r="X81" i="69"/>
  <c r="W81" i="69"/>
  <c r="V81" i="69"/>
  <c r="U81" i="69"/>
  <c r="T81" i="69"/>
  <c r="S81" i="69"/>
  <c r="R81" i="69"/>
  <c r="R87" i="69" s="1"/>
  <c r="Q81" i="69"/>
  <c r="Q87" i="69" s="1"/>
  <c r="P81" i="69"/>
  <c r="O81" i="69"/>
  <c r="N81" i="69"/>
  <c r="M81" i="69"/>
  <c r="L81" i="69"/>
  <c r="K81" i="69"/>
  <c r="J81" i="69"/>
  <c r="I81" i="69"/>
  <c r="H81" i="69"/>
  <c r="G81" i="69"/>
  <c r="G87" i="69" s="1"/>
  <c r="F81" i="69"/>
  <c r="E81" i="69"/>
  <c r="D81" i="69"/>
  <c r="C81" i="69"/>
  <c r="B81" i="69"/>
  <c r="AI78" i="69"/>
  <c r="AH78" i="69"/>
  <c r="AI76" i="69"/>
  <c r="AH76" i="69"/>
  <c r="AG76" i="69"/>
  <c r="AG79" i="69" s="1"/>
  <c r="AI75" i="69"/>
  <c r="AH75" i="69"/>
  <c r="AI74" i="69"/>
  <c r="AH74" i="69"/>
  <c r="AI73" i="69"/>
  <c r="AH73" i="69"/>
  <c r="AG72" i="69"/>
  <c r="AF72" i="69"/>
  <c r="AE5" i="69" s="1"/>
  <c r="AE72" i="69"/>
  <c r="AD72" i="69"/>
  <c r="AC72" i="69"/>
  <c r="AB5" i="69" s="1"/>
  <c r="AB72" i="69"/>
  <c r="AA5" i="69" s="1"/>
  <c r="AA72" i="69"/>
  <c r="Z5" i="69" s="1"/>
  <c r="Z72" i="69"/>
  <c r="Y72" i="69"/>
  <c r="X5" i="69" s="1"/>
  <c r="X72" i="69"/>
  <c r="W5" i="69" s="1"/>
  <c r="W72" i="69"/>
  <c r="V5" i="69" s="1"/>
  <c r="V72" i="69"/>
  <c r="U5" i="69" s="1"/>
  <c r="U72" i="69"/>
  <c r="T5" i="69" s="1"/>
  <c r="T72" i="69"/>
  <c r="S5" i="69" s="1"/>
  <c r="S72" i="69"/>
  <c r="R5" i="69" s="1"/>
  <c r="R72" i="69"/>
  <c r="Q5" i="69" s="1"/>
  <c r="Q72" i="69"/>
  <c r="P5" i="69" s="1"/>
  <c r="P72" i="69"/>
  <c r="O5" i="69" s="1"/>
  <c r="O72" i="69"/>
  <c r="N5" i="69" s="1"/>
  <c r="N72" i="69"/>
  <c r="M5" i="69" s="1"/>
  <c r="M72" i="69"/>
  <c r="L5" i="69" s="1"/>
  <c r="L72" i="69"/>
  <c r="K5" i="69" s="1"/>
  <c r="K72" i="69"/>
  <c r="J72" i="69"/>
  <c r="I72" i="69"/>
  <c r="H72" i="69"/>
  <c r="G72" i="69"/>
  <c r="F72" i="69"/>
  <c r="E72" i="69"/>
  <c r="D5" i="69" s="1"/>
  <c r="D72" i="69"/>
  <c r="C5" i="69" s="1"/>
  <c r="C72" i="69"/>
  <c r="AI71" i="69"/>
  <c r="AH71" i="69"/>
  <c r="AI70" i="69"/>
  <c r="AH70" i="69"/>
  <c r="AI69" i="69"/>
  <c r="AH69" i="69"/>
  <c r="AI68" i="69"/>
  <c r="AH68" i="69"/>
  <c r="AI67" i="69"/>
  <c r="AH67" i="69"/>
  <c r="AI66" i="69"/>
  <c r="AH66" i="69"/>
  <c r="AI65" i="69"/>
  <c r="AH65" i="69"/>
  <c r="AI64" i="69"/>
  <c r="AH64" i="69"/>
  <c r="AI63" i="69"/>
  <c r="AH63" i="69"/>
  <c r="AI62" i="69"/>
  <c r="AH62" i="69"/>
  <c r="AI61" i="69"/>
  <c r="AH61" i="69"/>
  <c r="AG60" i="69"/>
  <c r="AF60" i="69"/>
  <c r="AE60" i="69"/>
  <c r="AD60" i="69"/>
  <c r="AC60" i="69"/>
  <c r="AB60" i="69"/>
  <c r="AA60" i="69"/>
  <c r="Z60" i="69"/>
  <c r="Y60" i="69"/>
  <c r="X60" i="69"/>
  <c r="W60" i="69"/>
  <c r="V60" i="69"/>
  <c r="U60" i="69"/>
  <c r="T60" i="69"/>
  <c r="S60" i="69"/>
  <c r="Q60" i="69"/>
  <c r="P60" i="69"/>
  <c r="O60" i="69"/>
  <c r="N60" i="69"/>
  <c r="M60" i="69"/>
  <c r="L60" i="69"/>
  <c r="K60" i="69"/>
  <c r="J60" i="69"/>
  <c r="I60" i="69"/>
  <c r="H60" i="69"/>
  <c r="G60" i="69"/>
  <c r="F60" i="69"/>
  <c r="E60" i="69"/>
  <c r="D60" i="69"/>
  <c r="C60" i="69"/>
  <c r="AI59" i="69"/>
  <c r="AH59" i="69"/>
  <c r="AI58" i="69"/>
  <c r="AH58" i="69"/>
  <c r="AI57" i="69"/>
  <c r="AH57" i="69"/>
  <c r="AF56" i="69"/>
  <c r="AE56" i="69"/>
  <c r="AD56" i="69"/>
  <c r="AC56" i="69"/>
  <c r="AB56" i="69"/>
  <c r="AA56" i="69"/>
  <c r="Z56" i="69"/>
  <c r="Y56" i="69"/>
  <c r="X56" i="69"/>
  <c r="W56" i="69"/>
  <c r="V56" i="69"/>
  <c r="U56" i="69"/>
  <c r="T56" i="69"/>
  <c r="S56" i="69"/>
  <c r="R56" i="69"/>
  <c r="Q56" i="69"/>
  <c r="P56" i="69"/>
  <c r="O56" i="69"/>
  <c r="N56" i="69"/>
  <c r="M56" i="69"/>
  <c r="L56" i="69"/>
  <c r="K56" i="69"/>
  <c r="J56" i="69"/>
  <c r="I56" i="69"/>
  <c r="H56" i="69"/>
  <c r="G56" i="69"/>
  <c r="F56" i="69"/>
  <c r="E56" i="69"/>
  <c r="D56" i="69"/>
  <c r="C56" i="69"/>
  <c r="AI55" i="69"/>
  <c r="AH55" i="69"/>
  <c r="AG55" i="69"/>
  <c r="AG56" i="69" s="1"/>
  <c r="AG3" i="69" s="1"/>
  <c r="AI54" i="69"/>
  <c r="AH54" i="69"/>
  <c r="AI53" i="69"/>
  <c r="AH53" i="69"/>
  <c r="AI52" i="69"/>
  <c r="AH52" i="69"/>
  <c r="AI51" i="69"/>
  <c r="AH51" i="69"/>
  <c r="AI50" i="69"/>
  <c r="AH50" i="69"/>
  <c r="AI49" i="69"/>
  <c r="AH49" i="69"/>
  <c r="AI48" i="69"/>
  <c r="AH48" i="69"/>
  <c r="AI47" i="69"/>
  <c r="AH47" i="69"/>
  <c r="AI46" i="69"/>
  <c r="AH46" i="69"/>
  <c r="AI45" i="69"/>
  <c r="AH45" i="69"/>
  <c r="AI44" i="69"/>
  <c r="AH44" i="69"/>
  <c r="AI43" i="69"/>
  <c r="AH43" i="69"/>
  <c r="AG42" i="69"/>
  <c r="AF42" i="69"/>
  <c r="AE42" i="69"/>
  <c r="AD42" i="69"/>
  <c r="AC42" i="69"/>
  <c r="AB42" i="69"/>
  <c r="AA42" i="69"/>
  <c r="Z42" i="69"/>
  <c r="Y42" i="69"/>
  <c r="X42" i="69"/>
  <c r="W42" i="69"/>
  <c r="V42" i="69"/>
  <c r="U42" i="69"/>
  <c r="T42" i="69"/>
  <c r="S42" i="69"/>
  <c r="R42" i="69"/>
  <c r="Q42" i="69"/>
  <c r="P42" i="69"/>
  <c r="O42" i="69"/>
  <c r="N42" i="69"/>
  <c r="M42" i="69"/>
  <c r="L42" i="69"/>
  <c r="K42" i="69"/>
  <c r="J42" i="69"/>
  <c r="I42" i="69"/>
  <c r="H42" i="69"/>
  <c r="G42" i="69"/>
  <c r="F42" i="69"/>
  <c r="E42" i="69"/>
  <c r="D42" i="69"/>
  <c r="C42" i="69"/>
  <c r="AI41" i="69"/>
  <c r="AH41" i="69"/>
  <c r="AI40" i="69"/>
  <c r="AH40" i="69"/>
  <c r="AI39" i="69"/>
  <c r="AH39" i="69"/>
  <c r="AG38" i="69"/>
  <c r="AG77" i="69" s="1"/>
  <c r="AF38" i="69"/>
  <c r="AE38" i="69"/>
  <c r="AD38" i="69"/>
  <c r="AC38" i="69"/>
  <c r="AB38" i="69"/>
  <c r="AA38" i="69"/>
  <c r="AA77" i="69" s="1"/>
  <c r="AA79" i="69" s="1"/>
  <c r="Z38" i="69"/>
  <c r="Y38" i="69"/>
  <c r="X38" i="69"/>
  <c r="W38" i="69"/>
  <c r="V38" i="69"/>
  <c r="U38" i="69"/>
  <c r="T38" i="69"/>
  <c r="S38" i="69"/>
  <c r="R38" i="69"/>
  <c r="Q38" i="69"/>
  <c r="P38" i="69"/>
  <c r="O38" i="69"/>
  <c r="N38" i="69"/>
  <c r="M38" i="69"/>
  <c r="L38" i="69"/>
  <c r="K38" i="69"/>
  <c r="J38" i="69"/>
  <c r="I38" i="69"/>
  <c r="H38" i="69"/>
  <c r="G38" i="69"/>
  <c r="F38" i="69"/>
  <c r="E38" i="69"/>
  <c r="D38" i="69"/>
  <c r="C38" i="69"/>
  <c r="AI37" i="69"/>
  <c r="AH37" i="69"/>
  <c r="AI36" i="69"/>
  <c r="AH36" i="69"/>
  <c r="AI35" i="69"/>
  <c r="AH35" i="69"/>
  <c r="AI34" i="69"/>
  <c r="AH34" i="69"/>
  <c r="AI33" i="69"/>
  <c r="AH33" i="69"/>
  <c r="AI32" i="69"/>
  <c r="AH32" i="69"/>
  <c r="AI31" i="69"/>
  <c r="AH31" i="69"/>
  <c r="AI30" i="69"/>
  <c r="AH30" i="69"/>
  <c r="AI29" i="69"/>
  <c r="AH29" i="69"/>
  <c r="AI28" i="69"/>
  <c r="AH28" i="69"/>
  <c r="AI27" i="69"/>
  <c r="AH27" i="69"/>
  <c r="AI26" i="69"/>
  <c r="AH26" i="69"/>
  <c r="AI25" i="69"/>
  <c r="AH25" i="69"/>
  <c r="AI24" i="69"/>
  <c r="AH24" i="69"/>
  <c r="AI23" i="69"/>
  <c r="AH23" i="69"/>
  <c r="AI22" i="69"/>
  <c r="AH22" i="69"/>
  <c r="AI21" i="69"/>
  <c r="AH21" i="69"/>
  <c r="AI20" i="69"/>
  <c r="AH20" i="69"/>
  <c r="AI19" i="69"/>
  <c r="AH19" i="69"/>
  <c r="AI18" i="69"/>
  <c r="AH18" i="69"/>
  <c r="AI17" i="69"/>
  <c r="AH17" i="69"/>
  <c r="AI16" i="69"/>
  <c r="AH16" i="69"/>
  <c r="AI15" i="69"/>
  <c r="AH15" i="69"/>
  <c r="AI14" i="69"/>
  <c r="AH14" i="69"/>
  <c r="AI13" i="69"/>
  <c r="AH13" i="69"/>
  <c r="AI12" i="69"/>
  <c r="AH12" i="69"/>
  <c r="AI11" i="69"/>
  <c r="AH11" i="69"/>
  <c r="AG4" i="69"/>
  <c r="K4" i="69"/>
  <c r="B4" i="69"/>
  <c r="S231" i="69" s="1"/>
  <c r="AG2" i="69"/>
  <c r="AG6" i="69" s="1"/>
  <c r="E4" i="69"/>
  <c r="AD235" i="70" l="1"/>
  <c r="N80" i="70"/>
  <c r="N7" i="70"/>
  <c r="I80" i="70"/>
  <c r="X235" i="70"/>
  <c r="L7" i="70"/>
  <c r="E7" i="70"/>
  <c r="P215" i="72"/>
  <c r="O98" i="72"/>
  <c r="O221" i="72"/>
  <c r="X80" i="70"/>
  <c r="AP235" i="70"/>
  <c r="Q7" i="70"/>
  <c r="T80" i="70"/>
  <c r="AI235" i="70"/>
  <c r="U80" i="70"/>
  <c r="P7" i="70"/>
  <c r="AE235" i="70"/>
  <c r="M7" i="70"/>
  <c r="AB235" i="70"/>
  <c r="AA235" i="70"/>
  <c r="C230" i="70"/>
  <c r="Z235" i="70"/>
  <c r="H7" i="70"/>
  <c r="G80" i="70"/>
  <c r="B230" i="70"/>
  <c r="Y235" i="70"/>
  <c r="F80" i="70"/>
  <c r="D80" i="70"/>
  <c r="V235" i="70"/>
  <c r="AI87" i="70"/>
  <c r="AH87" i="70"/>
  <c r="E98" i="70"/>
  <c r="D256" i="70"/>
  <c r="F220" i="70"/>
  <c r="B79" i="70"/>
  <c r="AI77" i="70"/>
  <c r="AH77" i="70"/>
  <c r="B88" i="70"/>
  <c r="E221" i="70"/>
  <c r="F216" i="70"/>
  <c r="H215" i="70"/>
  <c r="AF87" i="69"/>
  <c r="AF88" i="69" s="1"/>
  <c r="AE87" i="69"/>
  <c r="AE88" i="69" s="1"/>
  <c r="AD5" i="69"/>
  <c r="AF77" i="69"/>
  <c r="AF79" i="69" s="1"/>
  <c r="AE77" i="69"/>
  <c r="AE79" i="69" s="1"/>
  <c r="AD87" i="69"/>
  <c r="AD88" i="69" s="1"/>
  <c r="AD77" i="69"/>
  <c r="AD79" i="69" s="1"/>
  <c r="AC5" i="69"/>
  <c r="AC87" i="69"/>
  <c r="AC77" i="69"/>
  <c r="AC79" i="69" s="1"/>
  <c r="AB87" i="69"/>
  <c r="AB88" i="69" s="1"/>
  <c r="AB77" i="69"/>
  <c r="AB79" i="69" s="1"/>
  <c r="AB80" i="69" s="1"/>
  <c r="AA88" i="69"/>
  <c r="Z88" i="69"/>
  <c r="Y5" i="69"/>
  <c r="Z77" i="69"/>
  <c r="Z79" i="69" s="1"/>
  <c r="Y87" i="69"/>
  <c r="Y88" i="69"/>
  <c r="Y77" i="69"/>
  <c r="Y79" i="69" s="1"/>
  <c r="Y80" i="69" s="1"/>
  <c r="X87" i="69"/>
  <c r="X88" i="69" s="1"/>
  <c r="X77" i="69"/>
  <c r="X79" i="69" s="1"/>
  <c r="W87" i="69"/>
  <c r="W88" i="69"/>
  <c r="W77" i="69"/>
  <c r="W79" i="69" s="1"/>
  <c r="V87" i="69"/>
  <c r="V88" i="69" s="1"/>
  <c r="V77" i="69"/>
  <c r="V79" i="69" s="1"/>
  <c r="U77" i="69"/>
  <c r="U79" i="69" s="1"/>
  <c r="AM234" i="69" s="1"/>
  <c r="T87" i="69"/>
  <c r="T88" i="69"/>
  <c r="T77" i="69"/>
  <c r="T79" i="69" s="1"/>
  <c r="S87" i="69"/>
  <c r="S88" i="69"/>
  <c r="S77" i="69"/>
  <c r="S79" i="69" s="1"/>
  <c r="R88" i="69"/>
  <c r="R77" i="69"/>
  <c r="R79" i="69" s="1"/>
  <c r="Q88" i="69"/>
  <c r="Q77" i="69"/>
  <c r="Q79" i="69" s="1"/>
  <c r="P87" i="69"/>
  <c r="P88" i="69" s="1"/>
  <c r="P77" i="69"/>
  <c r="P79" i="69" s="1"/>
  <c r="O87" i="69"/>
  <c r="O88" i="69" s="1"/>
  <c r="O77" i="69"/>
  <c r="O79" i="69" s="1"/>
  <c r="AG234" i="69" s="1"/>
  <c r="N87" i="69"/>
  <c r="N88" i="69" s="1"/>
  <c r="N77" i="69"/>
  <c r="N79" i="69" s="1"/>
  <c r="AH42" i="69"/>
  <c r="M77" i="69"/>
  <c r="M79" i="69" s="1"/>
  <c r="AE234" i="69" s="1"/>
  <c r="L77" i="69"/>
  <c r="L79" i="69" s="1"/>
  <c r="L87" i="69"/>
  <c r="L88" i="69" s="1"/>
  <c r="K87" i="69"/>
  <c r="K88" i="69" s="1"/>
  <c r="J5" i="69"/>
  <c r="K77" i="69"/>
  <c r="K79" i="69" s="1"/>
  <c r="K7" i="69" s="1"/>
  <c r="J87" i="69"/>
  <c r="J88" i="69"/>
  <c r="J77" i="69"/>
  <c r="J79" i="69" s="1"/>
  <c r="J7" i="69" s="1"/>
  <c r="I5" i="69"/>
  <c r="AI83" i="69"/>
  <c r="I87" i="69"/>
  <c r="I88" i="69" s="1"/>
  <c r="H5" i="69"/>
  <c r="I77" i="69"/>
  <c r="I79" i="69" s="1"/>
  <c r="I7" i="69" s="1"/>
  <c r="H87" i="69"/>
  <c r="AI82" i="69"/>
  <c r="H88" i="69"/>
  <c r="G5" i="69"/>
  <c r="H77" i="69"/>
  <c r="H79" i="69" s="1"/>
  <c r="H7" i="69" s="1"/>
  <c r="AI81" i="69"/>
  <c r="G88" i="69"/>
  <c r="F5" i="69"/>
  <c r="AH60" i="69"/>
  <c r="G77" i="69"/>
  <c r="G79" i="69" s="1"/>
  <c r="Y234" i="69" s="1"/>
  <c r="E5" i="69"/>
  <c r="F87" i="69"/>
  <c r="F88" i="69" s="1"/>
  <c r="AI60" i="69"/>
  <c r="F77" i="69"/>
  <c r="F79" i="69" s="1"/>
  <c r="F7" i="69" s="1"/>
  <c r="E87" i="69"/>
  <c r="E77" i="69"/>
  <c r="E79" i="69" s="1"/>
  <c r="W234" i="69" s="1"/>
  <c r="D87" i="69"/>
  <c r="D88" i="69" s="1"/>
  <c r="AI72" i="69"/>
  <c r="AI85" i="69"/>
  <c r="D77" i="69"/>
  <c r="D79" i="69" s="1"/>
  <c r="D80" i="69" s="1"/>
  <c r="AH56" i="69"/>
  <c r="AI56" i="69"/>
  <c r="C87" i="69"/>
  <c r="C88" i="69" s="1"/>
  <c r="AI84" i="69"/>
  <c r="B5" i="69"/>
  <c r="C77" i="69"/>
  <c r="C79" i="69" s="1"/>
  <c r="AH38" i="69"/>
  <c r="AH84" i="69"/>
  <c r="H4" i="69"/>
  <c r="AT234" i="69"/>
  <c r="S7" i="69"/>
  <c r="AK234" i="69"/>
  <c r="S80" i="69"/>
  <c r="AA7" i="69"/>
  <c r="AS234" i="69"/>
  <c r="AA80" i="69"/>
  <c r="AC7" i="69"/>
  <c r="AU234" i="69"/>
  <c r="AC80" i="69"/>
  <c r="T7" i="69"/>
  <c r="AL234" i="69"/>
  <c r="T80" i="69"/>
  <c r="U7" i="69"/>
  <c r="AF234" i="69"/>
  <c r="N80" i="69"/>
  <c r="N7" i="69"/>
  <c r="AN234" i="69"/>
  <c r="V80" i="69"/>
  <c r="V7" i="69"/>
  <c r="AV234" i="69"/>
  <c r="AD80" i="69"/>
  <c r="AD7" i="69"/>
  <c r="AO234" i="69"/>
  <c r="W80" i="69"/>
  <c r="W7" i="69"/>
  <c r="AW234" i="69"/>
  <c r="AE7" i="69"/>
  <c r="AE80" i="69"/>
  <c r="E98" i="69"/>
  <c r="F214" i="69"/>
  <c r="E220" i="69"/>
  <c r="L7" i="69"/>
  <c r="L80" i="69"/>
  <c r="AD234" i="69"/>
  <c r="P80" i="69"/>
  <c r="P7" i="69"/>
  <c r="AH234" i="69"/>
  <c r="X7" i="69"/>
  <c r="AP234" i="69"/>
  <c r="AF80" i="69"/>
  <c r="AF7" i="69"/>
  <c r="AX234" i="69"/>
  <c r="Q80" i="69"/>
  <c r="Q7" i="69"/>
  <c r="AI234" i="69"/>
  <c r="Y7" i="69"/>
  <c r="E7" i="69"/>
  <c r="E80" i="69"/>
  <c r="B79" i="69"/>
  <c r="R80" i="69"/>
  <c r="R7" i="69"/>
  <c r="AJ234" i="69"/>
  <c r="Z80" i="69"/>
  <c r="Z7" i="69"/>
  <c r="AR234" i="69"/>
  <c r="AH83" i="69"/>
  <c r="D231" i="69"/>
  <c r="AI38" i="69"/>
  <c r="AI42" i="69"/>
  <c r="AH85" i="69"/>
  <c r="E88" i="69"/>
  <c r="M88" i="69"/>
  <c r="U88" i="69"/>
  <c r="AC88" i="69"/>
  <c r="B98" i="69"/>
  <c r="F219" i="69"/>
  <c r="AH72" i="69"/>
  <c r="AH81" i="69"/>
  <c r="B87" i="69"/>
  <c r="B88" i="69" s="1"/>
  <c r="AH82" i="69"/>
  <c r="P98" i="72" l="1"/>
  <c r="P221" i="72"/>
  <c r="K6" i="70"/>
  <c r="B80" i="70"/>
  <c r="AH80" i="70" s="1"/>
  <c r="AI79" i="70"/>
  <c r="AH79" i="70"/>
  <c r="B7" i="70"/>
  <c r="A7" i="70" s="1"/>
  <c r="T235" i="70"/>
  <c r="I215" i="70"/>
  <c r="E256" i="70"/>
  <c r="G220" i="70"/>
  <c r="F98" i="70"/>
  <c r="G216" i="70"/>
  <c r="F221" i="70"/>
  <c r="AI88" i="70"/>
  <c r="AH88" i="70"/>
  <c r="AB7" i="69"/>
  <c r="AQ234" i="69"/>
  <c r="X80" i="69"/>
  <c r="U80" i="69"/>
  <c r="O80" i="69"/>
  <c r="O7" i="69"/>
  <c r="M7" i="69"/>
  <c r="M80" i="69"/>
  <c r="K80" i="69"/>
  <c r="AC234" i="69"/>
  <c r="J80" i="69"/>
  <c r="AB234" i="69"/>
  <c r="AA234" i="69"/>
  <c r="I80" i="69"/>
  <c r="Z234" i="69"/>
  <c r="H80" i="69"/>
  <c r="G80" i="69"/>
  <c r="G7" i="69"/>
  <c r="B229" i="69"/>
  <c r="C229" i="69"/>
  <c r="F80" i="69"/>
  <c r="X234" i="69"/>
  <c r="V234" i="69"/>
  <c r="D7" i="69"/>
  <c r="AI77" i="69"/>
  <c r="C80" i="69"/>
  <c r="AH77" i="69"/>
  <c r="U234" i="69"/>
  <c r="C7" i="69"/>
  <c r="E255" i="69"/>
  <c r="G219" i="69"/>
  <c r="AI88" i="69"/>
  <c r="AH88" i="69"/>
  <c r="AI87" i="69"/>
  <c r="AH87" i="69"/>
  <c r="B80" i="69"/>
  <c r="AI79" i="69"/>
  <c r="AH79" i="69"/>
  <c r="B7" i="69"/>
  <c r="T234" i="69"/>
  <c r="F98" i="69"/>
  <c r="G214" i="69"/>
  <c r="F220" i="69"/>
  <c r="AI98" i="72" l="1"/>
  <c r="AH98" i="72"/>
  <c r="J215" i="70"/>
  <c r="H216" i="70"/>
  <c r="G221" i="70"/>
  <c r="F256" i="70"/>
  <c r="H220" i="70"/>
  <c r="G98" i="70"/>
  <c r="AH80" i="69"/>
  <c r="K6" i="69"/>
  <c r="A7" i="69"/>
  <c r="G98" i="69"/>
  <c r="H214" i="69"/>
  <c r="G220" i="69"/>
  <c r="F255" i="69"/>
  <c r="H219" i="69"/>
  <c r="I216" i="70" l="1"/>
  <c r="H221" i="70"/>
  <c r="G256" i="70"/>
  <c r="I220" i="70"/>
  <c r="H98" i="70"/>
  <c r="K215" i="70"/>
  <c r="G255" i="69"/>
  <c r="I219" i="69"/>
  <c r="I214" i="69"/>
  <c r="H220" i="69"/>
  <c r="H98" i="69"/>
  <c r="J216" i="70" l="1"/>
  <c r="I221" i="70"/>
  <c r="H256" i="70"/>
  <c r="J220" i="70"/>
  <c r="I98" i="70"/>
  <c r="L215" i="70"/>
  <c r="H255" i="69"/>
  <c r="J219" i="69"/>
  <c r="I220" i="69"/>
  <c r="J214" i="69"/>
  <c r="I98" i="69"/>
  <c r="K220" i="70" l="1"/>
  <c r="I256" i="70"/>
  <c r="J98" i="70"/>
  <c r="K216" i="70"/>
  <c r="J221" i="70"/>
  <c r="M215" i="70"/>
  <c r="K219" i="69"/>
  <c r="I255" i="69"/>
  <c r="J220" i="69"/>
  <c r="K214" i="69"/>
  <c r="J98" i="69"/>
  <c r="N215" i="70" l="1"/>
  <c r="L216" i="70"/>
  <c r="K221" i="70"/>
  <c r="L220" i="70"/>
  <c r="J256" i="70"/>
  <c r="K98" i="70"/>
  <c r="K220" i="69"/>
  <c r="K98" i="69"/>
  <c r="L214" i="69"/>
  <c r="J255" i="69"/>
  <c r="L219" i="69"/>
  <c r="K256" i="70" l="1"/>
  <c r="M220" i="70"/>
  <c r="L98" i="70"/>
  <c r="M216" i="70"/>
  <c r="L221" i="70"/>
  <c r="O215" i="70"/>
  <c r="M219" i="69"/>
  <c r="K255" i="69"/>
  <c r="L220" i="69"/>
  <c r="L98" i="69"/>
  <c r="M214" i="69"/>
  <c r="P215" i="70" l="1"/>
  <c r="N216" i="70"/>
  <c r="M221" i="70"/>
  <c r="L256" i="70"/>
  <c r="N220" i="70"/>
  <c r="M98" i="70"/>
  <c r="L255" i="69"/>
  <c r="N219" i="69"/>
  <c r="M98" i="69"/>
  <c r="N214" i="69"/>
  <c r="M220" i="69"/>
  <c r="M256" i="70" l="1"/>
  <c r="O220" i="70"/>
  <c r="N98" i="70"/>
  <c r="O216" i="70"/>
  <c r="N221" i="70"/>
  <c r="N98" i="69"/>
  <c r="O214" i="69"/>
  <c r="N220" i="69"/>
  <c r="M255" i="69"/>
  <c r="O219" i="69"/>
  <c r="P216" i="70" l="1"/>
  <c r="O221" i="70"/>
  <c r="N256" i="70"/>
  <c r="P220" i="70"/>
  <c r="O98" i="70"/>
  <c r="N255" i="69"/>
  <c r="P219" i="69"/>
  <c r="O255" i="69" s="1"/>
  <c r="O98" i="69"/>
  <c r="P214" i="69"/>
  <c r="O220" i="69"/>
  <c r="O256" i="70" l="1"/>
  <c r="P98" i="70"/>
  <c r="P221" i="70"/>
  <c r="P220" i="69"/>
  <c r="P98" i="69"/>
  <c r="AH98" i="70" l="1"/>
  <c r="AI98" i="70"/>
  <c r="AI98" i="69"/>
  <c r="AH98" i="69"/>
  <c r="AA100" i="68" l="1"/>
  <c r="Z100" i="68"/>
  <c r="Y100" i="68"/>
  <c r="X100" i="68"/>
  <c r="W100" i="68"/>
  <c r="L100" i="68"/>
  <c r="K100" i="68"/>
  <c r="I38" i="68"/>
  <c r="J38" i="68"/>
  <c r="I42" i="68"/>
  <c r="J42" i="68"/>
  <c r="I56" i="68"/>
  <c r="J56" i="68"/>
  <c r="I60" i="68"/>
  <c r="J60" i="68"/>
  <c r="I72" i="68"/>
  <c r="J72" i="68"/>
  <c r="I81" i="68"/>
  <c r="J81" i="68"/>
  <c r="J87" i="68" s="1"/>
  <c r="I82" i="68"/>
  <c r="J82" i="68"/>
  <c r="I83" i="68"/>
  <c r="J83" i="68"/>
  <c r="I84" i="68"/>
  <c r="J84" i="68"/>
  <c r="I85" i="68"/>
  <c r="J85" i="68"/>
  <c r="I98" i="68"/>
  <c r="J98" i="68"/>
  <c r="I100" i="68"/>
  <c r="J100" i="68"/>
  <c r="H38" i="68"/>
  <c r="H42" i="68"/>
  <c r="H56" i="68"/>
  <c r="H60" i="68"/>
  <c r="H72" i="68"/>
  <c r="H81" i="68"/>
  <c r="H82" i="68"/>
  <c r="H83" i="68"/>
  <c r="H84" i="68"/>
  <c r="H85" i="68"/>
  <c r="H87" i="68"/>
  <c r="H98" i="68"/>
  <c r="H100" i="68"/>
  <c r="G100" i="68"/>
  <c r="F100" i="68"/>
  <c r="I77" i="68" l="1"/>
  <c r="I79" i="68" s="1"/>
  <c r="I87" i="68"/>
  <c r="J77" i="68"/>
  <c r="J79" i="68" s="1"/>
  <c r="J80" i="68" s="1"/>
  <c r="J88" i="68"/>
  <c r="I88" i="68"/>
  <c r="H77" i="68"/>
  <c r="H79" i="68" s="1"/>
  <c r="H80" i="68" s="1"/>
  <c r="H88" i="68"/>
  <c r="I80" i="68" l="1"/>
  <c r="E100" i="68" l="1"/>
  <c r="AF259" i="68"/>
  <c r="AE259" i="68"/>
  <c r="AD259" i="68"/>
  <c r="AC259" i="68"/>
  <c r="AB259" i="68"/>
  <c r="AA259" i="68"/>
  <c r="Z259" i="68"/>
  <c r="Y259" i="68"/>
  <c r="X259" i="68"/>
  <c r="W259" i="68"/>
  <c r="V259" i="68"/>
  <c r="U259" i="68"/>
  <c r="T259" i="68"/>
  <c r="S259" i="68"/>
  <c r="R259" i="68"/>
  <c r="Q259" i="68"/>
  <c r="P259" i="68"/>
  <c r="O259" i="68"/>
  <c r="N259" i="68"/>
  <c r="M259" i="68"/>
  <c r="L259" i="68"/>
  <c r="K259" i="68"/>
  <c r="J259" i="68"/>
  <c r="I259" i="68"/>
  <c r="H259" i="68"/>
  <c r="G259" i="68"/>
  <c r="F259" i="68"/>
  <c r="E259" i="68"/>
  <c r="D259" i="68"/>
  <c r="C259" i="68"/>
  <c r="B259" i="68"/>
  <c r="A259" i="68"/>
  <c r="AF258" i="68"/>
  <c r="AE258" i="68"/>
  <c r="AD258" i="68"/>
  <c r="AC258" i="68"/>
  <c r="AB258" i="68"/>
  <c r="AA258" i="68"/>
  <c r="Z258" i="68"/>
  <c r="Y258" i="68"/>
  <c r="X258" i="68"/>
  <c r="W258" i="68"/>
  <c r="V258" i="68"/>
  <c r="U258" i="68"/>
  <c r="T258" i="68"/>
  <c r="S258" i="68"/>
  <c r="R258" i="68"/>
  <c r="Q258" i="68"/>
  <c r="P258" i="68"/>
  <c r="O258" i="68"/>
  <c r="N258" i="68"/>
  <c r="M258" i="68"/>
  <c r="L258" i="68"/>
  <c r="K258" i="68"/>
  <c r="J258" i="68"/>
  <c r="I258" i="68"/>
  <c r="H258" i="68"/>
  <c r="G258" i="68"/>
  <c r="F258" i="68"/>
  <c r="E258" i="68"/>
  <c r="D258" i="68"/>
  <c r="C258" i="68"/>
  <c r="B258" i="68"/>
  <c r="A258" i="68"/>
  <c r="AF257" i="68"/>
  <c r="AE257" i="68"/>
  <c r="AD257" i="68"/>
  <c r="AC257" i="68"/>
  <c r="AB257" i="68"/>
  <c r="AA257" i="68"/>
  <c r="Z257" i="68"/>
  <c r="Y257" i="68"/>
  <c r="X257" i="68"/>
  <c r="W257" i="68"/>
  <c r="V257" i="68"/>
  <c r="U257" i="68"/>
  <c r="T257" i="68"/>
  <c r="S257" i="68"/>
  <c r="R257" i="68"/>
  <c r="Q257" i="68"/>
  <c r="P257" i="68"/>
  <c r="O257" i="68"/>
  <c r="N257" i="68"/>
  <c r="M257" i="68"/>
  <c r="L257" i="68"/>
  <c r="K257" i="68"/>
  <c r="J257" i="68"/>
  <c r="I257" i="68"/>
  <c r="H257" i="68"/>
  <c r="G257" i="68"/>
  <c r="F257" i="68"/>
  <c r="E257" i="68"/>
  <c r="D257" i="68"/>
  <c r="C257" i="68"/>
  <c r="B257" i="68"/>
  <c r="A257" i="68"/>
  <c r="AF256" i="68"/>
  <c r="AE256" i="68"/>
  <c r="AD256" i="68"/>
  <c r="AC256" i="68"/>
  <c r="AB256" i="68"/>
  <c r="AA256" i="68"/>
  <c r="Z256" i="68"/>
  <c r="Y256" i="68"/>
  <c r="X256" i="68"/>
  <c r="W256" i="68"/>
  <c r="V256" i="68"/>
  <c r="U256" i="68"/>
  <c r="T256" i="68"/>
  <c r="S256" i="68"/>
  <c r="R256" i="68"/>
  <c r="Q256" i="68"/>
  <c r="P256" i="68"/>
  <c r="O256" i="68"/>
  <c r="N256" i="68"/>
  <c r="M256" i="68"/>
  <c r="L256" i="68"/>
  <c r="K256" i="68"/>
  <c r="J256" i="68"/>
  <c r="I256" i="68"/>
  <c r="H256" i="68"/>
  <c r="G256" i="68"/>
  <c r="F256" i="68"/>
  <c r="E256" i="68"/>
  <c r="D256" i="68"/>
  <c r="C256" i="68"/>
  <c r="B256" i="68"/>
  <c r="A256" i="68"/>
  <c r="AE255" i="68"/>
  <c r="AD255" i="68"/>
  <c r="AC255" i="68"/>
  <c r="AB255" i="68"/>
  <c r="AA255" i="68"/>
  <c r="Z255" i="68"/>
  <c r="Y255" i="68"/>
  <c r="X255" i="68"/>
  <c r="W255" i="68"/>
  <c r="V255" i="68"/>
  <c r="U255" i="68"/>
  <c r="T255" i="68"/>
  <c r="S255" i="68"/>
  <c r="R255" i="68"/>
  <c r="Q255" i="68"/>
  <c r="P255" i="68"/>
  <c r="C255" i="68"/>
  <c r="B255" i="68"/>
  <c r="S230" i="68"/>
  <c r="AG220" i="68"/>
  <c r="AG55" i="68" s="1"/>
  <c r="AG56" i="68" s="1"/>
  <c r="AF220" i="68"/>
  <c r="AE220" i="68"/>
  <c r="AD220" i="68"/>
  <c r="AC220" i="68"/>
  <c r="AB220" i="68"/>
  <c r="AA220" i="68"/>
  <c r="Z220" i="68"/>
  <c r="Y220" i="68"/>
  <c r="X220" i="68"/>
  <c r="W220" i="68"/>
  <c r="V220" i="68"/>
  <c r="U220" i="68"/>
  <c r="T220" i="68"/>
  <c r="S220" i="68"/>
  <c r="R220" i="68"/>
  <c r="Q220" i="68"/>
  <c r="C220" i="68"/>
  <c r="E219" i="68"/>
  <c r="D255" i="68" s="1"/>
  <c r="D219" i="68"/>
  <c r="B219" i="68"/>
  <c r="AF255" i="68" s="1"/>
  <c r="F218" i="68"/>
  <c r="G218" i="68" s="1"/>
  <c r="H218" i="68" s="1"/>
  <c r="I218" i="68" s="1"/>
  <c r="J218" i="68" s="1"/>
  <c r="K218" i="68" s="1"/>
  <c r="L218" i="68" s="1"/>
  <c r="M218" i="68" s="1"/>
  <c r="N218" i="68" s="1"/>
  <c r="O218" i="68" s="1"/>
  <c r="P218" i="68" s="1"/>
  <c r="E218" i="68"/>
  <c r="D218" i="68"/>
  <c r="B218" i="68"/>
  <c r="D217" i="68"/>
  <c r="E217" i="68" s="1"/>
  <c r="F217" i="68" s="1"/>
  <c r="G217" i="68" s="1"/>
  <c r="H217" i="68" s="1"/>
  <c r="I217" i="68" s="1"/>
  <c r="J217" i="68" s="1"/>
  <c r="K217" i="68" s="1"/>
  <c r="L217" i="68" s="1"/>
  <c r="M217" i="68" s="1"/>
  <c r="N217" i="68" s="1"/>
  <c r="O217" i="68" s="1"/>
  <c r="P217" i="68" s="1"/>
  <c r="B217" i="68"/>
  <c r="D216" i="68"/>
  <c r="D220" i="68" s="1"/>
  <c r="B216" i="68"/>
  <c r="E215" i="68"/>
  <c r="F215" i="68" s="1"/>
  <c r="G215" i="68" s="1"/>
  <c r="H215" i="68" s="1"/>
  <c r="I215" i="68" s="1"/>
  <c r="J215" i="68" s="1"/>
  <c r="K215" i="68" s="1"/>
  <c r="L215" i="68" s="1"/>
  <c r="M215" i="68" s="1"/>
  <c r="N215" i="68" s="1"/>
  <c r="O215" i="68" s="1"/>
  <c r="P215" i="68" s="1"/>
  <c r="D215" i="68"/>
  <c r="B215" i="68"/>
  <c r="F214" i="68"/>
  <c r="E214" i="68"/>
  <c r="D214" i="68"/>
  <c r="B214" i="68"/>
  <c r="B220" i="68" s="1"/>
  <c r="AG212" i="68"/>
  <c r="AF212" i="68"/>
  <c r="AE212" i="68"/>
  <c r="AD212" i="68"/>
  <c r="AC212" i="68"/>
  <c r="AB212" i="68"/>
  <c r="AA212" i="68"/>
  <c r="Z212" i="68"/>
  <c r="Y212" i="68"/>
  <c r="X212" i="68"/>
  <c r="W212" i="68"/>
  <c r="V212" i="68"/>
  <c r="U212" i="68"/>
  <c r="T212" i="68"/>
  <c r="S212" i="68"/>
  <c r="R212" i="68"/>
  <c r="Q212" i="68"/>
  <c r="P212" i="68"/>
  <c r="O212" i="68"/>
  <c r="N212" i="68"/>
  <c r="M212" i="68"/>
  <c r="L212" i="68"/>
  <c r="K212" i="68"/>
  <c r="J212" i="68"/>
  <c r="I212" i="68"/>
  <c r="H212" i="68"/>
  <c r="G212" i="68"/>
  <c r="F212" i="68"/>
  <c r="E212" i="68"/>
  <c r="D212" i="68"/>
  <c r="C212" i="68"/>
  <c r="B212" i="68"/>
  <c r="AH105" i="68"/>
  <c r="AI105" i="68" s="1"/>
  <c r="AH104" i="68"/>
  <c r="AI104" i="68" s="1"/>
  <c r="AH103" i="68"/>
  <c r="AI103" i="68" s="1"/>
  <c r="AH102" i="68"/>
  <c r="AI102" i="68" s="1"/>
  <c r="AH101" i="68"/>
  <c r="AI101" i="68" s="1"/>
  <c r="AH100" i="68"/>
  <c r="AI100" i="68" s="1"/>
  <c r="AH99" i="68"/>
  <c r="AI99" i="68" s="1"/>
  <c r="AF98" i="68"/>
  <c r="AE98" i="68"/>
  <c r="AD98" i="68"/>
  <c r="AC98" i="68"/>
  <c r="AB98" i="68"/>
  <c r="AA98" i="68"/>
  <c r="Z98" i="68"/>
  <c r="Y98" i="68"/>
  <c r="X98" i="68"/>
  <c r="W98" i="68"/>
  <c r="V98" i="68"/>
  <c r="U98" i="68"/>
  <c r="T98" i="68"/>
  <c r="S98" i="68"/>
  <c r="R98" i="68"/>
  <c r="Q98" i="68"/>
  <c r="E98" i="68"/>
  <c r="D98" i="68"/>
  <c r="C98" i="68"/>
  <c r="B98" i="68"/>
  <c r="AI97" i="68"/>
  <c r="AH97" i="68"/>
  <c r="AI96" i="68"/>
  <c r="AH96" i="68"/>
  <c r="AI95" i="68"/>
  <c r="AH95" i="68"/>
  <c r="AI94" i="68"/>
  <c r="AH94" i="68"/>
  <c r="AI93" i="68"/>
  <c r="AH93" i="68"/>
  <c r="AI92" i="68"/>
  <c r="AH92" i="68"/>
  <c r="AI91" i="68"/>
  <c r="AH91" i="68"/>
  <c r="AI90" i="68"/>
  <c r="AH90" i="68"/>
  <c r="AI89" i="68"/>
  <c r="AH89" i="68"/>
  <c r="AI86" i="68"/>
  <c r="AH86" i="68"/>
  <c r="AF85" i="68"/>
  <c r="AE85" i="68"/>
  <c r="AD85" i="68"/>
  <c r="AC85" i="68"/>
  <c r="AB85" i="68"/>
  <c r="AA85" i="68"/>
  <c r="Z85" i="68"/>
  <c r="Y85" i="68"/>
  <c r="X85" i="68"/>
  <c r="W85" i="68"/>
  <c r="V85" i="68"/>
  <c r="U85" i="68"/>
  <c r="T85" i="68"/>
  <c r="S85" i="68"/>
  <c r="R85" i="68"/>
  <c r="Q85" i="68"/>
  <c r="P85" i="68"/>
  <c r="O85" i="68"/>
  <c r="N85" i="68"/>
  <c r="M85" i="68"/>
  <c r="L85" i="68"/>
  <c r="K85" i="68"/>
  <c r="G85" i="68"/>
  <c r="F85" i="68"/>
  <c r="E85" i="68"/>
  <c r="D85" i="68"/>
  <c r="C85" i="68"/>
  <c r="B85" i="68"/>
  <c r="AF84" i="68"/>
  <c r="AE84" i="68"/>
  <c r="AD84" i="68"/>
  <c r="AC84" i="68"/>
  <c r="AB84" i="68"/>
  <c r="AA84" i="68"/>
  <c r="Z84" i="68"/>
  <c r="Y84" i="68"/>
  <c r="X84" i="68"/>
  <c r="W84" i="68"/>
  <c r="V84" i="68"/>
  <c r="U84" i="68"/>
  <c r="T84" i="68"/>
  <c r="S84" i="68"/>
  <c r="R84" i="68"/>
  <c r="Q84" i="68"/>
  <c r="P84" i="68"/>
  <c r="O84" i="68"/>
  <c r="N84" i="68"/>
  <c r="M84" i="68"/>
  <c r="L84" i="68"/>
  <c r="K84" i="68"/>
  <c r="G84" i="68"/>
  <c r="F84" i="68"/>
  <c r="E84" i="68"/>
  <c r="D84" i="68"/>
  <c r="C84" i="68"/>
  <c r="B84" i="68"/>
  <c r="AF83" i="68"/>
  <c r="AE83" i="68"/>
  <c r="AD83" i="68"/>
  <c r="AC83" i="68"/>
  <c r="AB83" i="68"/>
  <c r="AA83" i="68"/>
  <c r="Z83" i="68"/>
  <c r="Y83" i="68"/>
  <c r="X83" i="68"/>
  <c r="W83" i="68"/>
  <c r="V83" i="68"/>
  <c r="U83" i="68"/>
  <c r="T83" i="68"/>
  <c r="S83" i="68"/>
  <c r="R83" i="68"/>
  <c r="Q83" i="68"/>
  <c r="P83" i="68"/>
  <c r="O83" i="68"/>
  <c r="N83" i="68"/>
  <c r="M83" i="68"/>
  <c r="L83" i="68"/>
  <c r="K83" i="68"/>
  <c r="G83" i="68"/>
  <c r="F83" i="68"/>
  <c r="E83" i="68"/>
  <c r="D83" i="68"/>
  <c r="C83" i="68"/>
  <c r="B83" i="68"/>
  <c r="AF82" i="68"/>
  <c r="AE82" i="68"/>
  <c r="AD82" i="68"/>
  <c r="AC82" i="68"/>
  <c r="AB82" i="68"/>
  <c r="AA82" i="68"/>
  <c r="Z82" i="68"/>
  <c r="Y82" i="68"/>
  <c r="X82" i="68"/>
  <c r="X87" i="68" s="1"/>
  <c r="W82" i="68"/>
  <c r="V82" i="68"/>
  <c r="U82" i="68"/>
  <c r="T82" i="68"/>
  <c r="S82" i="68"/>
  <c r="R82" i="68"/>
  <c r="Q82" i="68"/>
  <c r="P82" i="68"/>
  <c r="O82" i="68"/>
  <c r="N82" i="68"/>
  <c r="M82" i="68"/>
  <c r="L82" i="68"/>
  <c r="K82" i="68"/>
  <c r="G82" i="68"/>
  <c r="F82" i="68"/>
  <c r="E82" i="68"/>
  <c r="D82" i="68"/>
  <c r="C82" i="68"/>
  <c r="B82" i="68"/>
  <c r="AF81" i="68"/>
  <c r="AE81" i="68"/>
  <c r="AE87" i="68" s="1"/>
  <c r="AD81" i="68"/>
  <c r="AD87" i="68" s="1"/>
  <c r="AC81" i="68"/>
  <c r="AC87" i="68" s="1"/>
  <c r="AB81" i="68"/>
  <c r="AA81" i="68"/>
  <c r="Z81" i="68"/>
  <c r="Z87" i="68" s="1"/>
  <c r="Y81" i="68"/>
  <c r="Y87" i="68" s="1"/>
  <c r="X81" i="68"/>
  <c r="W81" i="68"/>
  <c r="W87" i="68" s="1"/>
  <c r="V81" i="68"/>
  <c r="V87" i="68" s="1"/>
  <c r="U81" i="68"/>
  <c r="U87" i="68" s="1"/>
  <c r="T81" i="68"/>
  <c r="S81" i="68"/>
  <c r="R81" i="68"/>
  <c r="Q81" i="68"/>
  <c r="Q87" i="68" s="1"/>
  <c r="P81" i="68"/>
  <c r="O81" i="68"/>
  <c r="O87" i="68" s="1"/>
  <c r="N81" i="68"/>
  <c r="M81" i="68"/>
  <c r="L81" i="68"/>
  <c r="L87" i="68" s="1"/>
  <c r="K81" i="68"/>
  <c r="G81" i="68"/>
  <c r="F81" i="68"/>
  <c r="E81" i="68"/>
  <c r="D81" i="68"/>
  <c r="C81" i="68"/>
  <c r="B81" i="68"/>
  <c r="AI78" i="68"/>
  <c r="AH78" i="68"/>
  <c r="AI76" i="68"/>
  <c r="AH76" i="68"/>
  <c r="AG76" i="68"/>
  <c r="AI75" i="68"/>
  <c r="AH75" i="68"/>
  <c r="AI74" i="68"/>
  <c r="AH74" i="68"/>
  <c r="AI73" i="68"/>
  <c r="AH73" i="68"/>
  <c r="AG72" i="68"/>
  <c r="AF72" i="68"/>
  <c r="AE5" i="68" s="1"/>
  <c r="AE72" i="68"/>
  <c r="AD5" i="68" s="1"/>
  <c r="AD72" i="68"/>
  <c r="AD88" i="68" s="1"/>
  <c r="AC72" i="68"/>
  <c r="AB5" i="68" s="1"/>
  <c r="AB72" i="68"/>
  <c r="AA5" i="68" s="1"/>
  <c r="AA72" i="68"/>
  <c r="Z5" i="68" s="1"/>
  <c r="Z72" i="68"/>
  <c r="Z88" i="68" s="1"/>
  <c r="Y72" i="68"/>
  <c r="Y88" i="68" s="1"/>
  <c r="X72" i="68"/>
  <c r="W5" i="68" s="1"/>
  <c r="W72" i="68"/>
  <c r="V72" i="68"/>
  <c r="V88" i="68" s="1"/>
  <c r="U72" i="68"/>
  <c r="T72" i="68"/>
  <c r="S72" i="68"/>
  <c r="R72" i="68"/>
  <c r="Q5" i="68" s="1"/>
  <c r="Q72" i="68"/>
  <c r="Q88" i="68" s="1"/>
  <c r="P72" i="68"/>
  <c r="O5" i="68" s="1"/>
  <c r="O72" i="68"/>
  <c r="N5" i="68" s="1"/>
  <c r="N72" i="68"/>
  <c r="M72" i="68"/>
  <c r="L5" i="68" s="1"/>
  <c r="L72" i="68"/>
  <c r="K5" i="68" s="1"/>
  <c r="K72" i="68"/>
  <c r="J5" i="68" s="1"/>
  <c r="G5" i="68"/>
  <c r="G72" i="68"/>
  <c r="F5" i="68" s="1"/>
  <c r="F72" i="68"/>
  <c r="E72" i="68"/>
  <c r="D5" i="68" s="1"/>
  <c r="D72" i="68"/>
  <c r="C5" i="68" s="1"/>
  <c r="C72" i="68"/>
  <c r="B5" i="68" s="1"/>
  <c r="B72" i="68"/>
  <c r="AF5" i="68" s="1"/>
  <c r="AI71" i="68"/>
  <c r="AH71" i="68"/>
  <c r="AI70" i="68"/>
  <c r="AH70" i="68"/>
  <c r="AI69" i="68"/>
  <c r="AH69" i="68"/>
  <c r="AI68" i="68"/>
  <c r="AH68" i="68"/>
  <c r="AI67" i="68"/>
  <c r="AH67" i="68"/>
  <c r="AI66" i="68"/>
  <c r="AH66" i="68"/>
  <c r="AI65" i="68"/>
  <c r="AH65" i="68"/>
  <c r="AI64" i="68"/>
  <c r="AH64" i="68"/>
  <c r="AI63" i="68"/>
  <c r="AH63" i="68"/>
  <c r="AI62" i="68"/>
  <c r="AH62" i="68"/>
  <c r="AI61" i="68"/>
  <c r="AH61" i="68"/>
  <c r="AG60" i="68"/>
  <c r="AF60" i="68"/>
  <c r="AE60" i="68"/>
  <c r="AD60" i="68"/>
  <c r="AC60" i="68"/>
  <c r="AB60" i="68"/>
  <c r="AA60" i="68"/>
  <c r="Z60" i="68"/>
  <c r="Y60" i="68"/>
  <c r="X60" i="68"/>
  <c r="W60" i="68"/>
  <c r="V60" i="68"/>
  <c r="U60" i="68"/>
  <c r="T60" i="68"/>
  <c r="S60" i="68"/>
  <c r="R60" i="68"/>
  <c r="Q60" i="68"/>
  <c r="P60" i="68"/>
  <c r="O60" i="68"/>
  <c r="N60" i="68"/>
  <c r="M60" i="68"/>
  <c r="L60" i="68"/>
  <c r="K60" i="68"/>
  <c r="G60" i="68"/>
  <c r="F60" i="68"/>
  <c r="E60" i="68"/>
  <c r="D60" i="68"/>
  <c r="C60" i="68"/>
  <c r="B60" i="68"/>
  <c r="AI59" i="68"/>
  <c r="AH59" i="68"/>
  <c r="AI58" i="68"/>
  <c r="AH58" i="68"/>
  <c r="AI57" i="68"/>
  <c r="AH57" i="68"/>
  <c r="AF56" i="68"/>
  <c r="AE56" i="68"/>
  <c r="AD56" i="68"/>
  <c r="AC56" i="68"/>
  <c r="AB56" i="68"/>
  <c r="AA56" i="68"/>
  <c r="Z56" i="68"/>
  <c r="Y56" i="68"/>
  <c r="X56" i="68"/>
  <c r="W56" i="68"/>
  <c r="V56" i="68"/>
  <c r="U56" i="68"/>
  <c r="T56" i="68"/>
  <c r="S56" i="68"/>
  <c r="R56" i="68"/>
  <c r="Q56" i="68"/>
  <c r="P56" i="68"/>
  <c r="O56" i="68"/>
  <c r="N56" i="68"/>
  <c r="M56" i="68"/>
  <c r="L56" i="68"/>
  <c r="K56" i="68"/>
  <c r="G56" i="68"/>
  <c r="F56" i="68"/>
  <c r="E56" i="68"/>
  <c r="D56" i="68"/>
  <c r="C56" i="68"/>
  <c r="B56" i="68"/>
  <c r="AI55" i="68"/>
  <c r="AH55" i="68"/>
  <c r="AI54" i="68"/>
  <c r="AH54" i="68"/>
  <c r="AI53" i="68"/>
  <c r="AH53" i="68"/>
  <c r="AI52" i="68"/>
  <c r="AH52" i="68"/>
  <c r="AI51" i="68"/>
  <c r="AH51" i="68"/>
  <c r="AI50" i="68"/>
  <c r="AH50" i="68"/>
  <c r="AI49" i="68"/>
  <c r="AH49" i="68"/>
  <c r="AI48" i="68"/>
  <c r="AH48" i="68"/>
  <c r="AI47" i="68"/>
  <c r="AH47" i="68"/>
  <c r="AI46" i="68"/>
  <c r="AH46" i="68"/>
  <c r="AI45" i="68"/>
  <c r="AH45" i="68"/>
  <c r="AI44" i="68"/>
  <c r="AH44" i="68"/>
  <c r="AI43" i="68"/>
  <c r="AH43" i="68"/>
  <c r="AG42" i="68"/>
  <c r="AF42" i="68"/>
  <c r="AE42" i="68"/>
  <c r="AD42" i="68"/>
  <c r="AC42" i="68"/>
  <c r="AB42" i="68"/>
  <c r="AA42" i="68"/>
  <c r="Z42" i="68"/>
  <c r="Y42" i="68"/>
  <c r="X42" i="68"/>
  <c r="W42" i="68"/>
  <c r="V42" i="68"/>
  <c r="U42" i="68"/>
  <c r="T42" i="68"/>
  <c r="S42" i="68"/>
  <c r="R42" i="68"/>
  <c r="Q42" i="68"/>
  <c r="P42" i="68"/>
  <c r="O42" i="68"/>
  <c r="N42" i="68"/>
  <c r="M42" i="68"/>
  <c r="L42" i="68"/>
  <c r="K42" i="68"/>
  <c r="G42" i="68"/>
  <c r="F42" i="68"/>
  <c r="E42" i="68"/>
  <c r="D42" i="68"/>
  <c r="C42" i="68"/>
  <c r="B42" i="68"/>
  <c r="AI41" i="68"/>
  <c r="AH41" i="68"/>
  <c r="AI40" i="68"/>
  <c r="AH40" i="68"/>
  <c r="AI39" i="68"/>
  <c r="AH39" i="68"/>
  <c r="AG38" i="68"/>
  <c r="AG77" i="68" s="1"/>
  <c r="AF38" i="68"/>
  <c r="AE38" i="68"/>
  <c r="AD38" i="68"/>
  <c r="AC38" i="68"/>
  <c r="AB38" i="68"/>
  <c r="AA38" i="68"/>
  <c r="Z38" i="68"/>
  <c r="Y38" i="68"/>
  <c r="X38" i="68"/>
  <c r="W38" i="68"/>
  <c r="V38" i="68"/>
  <c r="V77" i="68" s="1"/>
  <c r="V79" i="68" s="1"/>
  <c r="U38" i="68"/>
  <c r="U77" i="68" s="1"/>
  <c r="U79" i="68" s="1"/>
  <c r="T38" i="68"/>
  <c r="S38" i="68"/>
  <c r="R38" i="68"/>
  <c r="Q38" i="68"/>
  <c r="P38" i="68"/>
  <c r="O38" i="68"/>
  <c r="N38" i="68"/>
  <c r="M38" i="68"/>
  <c r="L38" i="68"/>
  <c r="K38" i="68"/>
  <c r="G38" i="68"/>
  <c r="F38" i="68"/>
  <c r="E38" i="68"/>
  <c r="D38" i="68"/>
  <c r="C38" i="68"/>
  <c r="B38" i="68"/>
  <c r="AI37" i="68"/>
  <c r="AH37" i="68"/>
  <c r="AI36" i="68"/>
  <c r="AH36" i="68"/>
  <c r="AI35" i="68"/>
  <c r="AH35" i="68"/>
  <c r="AI34" i="68"/>
  <c r="AH34" i="68"/>
  <c r="AI33" i="68"/>
  <c r="AH33" i="68"/>
  <c r="AI32" i="68"/>
  <c r="AH32" i="68"/>
  <c r="AI31" i="68"/>
  <c r="AH31" i="68"/>
  <c r="AI30" i="68"/>
  <c r="AH30" i="68"/>
  <c r="AI29" i="68"/>
  <c r="AH29" i="68"/>
  <c r="AI28" i="68"/>
  <c r="AH28" i="68"/>
  <c r="AI27" i="68"/>
  <c r="AH27" i="68"/>
  <c r="AI26" i="68"/>
  <c r="AH26" i="68"/>
  <c r="AI25" i="68"/>
  <c r="AH25" i="68"/>
  <c r="AI24" i="68"/>
  <c r="AH24" i="68"/>
  <c r="AI23" i="68"/>
  <c r="AH23" i="68"/>
  <c r="AI22" i="68"/>
  <c r="AH22" i="68"/>
  <c r="AI21" i="68"/>
  <c r="AH21" i="68"/>
  <c r="AI20" i="68"/>
  <c r="AH20" i="68"/>
  <c r="AI19" i="68"/>
  <c r="AH19" i="68"/>
  <c r="AI18" i="68"/>
  <c r="AH18" i="68"/>
  <c r="AI17" i="68"/>
  <c r="AH17" i="68"/>
  <c r="AI16" i="68"/>
  <c r="AH16" i="68"/>
  <c r="AI15" i="68"/>
  <c r="AH15" i="68"/>
  <c r="AI14" i="68"/>
  <c r="AH14" i="68"/>
  <c r="AI13" i="68"/>
  <c r="AH13" i="68"/>
  <c r="AI12" i="68"/>
  <c r="AH12" i="68"/>
  <c r="AI11" i="68"/>
  <c r="AH11" i="68"/>
  <c r="AC5" i="68"/>
  <c r="V5" i="68"/>
  <c r="U5" i="68"/>
  <c r="T5" i="68"/>
  <c r="S5" i="68"/>
  <c r="R5" i="68"/>
  <c r="M5" i="68"/>
  <c r="I5" i="68"/>
  <c r="H5" i="68"/>
  <c r="AG4" i="68"/>
  <c r="K4" i="68"/>
  <c r="B4" i="68"/>
  <c r="S231" i="68" s="1"/>
  <c r="AG2" i="68"/>
  <c r="AB100" i="66"/>
  <c r="Z100" i="66"/>
  <c r="U100" i="66"/>
  <c r="D100" i="66"/>
  <c r="D99" i="66"/>
  <c r="C100" i="66"/>
  <c r="C99" i="66"/>
  <c r="B100" i="66"/>
  <c r="B99" i="66"/>
  <c r="B98" i="66"/>
  <c r="B85" i="66"/>
  <c r="B84" i="66"/>
  <c r="B83" i="66"/>
  <c r="B87" i="66" s="1"/>
  <c r="B82" i="66"/>
  <c r="B81" i="66"/>
  <c r="B72" i="66"/>
  <c r="AF5" i="66" s="1"/>
  <c r="B60" i="66"/>
  <c r="B56" i="66"/>
  <c r="B42" i="66"/>
  <c r="B38" i="66"/>
  <c r="AF259" i="66"/>
  <c r="AE259" i="66"/>
  <c r="AD259" i="66"/>
  <c r="AC259" i="66"/>
  <c r="AB259" i="66"/>
  <c r="AA259" i="66"/>
  <c r="Z259" i="66"/>
  <c r="Y259" i="66"/>
  <c r="X259" i="66"/>
  <c r="W259" i="66"/>
  <c r="V259" i="66"/>
  <c r="U259" i="66"/>
  <c r="T259" i="66"/>
  <c r="S259" i="66"/>
  <c r="R259" i="66"/>
  <c r="Q259" i="66"/>
  <c r="P259" i="66"/>
  <c r="O259" i="66"/>
  <c r="N259" i="66"/>
  <c r="M259" i="66"/>
  <c r="L259" i="66"/>
  <c r="K259" i="66"/>
  <c r="J259" i="66"/>
  <c r="I259" i="66"/>
  <c r="H259" i="66"/>
  <c r="G259" i="66"/>
  <c r="F259" i="66"/>
  <c r="E259" i="66"/>
  <c r="D259" i="66"/>
  <c r="C259" i="66"/>
  <c r="B259" i="66"/>
  <c r="A259" i="66"/>
  <c r="AF258" i="66"/>
  <c r="AE258" i="66"/>
  <c r="AD258" i="66"/>
  <c r="AC258" i="66"/>
  <c r="AB258" i="66"/>
  <c r="AA258" i="66"/>
  <c r="Z258" i="66"/>
  <c r="Y258" i="66"/>
  <c r="X258" i="66"/>
  <c r="W258" i="66"/>
  <c r="V258" i="66"/>
  <c r="U258" i="66"/>
  <c r="T258" i="66"/>
  <c r="S258" i="66"/>
  <c r="R258" i="66"/>
  <c r="Q258" i="66"/>
  <c r="P258" i="66"/>
  <c r="O258" i="66"/>
  <c r="N258" i="66"/>
  <c r="M258" i="66"/>
  <c r="L258" i="66"/>
  <c r="K258" i="66"/>
  <c r="J258" i="66"/>
  <c r="I258" i="66"/>
  <c r="H258" i="66"/>
  <c r="G258" i="66"/>
  <c r="F258" i="66"/>
  <c r="E258" i="66"/>
  <c r="D258" i="66"/>
  <c r="C258" i="66"/>
  <c r="B258" i="66"/>
  <c r="A258" i="66"/>
  <c r="AF257" i="66"/>
  <c r="AE257" i="66"/>
  <c r="AD257" i="66"/>
  <c r="AC257" i="66"/>
  <c r="AB257" i="66"/>
  <c r="AA257" i="66"/>
  <c r="Z257" i="66"/>
  <c r="Y257" i="66"/>
  <c r="X257" i="66"/>
  <c r="W257" i="66"/>
  <c r="V257" i="66"/>
  <c r="U257" i="66"/>
  <c r="T257" i="66"/>
  <c r="S257" i="66"/>
  <c r="R257" i="66"/>
  <c r="Q257" i="66"/>
  <c r="P257" i="66"/>
  <c r="O257" i="66"/>
  <c r="N257" i="66"/>
  <c r="M257" i="66"/>
  <c r="L257" i="66"/>
  <c r="K257" i="66"/>
  <c r="J257" i="66"/>
  <c r="I257" i="66"/>
  <c r="H257" i="66"/>
  <c r="G257" i="66"/>
  <c r="F257" i="66"/>
  <c r="E257" i="66"/>
  <c r="D257" i="66"/>
  <c r="C257" i="66"/>
  <c r="B257" i="66"/>
  <c r="A257" i="66"/>
  <c r="AF256" i="66"/>
  <c r="AE256" i="66"/>
  <c r="AD256" i="66"/>
  <c r="AC256" i="66"/>
  <c r="AB256" i="66"/>
  <c r="AA256" i="66"/>
  <c r="Z256" i="66"/>
  <c r="Y256" i="66"/>
  <c r="X256" i="66"/>
  <c r="W256" i="66"/>
  <c r="V256" i="66"/>
  <c r="U256" i="66"/>
  <c r="T256" i="66"/>
  <c r="S256" i="66"/>
  <c r="R256" i="66"/>
  <c r="Q256" i="66"/>
  <c r="P256" i="66"/>
  <c r="O256" i="66"/>
  <c r="N256" i="66"/>
  <c r="M256" i="66"/>
  <c r="L256" i="66"/>
  <c r="K256" i="66"/>
  <c r="J256" i="66"/>
  <c r="I256" i="66"/>
  <c r="H256" i="66"/>
  <c r="G256" i="66"/>
  <c r="F256" i="66"/>
  <c r="E256" i="66"/>
  <c r="D256" i="66"/>
  <c r="C256" i="66"/>
  <c r="B256" i="66"/>
  <c r="A256" i="66"/>
  <c r="AE255" i="66"/>
  <c r="AD255" i="66"/>
  <c r="AC255" i="66"/>
  <c r="AB255" i="66"/>
  <c r="AA255" i="66"/>
  <c r="Z255" i="66"/>
  <c r="Y255" i="66"/>
  <c r="X255" i="66"/>
  <c r="W255" i="66"/>
  <c r="V255" i="66"/>
  <c r="U255" i="66"/>
  <c r="T255" i="66"/>
  <c r="S255" i="66"/>
  <c r="R255" i="66"/>
  <c r="Q255" i="66"/>
  <c r="P255" i="66"/>
  <c r="C255" i="66"/>
  <c r="B255" i="66"/>
  <c r="S230" i="66"/>
  <c r="AG220" i="66"/>
  <c r="AF220" i="66"/>
  <c r="AE220" i="66"/>
  <c r="AD220" i="66"/>
  <c r="AC220" i="66"/>
  <c r="AB220" i="66"/>
  <c r="AA220" i="66"/>
  <c r="Z220" i="66"/>
  <c r="Y220" i="66"/>
  <c r="X220" i="66"/>
  <c r="W220" i="66"/>
  <c r="V220" i="66"/>
  <c r="U220" i="66"/>
  <c r="T220" i="66"/>
  <c r="S220" i="66"/>
  <c r="R220" i="66"/>
  <c r="Q220" i="66"/>
  <c r="D220" i="66"/>
  <c r="C220" i="66"/>
  <c r="E219" i="66"/>
  <c r="D255" i="66" s="1"/>
  <c r="D219" i="66"/>
  <c r="B219" i="66"/>
  <c r="AF255" i="66" s="1"/>
  <c r="D218" i="66"/>
  <c r="E218" i="66" s="1"/>
  <c r="F218" i="66" s="1"/>
  <c r="G218" i="66" s="1"/>
  <c r="H218" i="66" s="1"/>
  <c r="I218" i="66" s="1"/>
  <c r="J218" i="66" s="1"/>
  <c r="K218" i="66" s="1"/>
  <c r="L218" i="66" s="1"/>
  <c r="M218" i="66" s="1"/>
  <c r="N218" i="66" s="1"/>
  <c r="O218" i="66" s="1"/>
  <c r="P218" i="66" s="1"/>
  <c r="B218" i="66"/>
  <c r="E217" i="66"/>
  <c r="F217" i="66" s="1"/>
  <c r="G217" i="66" s="1"/>
  <c r="H217" i="66" s="1"/>
  <c r="I217" i="66" s="1"/>
  <c r="J217" i="66" s="1"/>
  <c r="K217" i="66" s="1"/>
  <c r="L217" i="66" s="1"/>
  <c r="M217" i="66" s="1"/>
  <c r="N217" i="66" s="1"/>
  <c r="O217" i="66" s="1"/>
  <c r="P217" i="66" s="1"/>
  <c r="D217" i="66"/>
  <c r="B217" i="66"/>
  <c r="E216" i="66"/>
  <c r="F216" i="66" s="1"/>
  <c r="G216" i="66" s="1"/>
  <c r="H216" i="66" s="1"/>
  <c r="I216" i="66" s="1"/>
  <c r="J216" i="66" s="1"/>
  <c r="K216" i="66" s="1"/>
  <c r="L216" i="66" s="1"/>
  <c r="M216" i="66" s="1"/>
  <c r="N216" i="66" s="1"/>
  <c r="O216" i="66" s="1"/>
  <c r="P216" i="66" s="1"/>
  <c r="D216" i="66"/>
  <c r="B216" i="66"/>
  <c r="E215" i="66"/>
  <c r="F215" i="66" s="1"/>
  <c r="G215" i="66" s="1"/>
  <c r="H215" i="66" s="1"/>
  <c r="I215" i="66" s="1"/>
  <c r="J215" i="66" s="1"/>
  <c r="K215" i="66" s="1"/>
  <c r="L215" i="66" s="1"/>
  <c r="M215" i="66" s="1"/>
  <c r="N215" i="66" s="1"/>
  <c r="O215" i="66" s="1"/>
  <c r="P215" i="66" s="1"/>
  <c r="D215" i="66"/>
  <c r="B215" i="66"/>
  <c r="D214" i="66"/>
  <c r="E214" i="66" s="1"/>
  <c r="B214" i="66"/>
  <c r="B220" i="66" s="1"/>
  <c r="AG212" i="66"/>
  <c r="AF212" i="66"/>
  <c r="AE212" i="66"/>
  <c r="AD212" i="66"/>
  <c r="AC212" i="66"/>
  <c r="AB212" i="66"/>
  <c r="AA212" i="66"/>
  <c r="Z212" i="66"/>
  <c r="Y212" i="66"/>
  <c r="X212" i="66"/>
  <c r="W212" i="66"/>
  <c r="V212" i="66"/>
  <c r="U212" i="66"/>
  <c r="T212" i="66"/>
  <c r="S212" i="66"/>
  <c r="R212" i="66"/>
  <c r="Q212" i="66"/>
  <c r="P212" i="66"/>
  <c r="O212" i="66"/>
  <c r="N212" i="66"/>
  <c r="M212" i="66"/>
  <c r="L212" i="66"/>
  <c r="K212" i="66"/>
  <c r="J212" i="66"/>
  <c r="I212" i="66"/>
  <c r="H212" i="66"/>
  <c r="G212" i="66"/>
  <c r="F212" i="66"/>
  <c r="E212" i="66"/>
  <c r="D212" i="66"/>
  <c r="C212" i="66"/>
  <c r="B212" i="66"/>
  <c r="AH105" i="66"/>
  <c r="AI105" i="66" s="1"/>
  <c r="AH104" i="66"/>
  <c r="AI104" i="66" s="1"/>
  <c r="AH103" i="66"/>
  <c r="AI103" i="66" s="1"/>
  <c r="AH102" i="66"/>
  <c r="AI102" i="66" s="1"/>
  <c r="AH101" i="66"/>
  <c r="AI101" i="66" s="1"/>
  <c r="AH100" i="66"/>
  <c r="AI100" i="66" s="1"/>
  <c r="AH99" i="66"/>
  <c r="AI99" i="66" s="1"/>
  <c r="AF98" i="66"/>
  <c r="AE98" i="66"/>
  <c r="AD98" i="66"/>
  <c r="AC98" i="66"/>
  <c r="AB98" i="66"/>
  <c r="Z98" i="66"/>
  <c r="Y98" i="66"/>
  <c r="X98" i="66"/>
  <c r="W98" i="66"/>
  <c r="V98" i="66"/>
  <c r="U98" i="66"/>
  <c r="T98" i="66"/>
  <c r="S98" i="66"/>
  <c r="R98" i="66"/>
  <c r="Q98" i="66"/>
  <c r="D98" i="66"/>
  <c r="C98" i="66"/>
  <c r="AI97" i="66"/>
  <c r="AH97" i="66"/>
  <c r="AI96" i="66"/>
  <c r="AH96" i="66"/>
  <c r="AI95" i="66"/>
  <c r="AH95" i="66"/>
  <c r="AI94" i="66"/>
  <c r="AH94" i="66"/>
  <c r="AI93" i="66"/>
  <c r="AH93" i="66"/>
  <c r="AI92" i="66"/>
  <c r="AH92" i="66"/>
  <c r="AI91" i="66"/>
  <c r="AH91" i="66"/>
  <c r="AI90" i="66"/>
  <c r="AH90" i="66"/>
  <c r="AI89" i="66"/>
  <c r="AH89" i="66"/>
  <c r="AI86" i="66"/>
  <c r="AH86" i="66"/>
  <c r="AF85" i="66"/>
  <c r="AE85" i="66"/>
  <c r="AD85" i="66"/>
  <c r="AC85" i="66"/>
  <c r="AB85" i="66"/>
  <c r="Z85" i="66"/>
  <c r="Y85" i="66"/>
  <c r="X85" i="66"/>
  <c r="W85" i="66"/>
  <c r="V85" i="66"/>
  <c r="U85" i="66"/>
  <c r="T85" i="66"/>
  <c r="S85" i="66"/>
  <c r="R85" i="66"/>
  <c r="Q85" i="66"/>
  <c r="P85" i="66"/>
  <c r="O85" i="66"/>
  <c r="N85" i="66"/>
  <c r="M85" i="66"/>
  <c r="L85" i="66"/>
  <c r="K85" i="66"/>
  <c r="J85" i="66"/>
  <c r="I85" i="66"/>
  <c r="H85" i="66"/>
  <c r="G85" i="66"/>
  <c r="F85" i="66"/>
  <c r="E85" i="66"/>
  <c r="D85" i="66"/>
  <c r="C85" i="66"/>
  <c r="AF84" i="66"/>
  <c r="AE84" i="66"/>
  <c r="AD84" i="66"/>
  <c r="AC84" i="66"/>
  <c r="AB84" i="66"/>
  <c r="Z84" i="66"/>
  <c r="Y84" i="66"/>
  <c r="X84" i="66"/>
  <c r="W84" i="66"/>
  <c r="V84" i="66"/>
  <c r="U84" i="66"/>
  <c r="T84" i="66"/>
  <c r="S84" i="66"/>
  <c r="R84" i="66"/>
  <c r="Q84" i="66"/>
  <c r="P84" i="66"/>
  <c r="O84" i="66"/>
  <c r="N84" i="66"/>
  <c r="M84" i="66"/>
  <c r="L84" i="66"/>
  <c r="K84" i="66"/>
  <c r="J84" i="66"/>
  <c r="I84" i="66"/>
  <c r="H84" i="66"/>
  <c r="G84" i="66"/>
  <c r="F84" i="66"/>
  <c r="E84" i="66"/>
  <c r="D84" i="66"/>
  <c r="C84" i="66"/>
  <c r="AF83" i="66"/>
  <c r="AE83" i="66"/>
  <c r="AD83" i="66"/>
  <c r="AC83" i="66"/>
  <c r="AB83" i="66"/>
  <c r="Z83" i="66"/>
  <c r="Y83" i="66"/>
  <c r="X83" i="66"/>
  <c r="W83" i="66"/>
  <c r="V83" i="66"/>
  <c r="U83" i="66"/>
  <c r="T83" i="66"/>
  <c r="S83" i="66"/>
  <c r="R83" i="66"/>
  <c r="Q83" i="66"/>
  <c r="P83" i="66"/>
  <c r="O83" i="66"/>
  <c r="N83" i="66"/>
  <c r="M83" i="66"/>
  <c r="L83" i="66"/>
  <c r="K83" i="66"/>
  <c r="J83" i="66"/>
  <c r="I83" i="66"/>
  <c r="H83" i="66"/>
  <c r="G83" i="66"/>
  <c r="F83" i="66"/>
  <c r="E83" i="66"/>
  <c r="D83" i="66"/>
  <c r="C83" i="66"/>
  <c r="AF82" i="66"/>
  <c r="AE82" i="66"/>
  <c r="AD82" i="66"/>
  <c r="AC82" i="66"/>
  <c r="AB82" i="66"/>
  <c r="Z82" i="66"/>
  <c r="Y82" i="66"/>
  <c r="X82" i="66"/>
  <c r="W82" i="66"/>
  <c r="V82" i="66"/>
  <c r="U82" i="66"/>
  <c r="T82" i="66"/>
  <c r="S82" i="66"/>
  <c r="R82" i="66"/>
  <c r="Q82" i="66"/>
  <c r="P82" i="66"/>
  <c r="O82" i="66"/>
  <c r="N82" i="66"/>
  <c r="M82" i="66"/>
  <c r="L82" i="66"/>
  <c r="K82" i="66"/>
  <c r="J82" i="66"/>
  <c r="I82" i="66"/>
  <c r="H82" i="66"/>
  <c r="G82" i="66"/>
  <c r="F82" i="66"/>
  <c r="E82" i="66"/>
  <c r="D82" i="66"/>
  <c r="C82" i="66"/>
  <c r="AF81" i="66"/>
  <c r="AF87" i="66" s="1"/>
  <c r="AE81" i="66"/>
  <c r="AD81" i="66"/>
  <c r="AC81" i="66"/>
  <c r="AB81" i="66"/>
  <c r="Z81" i="66"/>
  <c r="Y81" i="66"/>
  <c r="X81" i="66"/>
  <c r="W81" i="66"/>
  <c r="V81" i="66"/>
  <c r="V87" i="66" s="1"/>
  <c r="U81" i="66"/>
  <c r="T81" i="66"/>
  <c r="S81" i="66"/>
  <c r="R81" i="66"/>
  <c r="Q81" i="66"/>
  <c r="P81" i="66"/>
  <c r="O81" i="66"/>
  <c r="O87" i="66" s="1"/>
  <c r="N81" i="66"/>
  <c r="M81" i="66"/>
  <c r="L81" i="66"/>
  <c r="L87" i="66" s="1"/>
  <c r="K81" i="66"/>
  <c r="J81" i="66"/>
  <c r="I81" i="66"/>
  <c r="I87" i="66" s="1"/>
  <c r="H81" i="66"/>
  <c r="H87" i="66" s="1"/>
  <c r="G81" i="66"/>
  <c r="F81" i="66"/>
  <c r="E81" i="66"/>
  <c r="D81" i="66"/>
  <c r="C81" i="66"/>
  <c r="AI78" i="66"/>
  <c r="AH78" i="66"/>
  <c r="AI76" i="66"/>
  <c r="AH76" i="66"/>
  <c r="AG76" i="66"/>
  <c r="AG79" i="66" s="1"/>
  <c r="AI75" i="66"/>
  <c r="AH75" i="66"/>
  <c r="AI74" i="66"/>
  <c r="AH74" i="66"/>
  <c r="AI73" i="66"/>
  <c r="AH73" i="66"/>
  <c r="AG72" i="66"/>
  <c r="AF72" i="66"/>
  <c r="AE72" i="66"/>
  <c r="AD5" i="66" s="1"/>
  <c r="AD72" i="66"/>
  <c r="AC5" i="66" s="1"/>
  <c r="AC72" i="66"/>
  <c r="AB5" i="66" s="1"/>
  <c r="AB72" i="66"/>
  <c r="AA5" i="66" s="1"/>
  <c r="Z72" i="66"/>
  <c r="Y72" i="66"/>
  <c r="X72" i="66"/>
  <c r="W72" i="66"/>
  <c r="V72" i="66"/>
  <c r="U5" i="66" s="1"/>
  <c r="U72" i="66"/>
  <c r="T5" i="66" s="1"/>
  <c r="T72" i="66"/>
  <c r="S5" i="66" s="1"/>
  <c r="S72" i="66"/>
  <c r="R5" i="66" s="1"/>
  <c r="R72" i="66"/>
  <c r="Q72" i="66"/>
  <c r="P72" i="66"/>
  <c r="O72" i="66"/>
  <c r="N72" i="66"/>
  <c r="M5" i="66" s="1"/>
  <c r="M72" i="66"/>
  <c r="L5" i="66" s="1"/>
  <c r="L72" i="66"/>
  <c r="K5" i="66" s="1"/>
  <c r="K72" i="66"/>
  <c r="J5" i="66" s="1"/>
  <c r="J72" i="66"/>
  <c r="I72" i="66"/>
  <c r="H5" i="66" s="1"/>
  <c r="H72" i="66"/>
  <c r="G72" i="66"/>
  <c r="F72" i="66"/>
  <c r="E5" i="66" s="1"/>
  <c r="E72" i="66"/>
  <c r="D5" i="66" s="1"/>
  <c r="D72" i="66"/>
  <c r="C5" i="66" s="1"/>
  <c r="C72" i="66"/>
  <c r="B5" i="66" s="1"/>
  <c r="AI71" i="66"/>
  <c r="AH71" i="66"/>
  <c r="AI70" i="66"/>
  <c r="AH70" i="66"/>
  <c r="AI69" i="66"/>
  <c r="AH69" i="66"/>
  <c r="AI68" i="66"/>
  <c r="AH68" i="66"/>
  <c r="AI67" i="66"/>
  <c r="AH67" i="66"/>
  <c r="AI66" i="66"/>
  <c r="AH66" i="66"/>
  <c r="AI65" i="66"/>
  <c r="AH65" i="66"/>
  <c r="AI64" i="66"/>
  <c r="AH64" i="66"/>
  <c r="AI63" i="66"/>
  <c r="AH63" i="66"/>
  <c r="AI62" i="66"/>
  <c r="AH62" i="66"/>
  <c r="AI61" i="66"/>
  <c r="AH61" i="66"/>
  <c r="AG60" i="66"/>
  <c r="AF60" i="66"/>
  <c r="AE60" i="66"/>
  <c r="AD60" i="66"/>
  <c r="AC60" i="66"/>
  <c r="AB60" i="66"/>
  <c r="Z60" i="66"/>
  <c r="Y60" i="66"/>
  <c r="X60" i="66"/>
  <c r="W60" i="66"/>
  <c r="V60" i="66"/>
  <c r="U60" i="66"/>
  <c r="T60" i="66"/>
  <c r="S60" i="66"/>
  <c r="R60" i="66"/>
  <c r="Q60" i="66"/>
  <c r="P60" i="66"/>
  <c r="O60" i="66"/>
  <c r="N60" i="66"/>
  <c r="M60" i="66"/>
  <c r="L60" i="66"/>
  <c r="K60" i="66"/>
  <c r="J60" i="66"/>
  <c r="I60" i="66"/>
  <c r="H60" i="66"/>
  <c r="G60" i="66"/>
  <c r="F60" i="66"/>
  <c r="E60" i="66"/>
  <c r="D60" i="66"/>
  <c r="C60" i="66"/>
  <c r="AI59" i="66"/>
  <c r="AH59" i="66"/>
  <c r="AI58" i="66"/>
  <c r="AH58" i="66"/>
  <c r="AI57" i="66"/>
  <c r="AH57" i="66"/>
  <c r="AF56" i="66"/>
  <c r="AE56" i="66"/>
  <c r="AD56" i="66"/>
  <c r="AC56" i="66"/>
  <c r="AB56" i="66"/>
  <c r="Z56" i="66"/>
  <c r="Y56" i="66"/>
  <c r="X56" i="66"/>
  <c r="W56" i="66"/>
  <c r="V56" i="66"/>
  <c r="U56" i="66"/>
  <c r="T56" i="66"/>
  <c r="S56" i="66"/>
  <c r="R56" i="66"/>
  <c r="Q56" i="66"/>
  <c r="P56" i="66"/>
  <c r="O56" i="66"/>
  <c r="N56" i="66"/>
  <c r="M56" i="66"/>
  <c r="L56" i="66"/>
  <c r="K56" i="66"/>
  <c r="J56" i="66"/>
  <c r="I56" i="66"/>
  <c r="H56" i="66"/>
  <c r="G56" i="66"/>
  <c r="F56" i="66"/>
  <c r="E56" i="66"/>
  <c r="D56" i="66"/>
  <c r="C56" i="66"/>
  <c r="AI55" i="66"/>
  <c r="AH55" i="66"/>
  <c r="AG55" i="66"/>
  <c r="AG56" i="66" s="1"/>
  <c r="AG3" i="66" s="1"/>
  <c r="AI54" i="66"/>
  <c r="AH54" i="66"/>
  <c r="AI53" i="66"/>
  <c r="AH53" i="66"/>
  <c r="AI52" i="66"/>
  <c r="AH52" i="66"/>
  <c r="AI51" i="66"/>
  <c r="AH51" i="66"/>
  <c r="AI50" i="66"/>
  <c r="AH50" i="66"/>
  <c r="AI49" i="66"/>
  <c r="AH49" i="66"/>
  <c r="AI48" i="66"/>
  <c r="AH48" i="66"/>
  <c r="AI47" i="66"/>
  <c r="AH47" i="66"/>
  <c r="AI46" i="66"/>
  <c r="AH46" i="66"/>
  <c r="AI45" i="66"/>
  <c r="AH45" i="66"/>
  <c r="AI44" i="66"/>
  <c r="AH44" i="66"/>
  <c r="AI43" i="66"/>
  <c r="AH43" i="66"/>
  <c r="AG42" i="66"/>
  <c r="AF42" i="66"/>
  <c r="AE42" i="66"/>
  <c r="AD42" i="66"/>
  <c r="AC42" i="66"/>
  <c r="AB42" i="66"/>
  <c r="Z42" i="66"/>
  <c r="Y42" i="66"/>
  <c r="X42" i="66"/>
  <c r="W42" i="66"/>
  <c r="V42" i="66"/>
  <c r="U42" i="66"/>
  <c r="T42" i="66"/>
  <c r="S42" i="66"/>
  <c r="R42" i="66"/>
  <c r="Q42" i="66"/>
  <c r="P42" i="66"/>
  <c r="O42" i="66"/>
  <c r="N42" i="66"/>
  <c r="M42" i="66"/>
  <c r="L42" i="66"/>
  <c r="K42" i="66"/>
  <c r="J42" i="66"/>
  <c r="I42" i="66"/>
  <c r="H42" i="66"/>
  <c r="G42" i="66"/>
  <c r="F42" i="66"/>
  <c r="E42" i="66"/>
  <c r="D42" i="66"/>
  <c r="C42" i="66"/>
  <c r="AI41" i="66"/>
  <c r="AH41" i="66"/>
  <c r="AI40" i="66"/>
  <c r="AH40" i="66"/>
  <c r="AI39" i="66"/>
  <c r="AH39" i="66"/>
  <c r="AG38" i="66"/>
  <c r="AG77" i="66" s="1"/>
  <c r="AF38" i="66"/>
  <c r="AE38" i="66"/>
  <c r="AD38" i="66"/>
  <c r="AC38" i="66"/>
  <c r="AB38" i="66"/>
  <c r="Z38" i="66"/>
  <c r="Y38" i="66"/>
  <c r="X38" i="66"/>
  <c r="W38" i="66"/>
  <c r="V38" i="66"/>
  <c r="V77" i="66" s="1"/>
  <c r="V79" i="66" s="1"/>
  <c r="U38" i="66"/>
  <c r="T38" i="66"/>
  <c r="T77" i="66" s="1"/>
  <c r="T79" i="66" s="1"/>
  <c r="S38" i="66"/>
  <c r="R38" i="66"/>
  <c r="Q38" i="66"/>
  <c r="P38" i="66"/>
  <c r="O38" i="66"/>
  <c r="N38" i="66"/>
  <c r="M38" i="66"/>
  <c r="L38" i="66"/>
  <c r="K38" i="66"/>
  <c r="J38" i="66"/>
  <c r="I38" i="66"/>
  <c r="H38" i="66"/>
  <c r="G38" i="66"/>
  <c r="F38" i="66"/>
  <c r="E38" i="66"/>
  <c r="D38" i="66"/>
  <c r="C38" i="66"/>
  <c r="AI37" i="66"/>
  <c r="AH37" i="66"/>
  <c r="AI36" i="66"/>
  <c r="AH36" i="66"/>
  <c r="AI35" i="66"/>
  <c r="AH35" i="66"/>
  <c r="AI34" i="66"/>
  <c r="AH34" i="66"/>
  <c r="AI33" i="66"/>
  <c r="AH33" i="66"/>
  <c r="AI32" i="66"/>
  <c r="AH32" i="66"/>
  <c r="AI31" i="66"/>
  <c r="AH31" i="66"/>
  <c r="AI30" i="66"/>
  <c r="AH30" i="66"/>
  <c r="AI29" i="66"/>
  <c r="AH29" i="66"/>
  <c r="AI28" i="66"/>
  <c r="AH28" i="66"/>
  <c r="AI27" i="66"/>
  <c r="AH27" i="66"/>
  <c r="AI26" i="66"/>
  <c r="AH26" i="66"/>
  <c r="AI25" i="66"/>
  <c r="AH25" i="66"/>
  <c r="AI24" i="66"/>
  <c r="AH24" i="66"/>
  <c r="AI23" i="66"/>
  <c r="AH23" i="66"/>
  <c r="AI22" i="66"/>
  <c r="AH22" i="66"/>
  <c r="AI21" i="66"/>
  <c r="AH21" i="66"/>
  <c r="AI20" i="66"/>
  <c r="AH20" i="66"/>
  <c r="AI19" i="66"/>
  <c r="AH19" i="66"/>
  <c r="AI18" i="66"/>
  <c r="AH18" i="66"/>
  <c r="AI17" i="66"/>
  <c r="AH17" i="66"/>
  <c r="AI16" i="66"/>
  <c r="AH16" i="66"/>
  <c r="AI15" i="66"/>
  <c r="AH15" i="66"/>
  <c r="AI14" i="66"/>
  <c r="AH14" i="66"/>
  <c r="AI13" i="66"/>
  <c r="AH13" i="66"/>
  <c r="AI12" i="66"/>
  <c r="AH12" i="66"/>
  <c r="AI11" i="66"/>
  <c r="AH11" i="66"/>
  <c r="AE5" i="66"/>
  <c r="Z5" i="66"/>
  <c r="V5" i="66"/>
  <c r="N5" i="66"/>
  <c r="AG4" i="66"/>
  <c r="K4" i="66"/>
  <c r="B4" i="66"/>
  <c r="S231" i="66" s="1"/>
  <c r="AG2" i="66"/>
  <c r="AG6" i="66" s="1"/>
  <c r="AF100" i="65"/>
  <c r="AF99" i="65"/>
  <c r="AE99" i="65"/>
  <c r="AE100" i="65"/>
  <c r="AD100" i="65"/>
  <c r="AD99" i="65"/>
  <c r="AA100" i="65"/>
  <c r="Z100" i="65"/>
  <c r="Y100" i="65"/>
  <c r="X100" i="65"/>
  <c r="W100" i="65"/>
  <c r="U100" i="65"/>
  <c r="E4" i="66"/>
  <c r="E4" i="68"/>
  <c r="AF87" i="68" l="1"/>
  <c r="AF77" i="68"/>
  <c r="AF79" i="68" s="1"/>
  <c r="AF80" i="68" s="1"/>
  <c r="AE77" i="68"/>
  <c r="AE79" i="68" s="1"/>
  <c r="AE88" i="68"/>
  <c r="AD77" i="68"/>
  <c r="AD79" i="68" s="1"/>
  <c r="AC77" i="68"/>
  <c r="AC79" i="68" s="1"/>
  <c r="AB87" i="68"/>
  <c r="AB77" i="68"/>
  <c r="AB79" i="68" s="1"/>
  <c r="AA87" i="68"/>
  <c r="AA88" i="68" s="1"/>
  <c r="AA77" i="68"/>
  <c r="AA79" i="68" s="1"/>
  <c r="AA7" i="68" s="1"/>
  <c r="Y5" i="68"/>
  <c r="Z77" i="68"/>
  <c r="Z79" i="68" s="1"/>
  <c r="AR234" i="68" s="1"/>
  <c r="X5" i="68"/>
  <c r="Y77" i="68"/>
  <c r="Y79" i="68" s="1"/>
  <c r="Y80" i="68" s="1"/>
  <c r="X77" i="68"/>
  <c r="X79" i="68" s="1"/>
  <c r="W88" i="68"/>
  <c r="W77" i="68"/>
  <c r="W79" i="68" s="1"/>
  <c r="W80" i="68" s="1"/>
  <c r="T87" i="68"/>
  <c r="T77" i="68"/>
  <c r="T79" i="68" s="1"/>
  <c r="T7" i="68" s="1"/>
  <c r="S87" i="68"/>
  <c r="S88" i="68" s="1"/>
  <c r="S77" i="68"/>
  <c r="S79" i="68" s="1"/>
  <c r="R87" i="68"/>
  <c r="R88" i="68" s="1"/>
  <c r="R77" i="68"/>
  <c r="R79" i="68" s="1"/>
  <c r="R7" i="68" s="1"/>
  <c r="P5" i="68"/>
  <c r="Q77" i="68"/>
  <c r="Q79" i="68" s="1"/>
  <c r="Q7" i="68" s="1"/>
  <c r="P87" i="68"/>
  <c r="P77" i="68"/>
  <c r="P79" i="68" s="1"/>
  <c r="P80" i="68" s="1"/>
  <c r="O88" i="68"/>
  <c r="O77" i="68"/>
  <c r="O79" i="68" s="1"/>
  <c r="O80" i="68" s="1"/>
  <c r="N87" i="68"/>
  <c r="N88" i="68" s="1"/>
  <c r="N77" i="68"/>
  <c r="N79" i="68" s="1"/>
  <c r="AF234" i="68" s="1"/>
  <c r="M87" i="68"/>
  <c r="M77" i="68"/>
  <c r="M79" i="68" s="1"/>
  <c r="M7" i="68" s="1"/>
  <c r="L77" i="68"/>
  <c r="L79" i="68" s="1"/>
  <c r="L7" i="68" s="1"/>
  <c r="K87" i="68"/>
  <c r="K88" i="68" s="1"/>
  <c r="K77" i="68"/>
  <c r="K79" i="68" s="1"/>
  <c r="K7" i="68" s="1"/>
  <c r="G77" i="68"/>
  <c r="G79" i="68" s="1"/>
  <c r="Y234" i="68" s="1"/>
  <c r="F77" i="68"/>
  <c r="F79" i="68" s="1"/>
  <c r="F7" i="68" s="1"/>
  <c r="AI83" i="68"/>
  <c r="F87" i="68"/>
  <c r="F88" i="68" s="1"/>
  <c r="E5" i="68"/>
  <c r="AI82" i="68"/>
  <c r="E87" i="68"/>
  <c r="AH82" i="68"/>
  <c r="E77" i="68"/>
  <c r="E79" i="68" s="1"/>
  <c r="E7" i="68" s="1"/>
  <c r="D87" i="68"/>
  <c r="AI85" i="68"/>
  <c r="AI56" i="68"/>
  <c r="AH81" i="68"/>
  <c r="AI81" i="68"/>
  <c r="AI84" i="68"/>
  <c r="AH84" i="68"/>
  <c r="C87" i="68"/>
  <c r="C88" i="68" s="1"/>
  <c r="AI60" i="68"/>
  <c r="C77" i="68"/>
  <c r="C79" i="68" s="1"/>
  <c r="U234" i="68" s="1"/>
  <c r="D77" i="68"/>
  <c r="D79" i="68" s="1"/>
  <c r="D80" i="68" s="1"/>
  <c r="AI42" i="68"/>
  <c r="AI38" i="68"/>
  <c r="H4" i="68"/>
  <c r="I7" i="68"/>
  <c r="AA234" i="68"/>
  <c r="Y7" i="68"/>
  <c r="K80" i="68"/>
  <c r="S7" i="68"/>
  <c r="AK234" i="68"/>
  <c r="S80" i="68"/>
  <c r="V234" i="68"/>
  <c r="AB7" i="68"/>
  <c r="AT234" i="68"/>
  <c r="U7" i="68"/>
  <c r="AM234" i="68"/>
  <c r="U80" i="68"/>
  <c r="AC7" i="68"/>
  <c r="AU234" i="68"/>
  <c r="AC80" i="68"/>
  <c r="F98" i="68"/>
  <c r="AG79" i="68"/>
  <c r="AG3" i="68"/>
  <c r="AG6" i="68" s="1"/>
  <c r="AN234" i="68"/>
  <c r="V80" i="68"/>
  <c r="V7" i="68"/>
  <c r="AV234" i="68"/>
  <c r="AD80" i="68"/>
  <c r="AD7" i="68"/>
  <c r="AG234" i="68"/>
  <c r="AO234" i="68"/>
  <c r="AW234" i="68"/>
  <c r="AE80" i="68"/>
  <c r="AE7" i="68"/>
  <c r="D88" i="68"/>
  <c r="L88" i="68"/>
  <c r="T88" i="68"/>
  <c r="AB234" i="68"/>
  <c r="J7" i="68"/>
  <c r="H7" i="68"/>
  <c r="Z234" i="68"/>
  <c r="AH234" i="68"/>
  <c r="X80" i="68"/>
  <c r="X7" i="68"/>
  <c r="AP234" i="68"/>
  <c r="AF7" i="68"/>
  <c r="E88" i="68"/>
  <c r="M88" i="68"/>
  <c r="U88" i="68"/>
  <c r="AC88" i="68"/>
  <c r="AH83" i="68"/>
  <c r="D231" i="68"/>
  <c r="AH38" i="68"/>
  <c r="AH42" i="68"/>
  <c r="B77" i="68"/>
  <c r="AH85" i="68"/>
  <c r="F219" i="68"/>
  <c r="G87" i="68"/>
  <c r="G88" i="68" s="1"/>
  <c r="P88" i="68"/>
  <c r="X88" i="68"/>
  <c r="AF88" i="68"/>
  <c r="G214" i="68"/>
  <c r="AH56" i="68"/>
  <c r="AH60" i="68"/>
  <c r="AH72" i="68"/>
  <c r="B87" i="68"/>
  <c r="B88" i="68" s="1"/>
  <c r="AI72" i="68"/>
  <c r="E216" i="68"/>
  <c r="F216" i="68" s="1"/>
  <c r="G216" i="68" s="1"/>
  <c r="H216" i="68" s="1"/>
  <c r="I216" i="68" s="1"/>
  <c r="J216" i="68" s="1"/>
  <c r="K216" i="68" s="1"/>
  <c r="L216" i="68" s="1"/>
  <c r="M216" i="68" s="1"/>
  <c r="N216" i="68" s="1"/>
  <c r="O216" i="68" s="1"/>
  <c r="P216" i="68" s="1"/>
  <c r="AF88" i="66"/>
  <c r="AE87" i="66"/>
  <c r="AF77" i="66"/>
  <c r="AF79" i="66" s="1"/>
  <c r="AE88" i="66"/>
  <c r="AD87" i="66"/>
  <c r="AD77" i="66"/>
  <c r="AD79" i="66" s="1"/>
  <c r="AC87" i="66"/>
  <c r="AE77" i="66"/>
  <c r="AE79" i="66" s="1"/>
  <c r="AW234" i="66" s="1"/>
  <c r="AC77" i="66"/>
  <c r="AC79" i="66" s="1"/>
  <c r="AB87" i="66"/>
  <c r="AB88" i="66" s="1"/>
  <c r="AB77" i="66"/>
  <c r="AB79" i="66" s="1"/>
  <c r="Z87" i="66"/>
  <c r="Z88" i="66" s="1"/>
  <c r="Y5" i="66"/>
  <c r="Z77" i="66"/>
  <c r="Z79" i="66" s="1"/>
  <c r="Y87" i="66"/>
  <c r="Y88" i="66"/>
  <c r="X5" i="66"/>
  <c r="Y77" i="66"/>
  <c r="Y79" i="66" s="1"/>
  <c r="X87" i="66"/>
  <c r="X88" i="66"/>
  <c r="W5" i="66"/>
  <c r="X77" i="66"/>
  <c r="X79" i="66" s="1"/>
  <c r="W87" i="66"/>
  <c r="W88" i="66" s="1"/>
  <c r="W77" i="66"/>
  <c r="W79" i="66" s="1"/>
  <c r="U87" i="66"/>
  <c r="U77" i="66"/>
  <c r="U79" i="66" s="1"/>
  <c r="T87" i="66"/>
  <c r="T88" i="66" s="1"/>
  <c r="S87" i="66"/>
  <c r="S77" i="66"/>
  <c r="S79" i="66" s="1"/>
  <c r="R87" i="66"/>
  <c r="R88" i="66" s="1"/>
  <c r="Q5" i="66"/>
  <c r="R77" i="66"/>
  <c r="R79" i="66" s="1"/>
  <c r="Q87" i="66"/>
  <c r="Q88" i="66"/>
  <c r="P5" i="66"/>
  <c r="Q77" i="66"/>
  <c r="Q79" i="66" s="1"/>
  <c r="P87" i="66"/>
  <c r="P88" i="66"/>
  <c r="O5" i="66"/>
  <c r="P77" i="66"/>
  <c r="P79" i="66" s="1"/>
  <c r="P7" i="66" s="1"/>
  <c r="O88" i="66"/>
  <c r="O77" i="66"/>
  <c r="O79" i="66" s="1"/>
  <c r="N87" i="66"/>
  <c r="N77" i="66"/>
  <c r="N79" i="66" s="1"/>
  <c r="M87" i="66"/>
  <c r="M77" i="66"/>
  <c r="M79" i="66" s="1"/>
  <c r="M7" i="66" s="1"/>
  <c r="AH42" i="66"/>
  <c r="L88" i="66"/>
  <c r="K87" i="66"/>
  <c r="K77" i="66"/>
  <c r="K79" i="66" s="1"/>
  <c r="K80" i="66" s="1"/>
  <c r="J87" i="66"/>
  <c r="J88" i="66" s="1"/>
  <c r="J77" i="66"/>
  <c r="J79" i="66" s="1"/>
  <c r="J80" i="66" s="1"/>
  <c r="I5" i="66"/>
  <c r="I88" i="66"/>
  <c r="I77" i="66"/>
  <c r="I79" i="66" s="1"/>
  <c r="AA234" i="66" s="1"/>
  <c r="AI81" i="66"/>
  <c r="H88" i="66"/>
  <c r="G5" i="66"/>
  <c r="G87" i="66"/>
  <c r="G88" i="66" s="1"/>
  <c r="F5" i="66"/>
  <c r="G77" i="66"/>
  <c r="G79" i="66" s="1"/>
  <c r="G7" i="66" s="1"/>
  <c r="AI82" i="66"/>
  <c r="F87" i="66"/>
  <c r="AI84" i="66"/>
  <c r="F77" i="66"/>
  <c r="F79" i="66" s="1"/>
  <c r="X234" i="66" s="1"/>
  <c r="E87" i="66"/>
  <c r="AI85" i="66"/>
  <c r="E77" i="66"/>
  <c r="E79" i="66" s="1"/>
  <c r="E7" i="66" s="1"/>
  <c r="H77" i="66"/>
  <c r="H79" i="66" s="1"/>
  <c r="H7" i="66" s="1"/>
  <c r="L77" i="66"/>
  <c r="L79" i="66" s="1"/>
  <c r="L80" i="66" s="1"/>
  <c r="AH83" i="66"/>
  <c r="D87" i="66"/>
  <c r="D88" i="66"/>
  <c r="D77" i="66"/>
  <c r="D79" i="66" s="1"/>
  <c r="D80" i="66" s="1"/>
  <c r="AI56" i="66"/>
  <c r="C87" i="66"/>
  <c r="AI60" i="66"/>
  <c r="C77" i="66"/>
  <c r="C79" i="66" s="1"/>
  <c r="U234" i="66" s="1"/>
  <c r="B88" i="66"/>
  <c r="AH84" i="66"/>
  <c r="B77" i="66"/>
  <c r="B79" i="66" s="1"/>
  <c r="B80" i="66" s="1"/>
  <c r="H4" i="66"/>
  <c r="T7" i="66"/>
  <c r="T80" i="66"/>
  <c r="AL234" i="66"/>
  <c r="K7" i="66"/>
  <c r="AC234" i="66"/>
  <c r="S7" i="66"/>
  <c r="AK234" i="66"/>
  <c r="S80" i="66"/>
  <c r="AA7" i="66"/>
  <c r="AS234" i="66"/>
  <c r="W234" i="66"/>
  <c r="U7" i="66"/>
  <c r="AM234" i="66"/>
  <c r="U80" i="66"/>
  <c r="AC7" i="66"/>
  <c r="AU234" i="66"/>
  <c r="AC80" i="66"/>
  <c r="AB7" i="66"/>
  <c r="AT234" i="66"/>
  <c r="AB80" i="66"/>
  <c r="AF234" i="66"/>
  <c r="N80" i="66"/>
  <c r="N7" i="66"/>
  <c r="AV234" i="66"/>
  <c r="AD80" i="66"/>
  <c r="AD7" i="66"/>
  <c r="E98" i="66"/>
  <c r="F214" i="66"/>
  <c r="E220" i="66"/>
  <c r="AN234" i="66"/>
  <c r="V80" i="66"/>
  <c r="V7" i="66"/>
  <c r="AG234" i="66"/>
  <c r="O7" i="66"/>
  <c r="O80" i="66"/>
  <c r="AO234" i="66"/>
  <c r="W80" i="66"/>
  <c r="W7" i="66"/>
  <c r="C88" i="66"/>
  <c r="K88" i="66"/>
  <c r="S88" i="66"/>
  <c r="X80" i="66"/>
  <c r="X7" i="66"/>
  <c r="AP234" i="66"/>
  <c r="AF80" i="66"/>
  <c r="AF7" i="66"/>
  <c r="AX234" i="66"/>
  <c r="Q80" i="66"/>
  <c r="AI234" i="66"/>
  <c r="Q7" i="66"/>
  <c r="AQ234" i="66"/>
  <c r="Y80" i="66"/>
  <c r="Y7" i="66"/>
  <c r="I80" i="66"/>
  <c r="AB234" i="66"/>
  <c r="R80" i="66"/>
  <c r="R7" i="66"/>
  <c r="AJ234" i="66"/>
  <c r="Z80" i="66"/>
  <c r="Z7" i="66"/>
  <c r="AR234" i="66"/>
  <c r="F88" i="66"/>
  <c r="N88" i="66"/>
  <c r="V88" i="66"/>
  <c r="AD88" i="66"/>
  <c r="AH38" i="66"/>
  <c r="AI83" i="66"/>
  <c r="D231" i="66"/>
  <c r="AI38" i="66"/>
  <c r="AI42" i="66"/>
  <c r="AH85" i="66"/>
  <c r="E88" i="66"/>
  <c r="M88" i="66"/>
  <c r="U88" i="66"/>
  <c r="AC88" i="66"/>
  <c r="F219" i="66"/>
  <c r="AH56" i="66"/>
  <c r="AH60" i="66"/>
  <c r="AH72" i="66"/>
  <c r="AH81" i="66"/>
  <c r="AI72" i="66"/>
  <c r="AH82" i="66"/>
  <c r="AX234" i="68" l="1"/>
  <c r="AB80" i="68"/>
  <c r="AB88" i="68"/>
  <c r="Z80" i="68"/>
  <c r="AA80" i="68"/>
  <c r="AS234" i="68"/>
  <c r="Z7" i="68"/>
  <c r="AQ234" i="68"/>
  <c r="W7" i="68"/>
  <c r="AL234" i="68"/>
  <c r="T80" i="68"/>
  <c r="O7" i="68"/>
  <c r="AJ234" i="68"/>
  <c r="Q80" i="68"/>
  <c r="R80" i="68"/>
  <c r="AI234" i="68"/>
  <c r="F80" i="68"/>
  <c r="E80" i="68"/>
  <c r="D7" i="68"/>
  <c r="AC234" i="68"/>
  <c r="P7" i="68"/>
  <c r="N80" i="68"/>
  <c r="N7" i="68"/>
  <c r="M80" i="68"/>
  <c r="AE234" i="68"/>
  <c r="L80" i="68"/>
  <c r="AD234" i="68"/>
  <c r="C229" i="68"/>
  <c r="G7" i="68"/>
  <c r="B229" i="68"/>
  <c r="X234" i="68"/>
  <c r="W234" i="68"/>
  <c r="C7" i="68"/>
  <c r="C80" i="68"/>
  <c r="AI88" i="68"/>
  <c r="AH88" i="68"/>
  <c r="AI87" i="68"/>
  <c r="AH87" i="68"/>
  <c r="G219" i="68"/>
  <c r="E255" i="68"/>
  <c r="G80" i="68"/>
  <c r="H214" i="68"/>
  <c r="F220" i="68"/>
  <c r="E220" i="68"/>
  <c r="B79" i="68"/>
  <c r="AI77" i="68"/>
  <c r="AH77" i="68"/>
  <c r="AE80" i="66"/>
  <c r="AE7" i="66"/>
  <c r="P80" i="66"/>
  <c r="AH234" i="66"/>
  <c r="M80" i="66"/>
  <c r="AE234" i="66"/>
  <c r="J7" i="66"/>
  <c r="Y234" i="66"/>
  <c r="G80" i="66"/>
  <c r="I7" i="66"/>
  <c r="E80" i="66"/>
  <c r="AD234" i="66"/>
  <c r="L7" i="66"/>
  <c r="B229" i="66"/>
  <c r="H80" i="66"/>
  <c r="C229" i="66"/>
  <c r="Z234" i="66"/>
  <c r="F7" i="66"/>
  <c r="F80" i="66"/>
  <c r="AI77" i="66"/>
  <c r="AH77" i="66"/>
  <c r="D7" i="66"/>
  <c r="V234" i="66"/>
  <c r="C7" i="66"/>
  <c r="C80" i="66"/>
  <c r="AI88" i="66"/>
  <c r="AH88" i="66"/>
  <c r="AH80" i="66"/>
  <c r="AI79" i="66"/>
  <c r="AH79" i="66"/>
  <c r="B7" i="66"/>
  <c r="T234" i="66"/>
  <c r="AI87" i="66"/>
  <c r="AH87" i="66"/>
  <c r="E255" i="66"/>
  <c r="G219" i="66"/>
  <c r="F98" i="66"/>
  <c r="G214" i="66"/>
  <c r="F220" i="66"/>
  <c r="K6" i="68" l="1"/>
  <c r="B80" i="68"/>
  <c r="AH80" i="68" s="1"/>
  <c r="AI79" i="68"/>
  <c r="AH79" i="68"/>
  <c r="B7" i="68"/>
  <c r="A7" i="68" s="1"/>
  <c r="T234" i="68"/>
  <c r="F255" i="68"/>
  <c r="H219" i="68"/>
  <c r="H220" i="68" s="1"/>
  <c r="G220" i="68"/>
  <c r="I214" i="68"/>
  <c r="G98" i="68"/>
  <c r="A7" i="66"/>
  <c r="K6" i="66"/>
  <c r="G98" i="66"/>
  <c r="H214" i="66"/>
  <c r="G220" i="66"/>
  <c r="F255" i="66"/>
  <c r="H219" i="66"/>
  <c r="G255" i="68" l="1"/>
  <c r="I219" i="68"/>
  <c r="I220" i="68"/>
  <c r="J214" i="68"/>
  <c r="G255" i="66"/>
  <c r="I219" i="66"/>
  <c r="I214" i="66"/>
  <c r="H220" i="66"/>
  <c r="H98" i="66"/>
  <c r="K214" i="68" l="1"/>
  <c r="H255" i="68"/>
  <c r="J219" i="68"/>
  <c r="I98" i="66"/>
  <c r="I220" i="66"/>
  <c r="J214" i="66"/>
  <c r="H255" i="66"/>
  <c r="J219" i="66"/>
  <c r="K219" i="68" l="1"/>
  <c r="I255" i="68"/>
  <c r="J220" i="68"/>
  <c r="K220" i="68"/>
  <c r="K98" i="68"/>
  <c r="L214" i="68"/>
  <c r="K219" i="66"/>
  <c r="I255" i="66"/>
  <c r="J220" i="66"/>
  <c r="K214" i="66"/>
  <c r="J98" i="66"/>
  <c r="M214" i="68" l="1"/>
  <c r="J255" i="68"/>
  <c r="L219" i="68"/>
  <c r="K220" i="66"/>
  <c r="K98" i="66"/>
  <c r="L214" i="66"/>
  <c r="J255" i="66"/>
  <c r="L219" i="66"/>
  <c r="K255" i="68" l="1"/>
  <c r="M219" i="68"/>
  <c r="L98" i="68"/>
  <c r="M98" i="68"/>
  <c r="N214" i="68"/>
  <c r="M220" i="68"/>
  <c r="L220" i="68"/>
  <c r="M219" i="66"/>
  <c r="K255" i="66"/>
  <c r="L220" i="66"/>
  <c r="L98" i="66"/>
  <c r="M214" i="66"/>
  <c r="O214" i="68" l="1"/>
  <c r="L255" i="68"/>
  <c r="N219" i="68"/>
  <c r="N220" i="68" s="1"/>
  <c r="M98" i="66"/>
  <c r="N214" i="66"/>
  <c r="M220" i="66"/>
  <c r="L255" i="66"/>
  <c r="N219" i="66"/>
  <c r="P214" i="68" l="1"/>
  <c r="O219" i="68"/>
  <c r="M255" i="68"/>
  <c r="N98" i="68"/>
  <c r="M255" i="66"/>
  <c r="O219" i="66"/>
  <c r="N98" i="66"/>
  <c r="N220" i="66"/>
  <c r="O214" i="66"/>
  <c r="P219" i="68" l="1"/>
  <c r="O255" i="68" s="1"/>
  <c r="N255" i="68"/>
  <c r="O220" i="68"/>
  <c r="P220" i="68"/>
  <c r="P98" i="68"/>
  <c r="O98" i="68"/>
  <c r="O98" i="66"/>
  <c r="P214" i="66"/>
  <c r="O220" i="66"/>
  <c r="N255" i="66"/>
  <c r="P219" i="66"/>
  <c r="O255" i="66" s="1"/>
  <c r="AI98" i="68" l="1"/>
  <c r="AH98" i="68"/>
  <c r="P220" i="66"/>
  <c r="P98" i="66"/>
  <c r="AH98" i="66" l="1"/>
  <c r="AI98" i="66"/>
  <c r="T100" i="65" l="1"/>
  <c r="S100" i="65"/>
  <c r="R37" i="65"/>
  <c r="O60" i="65"/>
  <c r="O37" i="65"/>
  <c r="M37" i="65"/>
  <c r="AF259" i="65"/>
  <c r="AE259" i="65"/>
  <c r="AD259" i="65"/>
  <c r="AC259" i="65"/>
  <c r="AB259" i="65"/>
  <c r="AA259" i="65"/>
  <c r="Z259" i="65"/>
  <c r="Y259" i="65"/>
  <c r="X259" i="65"/>
  <c r="W259" i="65"/>
  <c r="V259" i="65"/>
  <c r="U259" i="65"/>
  <c r="T259" i="65"/>
  <c r="S259" i="65"/>
  <c r="R259" i="65"/>
  <c r="Q259" i="65"/>
  <c r="P259" i="65"/>
  <c r="O259" i="65"/>
  <c r="N259" i="65"/>
  <c r="M259" i="65"/>
  <c r="L259" i="65"/>
  <c r="K259" i="65"/>
  <c r="J259" i="65"/>
  <c r="I259" i="65"/>
  <c r="H259" i="65"/>
  <c r="G259" i="65"/>
  <c r="F259" i="65"/>
  <c r="E259" i="65"/>
  <c r="D259" i="65"/>
  <c r="C259" i="65"/>
  <c r="B259" i="65"/>
  <c r="A259" i="65"/>
  <c r="AF258" i="65"/>
  <c r="AE258" i="65"/>
  <c r="AD258" i="65"/>
  <c r="AC258" i="65"/>
  <c r="AB258" i="65"/>
  <c r="AA258" i="65"/>
  <c r="Z258" i="65"/>
  <c r="Y258" i="65"/>
  <c r="X258" i="65"/>
  <c r="W258" i="65"/>
  <c r="V258" i="65"/>
  <c r="U258" i="65"/>
  <c r="T258" i="65"/>
  <c r="S258" i="65"/>
  <c r="R258" i="65"/>
  <c r="Q258" i="65"/>
  <c r="P258" i="65"/>
  <c r="O258" i="65"/>
  <c r="N258" i="65"/>
  <c r="M258" i="65"/>
  <c r="L258" i="65"/>
  <c r="K258" i="65"/>
  <c r="J258" i="65"/>
  <c r="I258" i="65"/>
  <c r="H258" i="65"/>
  <c r="G258" i="65"/>
  <c r="F258" i="65"/>
  <c r="E258" i="65"/>
  <c r="D258" i="65"/>
  <c r="C258" i="65"/>
  <c r="B258" i="65"/>
  <c r="A258" i="65"/>
  <c r="AF257" i="65"/>
  <c r="AE257" i="65"/>
  <c r="AD257" i="65"/>
  <c r="AC257" i="65"/>
  <c r="AB257" i="65"/>
  <c r="AA257" i="65"/>
  <c r="Z257" i="65"/>
  <c r="Y257" i="65"/>
  <c r="X257" i="65"/>
  <c r="W257" i="65"/>
  <c r="V257" i="65"/>
  <c r="U257" i="65"/>
  <c r="T257" i="65"/>
  <c r="S257" i="65"/>
  <c r="R257" i="65"/>
  <c r="Q257" i="65"/>
  <c r="P257" i="65"/>
  <c r="O257" i="65"/>
  <c r="N257" i="65"/>
  <c r="M257" i="65"/>
  <c r="L257" i="65"/>
  <c r="K257" i="65"/>
  <c r="J257" i="65"/>
  <c r="I257" i="65"/>
  <c r="H257" i="65"/>
  <c r="G257" i="65"/>
  <c r="F257" i="65"/>
  <c r="E257" i="65"/>
  <c r="D257" i="65"/>
  <c r="C257" i="65"/>
  <c r="B257" i="65"/>
  <c r="A257" i="65"/>
  <c r="AF256" i="65"/>
  <c r="AE256" i="65"/>
  <c r="AD256" i="65"/>
  <c r="AC256" i="65"/>
  <c r="AB256" i="65"/>
  <c r="AA256" i="65"/>
  <c r="Z256" i="65"/>
  <c r="Y256" i="65"/>
  <c r="X256" i="65"/>
  <c r="W256" i="65"/>
  <c r="V256" i="65"/>
  <c r="U256" i="65"/>
  <c r="T256" i="65"/>
  <c r="S256" i="65"/>
  <c r="R256" i="65"/>
  <c r="Q256" i="65"/>
  <c r="P256" i="65"/>
  <c r="O256" i="65"/>
  <c r="N256" i="65"/>
  <c r="M256" i="65"/>
  <c r="L256" i="65"/>
  <c r="K256" i="65"/>
  <c r="J256" i="65"/>
  <c r="I256" i="65"/>
  <c r="H256" i="65"/>
  <c r="G256" i="65"/>
  <c r="F256" i="65"/>
  <c r="E256" i="65"/>
  <c r="D256" i="65"/>
  <c r="C256" i="65"/>
  <c r="B256" i="65"/>
  <c r="A256" i="65"/>
  <c r="AE255" i="65"/>
  <c r="AD255" i="65"/>
  <c r="AC255" i="65"/>
  <c r="AB255" i="65"/>
  <c r="AA255" i="65"/>
  <c r="Z255" i="65"/>
  <c r="Y255" i="65"/>
  <c r="X255" i="65"/>
  <c r="W255" i="65"/>
  <c r="V255" i="65"/>
  <c r="U255" i="65"/>
  <c r="T255" i="65"/>
  <c r="S255" i="65"/>
  <c r="R255" i="65"/>
  <c r="Q255" i="65"/>
  <c r="P255" i="65"/>
  <c r="B255" i="65"/>
  <c r="S230" i="65"/>
  <c r="AG220" i="65"/>
  <c r="AF220" i="65"/>
  <c r="AE220" i="65"/>
  <c r="AD220" i="65"/>
  <c r="AC220" i="65"/>
  <c r="AB220" i="65"/>
  <c r="AA220" i="65"/>
  <c r="Z220" i="65"/>
  <c r="Y220" i="65"/>
  <c r="X220" i="65"/>
  <c r="W220" i="65"/>
  <c r="V220" i="65"/>
  <c r="U220" i="65"/>
  <c r="T220" i="65"/>
  <c r="S220" i="65"/>
  <c r="R220" i="65"/>
  <c r="Q220" i="65"/>
  <c r="C220" i="65"/>
  <c r="D219" i="65"/>
  <c r="C255" i="65" s="1"/>
  <c r="B219" i="65"/>
  <c r="AF255" i="65" s="1"/>
  <c r="F218" i="65"/>
  <c r="G218" i="65" s="1"/>
  <c r="H218" i="65" s="1"/>
  <c r="I218" i="65" s="1"/>
  <c r="J218" i="65" s="1"/>
  <c r="K218" i="65" s="1"/>
  <c r="L218" i="65" s="1"/>
  <c r="M218" i="65" s="1"/>
  <c r="N218" i="65" s="1"/>
  <c r="O218" i="65" s="1"/>
  <c r="P218" i="65" s="1"/>
  <c r="E218" i="65"/>
  <c r="D218" i="65"/>
  <c r="B218" i="65"/>
  <c r="D217" i="65"/>
  <c r="E217" i="65" s="1"/>
  <c r="F217" i="65" s="1"/>
  <c r="G217" i="65" s="1"/>
  <c r="H217" i="65" s="1"/>
  <c r="I217" i="65" s="1"/>
  <c r="J217" i="65" s="1"/>
  <c r="K217" i="65" s="1"/>
  <c r="L217" i="65" s="1"/>
  <c r="M217" i="65" s="1"/>
  <c r="N217" i="65" s="1"/>
  <c r="O217" i="65" s="1"/>
  <c r="P217" i="65" s="1"/>
  <c r="B217" i="65"/>
  <c r="E216" i="65"/>
  <c r="F216" i="65" s="1"/>
  <c r="G216" i="65" s="1"/>
  <c r="H216" i="65" s="1"/>
  <c r="I216" i="65" s="1"/>
  <c r="J216" i="65" s="1"/>
  <c r="K216" i="65" s="1"/>
  <c r="L216" i="65" s="1"/>
  <c r="M216" i="65" s="1"/>
  <c r="N216" i="65" s="1"/>
  <c r="O216" i="65" s="1"/>
  <c r="P216" i="65" s="1"/>
  <c r="D216" i="65"/>
  <c r="B216" i="65"/>
  <c r="D215" i="65"/>
  <c r="E215" i="65" s="1"/>
  <c r="F215" i="65" s="1"/>
  <c r="G215" i="65" s="1"/>
  <c r="H215" i="65" s="1"/>
  <c r="I215" i="65" s="1"/>
  <c r="J215" i="65" s="1"/>
  <c r="K215" i="65" s="1"/>
  <c r="L215" i="65" s="1"/>
  <c r="M215" i="65" s="1"/>
  <c r="N215" i="65" s="1"/>
  <c r="O215" i="65" s="1"/>
  <c r="P215" i="65" s="1"/>
  <c r="B215" i="65"/>
  <c r="F214" i="65"/>
  <c r="E214" i="65"/>
  <c r="D214" i="65"/>
  <c r="D220" i="65" s="1"/>
  <c r="B214" i="65"/>
  <c r="B220" i="65" s="1"/>
  <c r="AG212" i="65"/>
  <c r="AF212" i="65"/>
  <c r="AE212" i="65"/>
  <c r="AD212" i="65"/>
  <c r="AC212" i="65"/>
  <c r="AB212" i="65"/>
  <c r="AA212" i="65"/>
  <c r="Z212" i="65"/>
  <c r="Y212" i="65"/>
  <c r="X212" i="65"/>
  <c r="W212" i="65"/>
  <c r="V212" i="65"/>
  <c r="U212" i="65"/>
  <c r="T212" i="65"/>
  <c r="S212" i="65"/>
  <c r="R212" i="65"/>
  <c r="Q212" i="65"/>
  <c r="P212" i="65"/>
  <c r="O212" i="65"/>
  <c r="N212" i="65"/>
  <c r="M212" i="65"/>
  <c r="L212" i="65"/>
  <c r="K212" i="65"/>
  <c r="J212" i="65"/>
  <c r="I212" i="65"/>
  <c r="H212" i="65"/>
  <c r="G212" i="65"/>
  <c r="F212" i="65"/>
  <c r="E212" i="65"/>
  <c r="D212" i="65"/>
  <c r="C212" i="65"/>
  <c r="B212" i="65"/>
  <c r="AH105" i="65"/>
  <c r="AI105" i="65" s="1"/>
  <c r="AH104" i="65"/>
  <c r="AI104" i="65" s="1"/>
  <c r="AH103" i="65"/>
  <c r="AI103" i="65" s="1"/>
  <c r="AH102" i="65"/>
  <c r="AI102" i="65" s="1"/>
  <c r="AH101" i="65"/>
  <c r="AI101" i="65" s="1"/>
  <c r="AH100" i="65"/>
  <c r="AI100" i="65" s="1"/>
  <c r="AH99" i="65"/>
  <c r="AI99" i="65" s="1"/>
  <c r="AF98" i="65"/>
  <c r="AE98" i="65"/>
  <c r="AD98" i="65"/>
  <c r="AC98" i="65"/>
  <c r="AB98" i="65"/>
  <c r="AA98" i="65"/>
  <c r="Z98" i="65"/>
  <c r="Y98" i="65"/>
  <c r="X98" i="65"/>
  <c r="W98" i="65"/>
  <c r="V98" i="65"/>
  <c r="U98" i="65"/>
  <c r="T98" i="65"/>
  <c r="S98" i="65"/>
  <c r="R98" i="65"/>
  <c r="Q98" i="65"/>
  <c r="D98" i="65"/>
  <c r="C98" i="65"/>
  <c r="B98" i="65"/>
  <c r="AI97" i="65"/>
  <c r="AH97" i="65"/>
  <c r="AI96" i="65"/>
  <c r="AH96" i="65"/>
  <c r="AI95" i="65"/>
  <c r="AH95" i="65"/>
  <c r="AI94" i="65"/>
  <c r="AH94" i="65"/>
  <c r="AI93" i="65"/>
  <c r="AH93" i="65"/>
  <c r="AI92" i="65"/>
  <c r="AH92" i="65"/>
  <c r="AI91" i="65"/>
  <c r="AH91" i="65"/>
  <c r="AI90" i="65"/>
  <c r="AH90" i="65"/>
  <c r="AI89" i="65"/>
  <c r="AH89" i="65"/>
  <c r="AI86" i="65"/>
  <c r="AH86" i="65"/>
  <c r="AF85" i="65"/>
  <c r="AE85" i="65"/>
  <c r="AD85" i="65"/>
  <c r="AC85" i="65"/>
  <c r="AB85" i="65"/>
  <c r="AA85" i="65"/>
  <c r="Z85" i="65"/>
  <c r="Y85" i="65"/>
  <c r="X85" i="65"/>
  <c r="W85" i="65"/>
  <c r="V85" i="65"/>
  <c r="U85" i="65"/>
  <c r="T85" i="65"/>
  <c r="S85" i="65"/>
  <c r="R85" i="65"/>
  <c r="Q85" i="65"/>
  <c r="P85" i="65"/>
  <c r="P87" i="65" s="1"/>
  <c r="O85" i="65"/>
  <c r="N85" i="65"/>
  <c r="M85" i="65"/>
  <c r="L85" i="65"/>
  <c r="K85" i="65"/>
  <c r="J85" i="65"/>
  <c r="I85" i="65"/>
  <c r="H85" i="65"/>
  <c r="H87" i="65" s="1"/>
  <c r="G85" i="65"/>
  <c r="F85" i="65"/>
  <c r="E85" i="65"/>
  <c r="D85" i="65"/>
  <c r="C85" i="65"/>
  <c r="B85" i="65"/>
  <c r="AF84" i="65"/>
  <c r="AE84" i="65"/>
  <c r="AD84" i="65"/>
  <c r="AC84" i="65"/>
  <c r="AB84" i="65"/>
  <c r="AA84" i="65"/>
  <c r="Z84" i="65"/>
  <c r="Y84" i="65"/>
  <c r="X84" i="65"/>
  <c r="W84" i="65"/>
  <c r="V84" i="65"/>
  <c r="U84" i="65"/>
  <c r="T84" i="65"/>
  <c r="S84" i="65"/>
  <c r="R84" i="65"/>
  <c r="Q84" i="65"/>
  <c r="P84" i="65"/>
  <c r="O84" i="65"/>
  <c r="N84" i="65"/>
  <c r="M84" i="65"/>
  <c r="L84" i="65"/>
  <c r="K84" i="65"/>
  <c r="J84" i="65"/>
  <c r="I84" i="65"/>
  <c r="H84" i="65"/>
  <c r="G84" i="65"/>
  <c r="F84" i="65"/>
  <c r="E84" i="65"/>
  <c r="D84" i="65"/>
  <c r="C84" i="65"/>
  <c r="B84" i="65"/>
  <c r="AF83" i="65"/>
  <c r="AE83" i="65"/>
  <c r="AD83" i="65"/>
  <c r="AC83" i="65"/>
  <c r="AB83" i="65"/>
  <c r="AA83" i="65"/>
  <c r="Z83" i="65"/>
  <c r="Y83" i="65"/>
  <c r="X83" i="65"/>
  <c r="W83" i="65"/>
  <c r="V83" i="65"/>
  <c r="U83" i="65"/>
  <c r="T83" i="65"/>
  <c r="S83" i="65"/>
  <c r="R83" i="65"/>
  <c r="Q83" i="65"/>
  <c r="P83" i="65"/>
  <c r="O83" i="65"/>
  <c r="N83" i="65"/>
  <c r="M83" i="65"/>
  <c r="L83" i="65"/>
  <c r="K83" i="65"/>
  <c r="J83" i="65"/>
  <c r="I83" i="65"/>
  <c r="H83" i="65"/>
  <c r="G83" i="65"/>
  <c r="F83" i="65"/>
  <c r="E83" i="65"/>
  <c r="D83" i="65"/>
  <c r="C83" i="65"/>
  <c r="B83" i="65"/>
  <c r="AF82" i="65"/>
  <c r="AE82" i="65"/>
  <c r="AD82" i="65"/>
  <c r="AC82" i="65"/>
  <c r="AB82" i="65"/>
  <c r="AA82" i="65"/>
  <c r="Z82" i="65"/>
  <c r="Y82" i="65"/>
  <c r="X82" i="65"/>
  <c r="W82" i="65"/>
  <c r="V82" i="65"/>
  <c r="U82" i="65"/>
  <c r="T82" i="65"/>
  <c r="S82" i="65"/>
  <c r="R82" i="65"/>
  <c r="Q82" i="65"/>
  <c r="P82" i="65"/>
  <c r="O82" i="65"/>
  <c r="N82" i="65"/>
  <c r="M82" i="65"/>
  <c r="L82" i="65"/>
  <c r="K82" i="65"/>
  <c r="J82" i="65"/>
  <c r="I82" i="65"/>
  <c r="H82" i="65"/>
  <c r="G82" i="65"/>
  <c r="F82" i="65"/>
  <c r="E82" i="65"/>
  <c r="D82" i="65"/>
  <c r="C82" i="65"/>
  <c r="B82" i="65"/>
  <c r="AF81" i="65"/>
  <c r="AE81" i="65"/>
  <c r="AD81" i="65"/>
  <c r="AC81" i="65"/>
  <c r="AB81" i="65"/>
  <c r="AB87" i="65" s="1"/>
  <c r="AA81" i="65"/>
  <c r="AA87" i="65" s="1"/>
  <c r="Z81" i="65"/>
  <c r="Y81" i="65"/>
  <c r="X81" i="65"/>
  <c r="W81" i="65"/>
  <c r="V81" i="65"/>
  <c r="V87" i="65" s="1"/>
  <c r="U81" i="65"/>
  <c r="T81" i="65"/>
  <c r="T87" i="65" s="1"/>
  <c r="S81" i="65"/>
  <c r="R81" i="65"/>
  <c r="Q81" i="65"/>
  <c r="P81" i="65"/>
  <c r="O81" i="65"/>
  <c r="N81" i="65"/>
  <c r="M81" i="65"/>
  <c r="M87" i="65" s="1"/>
  <c r="L81" i="65"/>
  <c r="K81" i="65"/>
  <c r="K87" i="65" s="1"/>
  <c r="J81" i="65"/>
  <c r="I81" i="65"/>
  <c r="I87" i="65" s="1"/>
  <c r="H81" i="65"/>
  <c r="G81" i="65"/>
  <c r="F81" i="65"/>
  <c r="E81" i="65"/>
  <c r="D81" i="65"/>
  <c r="C81" i="65"/>
  <c r="C87" i="65" s="1"/>
  <c r="B81" i="65"/>
  <c r="AI78" i="65"/>
  <c r="AH78" i="65"/>
  <c r="AI76" i="65"/>
  <c r="AH76" i="65"/>
  <c r="AG76" i="65"/>
  <c r="AI75" i="65"/>
  <c r="AH75" i="65"/>
  <c r="AI74" i="65"/>
  <c r="AH74" i="65"/>
  <c r="AI73" i="65"/>
  <c r="AH73" i="65"/>
  <c r="AG72" i="65"/>
  <c r="AF72" i="65"/>
  <c r="AE5" i="65" s="1"/>
  <c r="AE72" i="65"/>
  <c r="AD5" i="65" s="1"/>
  <c r="AD72" i="65"/>
  <c r="AC5" i="65" s="1"/>
  <c r="AC72" i="65"/>
  <c r="AB72" i="65"/>
  <c r="AA72" i="65"/>
  <c r="Z72" i="65"/>
  <c r="Y5" i="65" s="1"/>
  <c r="Y72" i="65"/>
  <c r="X72" i="65"/>
  <c r="W5" i="65" s="1"/>
  <c r="W72" i="65"/>
  <c r="V5" i="65" s="1"/>
  <c r="V72" i="65"/>
  <c r="U72" i="65"/>
  <c r="T72" i="65"/>
  <c r="S72" i="65"/>
  <c r="R72" i="65"/>
  <c r="Q72" i="65"/>
  <c r="P72" i="65"/>
  <c r="O72" i="65"/>
  <c r="N72" i="65"/>
  <c r="M5" i="65" s="1"/>
  <c r="M72" i="65"/>
  <c r="L72" i="65"/>
  <c r="K72" i="65"/>
  <c r="J72" i="65"/>
  <c r="I72" i="65"/>
  <c r="H72" i="65"/>
  <c r="G5" i="65" s="1"/>
  <c r="G72" i="65"/>
  <c r="F5" i="65" s="1"/>
  <c r="F72" i="65"/>
  <c r="E72" i="65"/>
  <c r="D72" i="65"/>
  <c r="C72" i="65"/>
  <c r="B5" i="65" s="1"/>
  <c r="B72" i="65"/>
  <c r="AF5" i="65" s="1"/>
  <c r="AI71" i="65"/>
  <c r="AH71" i="65"/>
  <c r="AI70" i="65"/>
  <c r="AH70" i="65"/>
  <c r="AI69" i="65"/>
  <c r="AH69" i="65"/>
  <c r="AI68" i="65"/>
  <c r="AH68" i="65"/>
  <c r="AI67" i="65"/>
  <c r="AH67" i="65"/>
  <c r="AI66" i="65"/>
  <c r="AH66" i="65"/>
  <c r="AI65" i="65"/>
  <c r="AH65" i="65"/>
  <c r="AI64" i="65"/>
  <c r="AH64" i="65"/>
  <c r="AI63" i="65"/>
  <c r="AH63" i="65"/>
  <c r="AI62" i="65"/>
  <c r="AH62" i="65"/>
  <c r="AI61" i="65"/>
  <c r="AH61" i="65"/>
  <c r="AG60" i="65"/>
  <c r="AF60" i="65"/>
  <c r="AE60" i="65"/>
  <c r="AD60" i="65"/>
  <c r="AC60" i="65"/>
  <c r="AB60" i="65"/>
  <c r="AA60" i="65"/>
  <c r="Z60" i="65"/>
  <c r="Y60" i="65"/>
  <c r="X60" i="65"/>
  <c r="W60" i="65"/>
  <c r="V60" i="65"/>
  <c r="U60" i="65"/>
  <c r="T60" i="65"/>
  <c r="S60" i="65"/>
  <c r="R60" i="65"/>
  <c r="Q60" i="65"/>
  <c r="P60" i="65"/>
  <c r="N60" i="65"/>
  <c r="M60" i="65"/>
  <c r="L60" i="65"/>
  <c r="K60" i="65"/>
  <c r="J60" i="65"/>
  <c r="I60" i="65"/>
  <c r="H60" i="65"/>
  <c r="G60" i="65"/>
  <c r="F60" i="65"/>
  <c r="E60" i="65"/>
  <c r="D60" i="65"/>
  <c r="C60" i="65"/>
  <c r="B60" i="65"/>
  <c r="AI59" i="65"/>
  <c r="AH59" i="65"/>
  <c r="AI58" i="65"/>
  <c r="AH58" i="65"/>
  <c r="AI57" i="65"/>
  <c r="AH57" i="65"/>
  <c r="AF56" i="65"/>
  <c r="AE56" i="65"/>
  <c r="AD56" i="65"/>
  <c r="AC56" i="65"/>
  <c r="AB56" i="65"/>
  <c r="AA56" i="65"/>
  <c r="Z56" i="65"/>
  <c r="Y56" i="65"/>
  <c r="X56" i="65"/>
  <c r="W56" i="65"/>
  <c r="V56" i="65"/>
  <c r="U56" i="65"/>
  <c r="T56" i="65"/>
  <c r="S56" i="65"/>
  <c r="R56" i="65"/>
  <c r="Q56" i="65"/>
  <c r="P56" i="65"/>
  <c r="O56" i="65"/>
  <c r="N56" i="65"/>
  <c r="M56" i="65"/>
  <c r="L56" i="65"/>
  <c r="K56" i="65"/>
  <c r="J56" i="65"/>
  <c r="I56" i="65"/>
  <c r="H56" i="65"/>
  <c r="G56" i="65"/>
  <c r="F56" i="65"/>
  <c r="E56" i="65"/>
  <c r="D56" i="65"/>
  <c r="C56" i="65"/>
  <c r="B56" i="65"/>
  <c r="AI55" i="65"/>
  <c r="AH55" i="65"/>
  <c r="AG55" i="65"/>
  <c r="AG56" i="65" s="1"/>
  <c r="AG3" i="65" s="1"/>
  <c r="AI54" i="65"/>
  <c r="AH54" i="65"/>
  <c r="AI53" i="65"/>
  <c r="AH53" i="65"/>
  <c r="AI52" i="65"/>
  <c r="AH52" i="65"/>
  <c r="AI51" i="65"/>
  <c r="AH51" i="65"/>
  <c r="AI50" i="65"/>
  <c r="AH50" i="65"/>
  <c r="AI49" i="65"/>
  <c r="AH49" i="65"/>
  <c r="AI48" i="65"/>
  <c r="AH48" i="65"/>
  <c r="AI47" i="65"/>
  <c r="AH47" i="65"/>
  <c r="AI46" i="65"/>
  <c r="AH46" i="65"/>
  <c r="AI45" i="65"/>
  <c r="AH45" i="65"/>
  <c r="AI44" i="65"/>
  <c r="AH44" i="65"/>
  <c r="AI43" i="65"/>
  <c r="AH43" i="65"/>
  <c r="AG42" i="65"/>
  <c r="AF42" i="65"/>
  <c r="AE42" i="65"/>
  <c r="AD42" i="65"/>
  <c r="AC42" i="65"/>
  <c r="AB42" i="65"/>
  <c r="AA42" i="65"/>
  <c r="Z42" i="65"/>
  <c r="Y42" i="65"/>
  <c r="X42" i="65"/>
  <c r="W42" i="65"/>
  <c r="V42" i="65"/>
  <c r="U42" i="65"/>
  <c r="T42" i="65"/>
  <c r="S42" i="65"/>
  <c r="R42" i="65"/>
  <c r="Q42" i="65"/>
  <c r="P42" i="65"/>
  <c r="O42" i="65"/>
  <c r="N42" i="65"/>
  <c r="M42" i="65"/>
  <c r="L42" i="65"/>
  <c r="K42" i="65"/>
  <c r="J42" i="65"/>
  <c r="I42" i="65"/>
  <c r="H42" i="65"/>
  <c r="G42" i="65"/>
  <c r="F42" i="65"/>
  <c r="E42" i="65"/>
  <c r="D42" i="65"/>
  <c r="C42" i="65"/>
  <c r="B42" i="65"/>
  <c r="AI41" i="65"/>
  <c r="AH41" i="65"/>
  <c r="AI40" i="65"/>
  <c r="AH40" i="65"/>
  <c r="AI39" i="65"/>
  <c r="AH39" i="65"/>
  <c r="AG38" i="65"/>
  <c r="AF38" i="65"/>
  <c r="AE38" i="65"/>
  <c r="AD38" i="65"/>
  <c r="AC38" i="65"/>
  <c r="AB38" i="65"/>
  <c r="AA38" i="65"/>
  <c r="Z38" i="65"/>
  <c r="Y38" i="65"/>
  <c r="X38" i="65"/>
  <c r="W38" i="65"/>
  <c r="V38" i="65"/>
  <c r="U38" i="65"/>
  <c r="T38" i="65"/>
  <c r="S38" i="65"/>
  <c r="R38" i="65"/>
  <c r="Q38" i="65"/>
  <c r="P38" i="65"/>
  <c r="O38" i="65"/>
  <c r="N38" i="65"/>
  <c r="M38" i="65"/>
  <c r="L38" i="65"/>
  <c r="K38" i="65"/>
  <c r="J38" i="65"/>
  <c r="I38" i="65"/>
  <c r="H38" i="65"/>
  <c r="G38" i="65"/>
  <c r="F38" i="65"/>
  <c r="E38" i="65"/>
  <c r="D38" i="65"/>
  <c r="C38" i="65"/>
  <c r="B38" i="65"/>
  <c r="AI37" i="65"/>
  <c r="AH37" i="65"/>
  <c r="AI36" i="65"/>
  <c r="AH36" i="65"/>
  <c r="AI35" i="65"/>
  <c r="AH35" i="65"/>
  <c r="AI34" i="65"/>
  <c r="AH34" i="65"/>
  <c r="AI33" i="65"/>
  <c r="AH33" i="65"/>
  <c r="AI32" i="65"/>
  <c r="AH32" i="65"/>
  <c r="AI31" i="65"/>
  <c r="AH31" i="65"/>
  <c r="AI30" i="65"/>
  <c r="AH30" i="65"/>
  <c r="AI29" i="65"/>
  <c r="AH29" i="65"/>
  <c r="AI28" i="65"/>
  <c r="AH28" i="65"/>
  <c r="AI27" i="65"/>
  <c r="AH27" i="65"/>
  <c r="AI26" i="65"/>
  <c r="AH26" i="65"/>
  <c r="AI25" i="65"/>
  <c r="AH25" i="65"/>
  <c r="AI24" i="65"/>
  <c r="AH24" i="65"/>
  <c r="AI23" i="65"/>
  <c r="AH23" i="65"/>
  <c r="AI22" i="65"/>
  <c r="AH22" i="65"/>
  <c r="AI21" i="65"/>
  <c r="AH21" i="65"/>
  <c r="AI20" i="65"/>
  <c r="AH20" i="65"/>
  <c r="AI19" i="65"/>
  <c r="AH19" i="65"/>
  <c r="AI18" i="65"/>
  <c r="AH18" i="65"/>
  <c r="AI17" i="65"/>
  <c r="AH17" i="65"/>
  <c r="AI16" i="65"/>
  <c r="AH16" i="65"/>
  <c r="AI15" i="65"/>
  <c r="AH15" i="65"/>
  <c r="AI14" i="65"/>
  <c r="AH14" i="65"/>
  <c r="AI13" i="65"/>
  <c r="AH13" i="65"/>
  <c r="AI12" i="65"/>
  <c r="AH12" i="65"/>
  <c r="AI11" i="65"/>
  <c r="AH11" i="65"/>
  <c r="AB5" i="65"/>
  <c r="AA5" i="65"/>
  <c r="Z5" i="65"/>
  <c r="X5" i="65"/>
  <c r="U5" i="65"/>
  <c r="T5" i="65"/>
  <c r="S5" i="65"/>
  <c r="R5" i="65"/>
  <c r="Q5" i="65"/>
  <c r="P5" i="65"/>
  <c r="O5" i="65"/>
  <c r="N5" i="65"/>
  <c r="L5" i="65"/>
  <c r="E5" i="65"/>
  <c r="AG4" i="65"/>
  <c r="K4" i="65"/>
  <c r="B4" i="65"/>
  <c r="S231" i="65" s="1"/>
  <c r="AG2" i="65"/>
  <c r="AG6" i="65" s="1"/>
  <c r="AB37" i="64"/>
  <c r="AA100" i="64"/>
  <c r="Z100" i="64"/>
  <c r="Y100" i="64"/>
  <c r="X100" i="64"/>
  <c r="W100" i="64"/>
  <c r="V100" i="64"/>
  <c r="U100" i="64"/>
  <c r="T100" i="64"/>
  <c r="M37" i="64"/>
  <c r="L100" i="64"/>
  <c r="L37" i="64"/>
  <c r="AF42" i="63"/>
  <c r="AF56" i="63"/>
  <c r="AF60" i="63"/>
  <c r="AF259" i="64"/>
  <c r="AE259" i="64"/>
  <c r="AD259" i="64"/>
  <c r="AC259" i="64"/>
  <c r="AB259" i="64"/>
  <c r="AA259" i="64"/>
  <c r="Z259" i="64"/>
  <c r="Y259" i="64"/>
  <c r="X259" i="64"/>
  <c r="W259" i="64"/>
  <c r="V259" i="64"/>
  <c r="U259" i="64"/>
  <c r="T259" i="64"/>
  <c r="S259" i="64"/>
  <c r="R259" i="64"/>
  <c r="Q259" i="64"/>
  <c r="P259" i="64"/>
  <c r="O259" i="64"/>
  <c r="N259" i="64"/>
  <c r="M259" i="64"/>
  <c r="L259" i="64"/>
  <c r="K259" i="64"/>
  <c r="J259" i="64"/>
  <c r="I259" i="64"/>
  <c r="H259" i="64"/>
  <c r="G259" i="64"/>
  <c r="F259" i="64"/>
  <c r="E259" i="64"/>
  <c r="D259" i="64"/>
  <c r="C259" i="64"/>
  <c r="B259" i="64"/>
  <c r="A259" i="64"/>
  <c r="AF258" i="64"/>
  <c r="AE258" i="64"/>
  <c r="AD258" i="64"/>
  <c r="AC258" i="64"/>
  <c r="AB258" i="64"/>
  <c r="AA258" i="64"/>
  <c r="Z258" i="64"/>
  <c r="Y258" i="64"/>
  <c r="X258" i="64"/>
  <c r="W258" i="64"/>
  <c r="V258" i="64"/>
  <c r="U258" i="64"/>
  <c r="T258" i="64"/>
  <c r="S258" i="64"/>
  <c r="R258" i="64"/>
  <c r="Q258" i="64"/>
  <c r="P258" i="64"/>
  <c r="O258" i="64"/>
  <c r="N258" i="64"/>
  <c r="M258" i="64"/>
  <c r="L258" i="64"/>
  <c r="K258" i="64"/>
  <c r="J258" i="64"/>
  <c r="I258" i="64"/>
  <c r="H258" i="64"/>
  <c r="G258" i="64"/>
  <c r="F258" i="64"/>
  <c r="E258" i="64"/>
  <c r="D258" i="64"/>
  <c r="C258" i="64"/>
  <c r="B258" i="64"/>
  <c r="A258" i="64"/>
  <c r="AF257" i="64"/>
  <c r="AE257" i="64"/>
  <c r="AD257" i="64"/>
  <c r="AC257" i="64"/>
  <c r="AB257" i="64"/>
  <c r="AA257" i="64"/>
  <c r="Z257" i="64"/>
  <c r="Y257" i="64"/>
  <c r="X257" i="64"/>
  <c r="W257" i="64"/>
  <c r="V257" i="64"/>
  <c r="U257" i="64"/>
  <c r="T257" i="64"/>
  <c r="S257" i="64"/>
  <c r="R257" i="64"/>
  <c r="Q257" i="64"/>
  <c r="P257" i="64"/>
  <c r="O257" i="64"/>
  <c r="N257" i="64"/>
  <c r="M257" i="64"/>
  <c r="L257" i="64"/>
  <c r="K257" i="64"/>
  <c r="J257" i="64"/>
  <c r="I257" i="64"/>
  <c r="H257" i="64"/>
  <c r="G257" i="64"/>
  <c r="F257" i="64"/>
  <c r="E257" i="64"/>
  <c r="D257" i="64"/>
  <c r="C257" i="64"/>
  <c r="B257" i="64"/>
  <c r="A257" i="64"/>
  <c r="AF256" i="64"/>
  <c r="AE256" i="64"/>
  <c r="AD256" i="64"/>
  <c r="AC256" i="64"/>
  <c r="AB256" i="64"/>
  <c r="AA256" i="64"/>
  <c r="Z256" i="64"/>
  <c r="Y256" i="64"/>
  <c r="X256" i="64"/>
  <c r="W256" i="64"/>
  <c r="V256" i="64"/>
  <c r="U256" i="64"/>
  <c r="T256" i="64"/>
  <c r="S256" i="64"/>
  <c r="R256" i="64"/>
  <c r="Q256" i="64"/>
  <c r="P256" i="64"/>
  <c r="O256" i="64"/>
  <c r="N256" i="64"/>
  <c r="M256" i="64"/>
  <c r="L256" i="64"/>
  <c r="K256" i="64"/>
  <c r="J256" i="64"/>
  <c r="I256" i="64"/>
  <c r="H256" i="64"/>
  <c r="G256" i="64"/>
  <c r="F256" i="64"/>
  <c r="E256" i="64"/>
  <c r="D256" i="64"/>
  <c r="C256" i="64"/>
  <c r="B256" i="64"/>
  <c r="A256" i="64"/>
  <c r="AE255" i="64"/>
  <c r="AD255" i="64"/>
  <c r="AC255" i="64"/>
  <c r="AB255" i="64"/>
  <c r="AA255" i="64"/>
  <c r="Z255" i="64"/>
  <c r="Y255" i="64"/>
  <c r="X255" i="64"/>
  <c r="W255" i="64"/>
  <c r="V255" i="64"/>
  <c r="U255" i="64"/>
  <c r="T255" i="64"/>
  <c r="S255" i="64"/>
  <c r="R255" i="64"/>
  <c r="Q255" i="64"/>
  <c r="P255" i="64"/>
  <c r="E255" i="64"/>
  <c r="D255" i="64"/>
  <c r="C255" i="64"/>
  <c r="B255" i="64"/>
  <c r="S230" i="64"/>
  <c r="AG220" i="64"/>
  <c r="AG55" i="64" s="1"/>
  <c r="AG56" i="64" s="1"/>
  <c r="AF220" i="64"/>
  <c r="AE220" i="64"/>
  <c r="AD220" i="64"/>
  <c r="AC220" i="64"/>
  <c r="AB220" i="64"/>
  <c r="AA220" i="64"/>
  <c r="Z220" i="64"/>
  <c r="Y220" i="64"/>
  <c r="X220" i="64"/>
  <c r="W220" i="64"/>
  <c r="V220" i="64"/>
  <c r="U220" i="64"/>
  <c r="T220" i="64"/>
  <c r="S220" i="64"/>
  <c r="R220" i="64"/>
  <c r="Q220" i="64"/>
  <c r="C220" i="64"/>
  <c r="F219" i="64"/>
  <c r="G219" i="64" s="1"/>
  <c r="E219" i="64"/>
  <c r="D219" i="64"/>
  <c r="B219" i="64"/>
  <c r="AF255" i="64" s="1"/>
  <c r="D218" i="64"/>
  <c r="E218" i="64" s="1"/>
  <c r="F218" i="64" s="1"/>
  <c r="G218" i="64" s="1"/>
  <c r="H218" i="64" s="1"/>
  <c r="I218" i="64" s="1"/>
  <c r="J218" i="64" s="1"/>
  <c r="K218" i="64" s="1"/>
  <c r="L218" i="64" s="1"/>
  <c r="M218" i="64" s="1"/>
  <c r="N218" i="64" s="1"/>
  <c r="O218" i="64" s="1"/>
  <c r="P218" i="64" s="1"/>
  <c r="B218" i="64"/>
  <c r="D217" i="64"/>
  <c r="E217" i="64" s="1"/>
  <c r="F217" i="64" s="1"/>
  <c r="G217" i="64" s="1"/>
  <c r="H217" i="64" s="1"/>
  <c r="I217" i="64" s="1"/>
  <c r="J217" i="64" s="1"/>
  <c r="K217" i="64" s="1"/>
  <c r="L217" i="64" s="1"/>
  <c r="M217" i="64" s="1"/>
  <c r="N217" i="64" s="1"/>
  <c r="O217" i="64" s="1"/>
  <c r="P217" i="64" s="1"/>
  <c r="B217" i="64"/>
  <c r="H216" i="64"/>
  <c r="I216" i="64" s="1"/>
  <c r="J216" i="64" s="1"/>
  <c r="K216" i="64" s="1"/>
  <c r="L216" i="64" s="1"/>
  <c r="M216" i="64" s="1"/>
  <c r="N216" i="64" s="1"/>
  <c r="O216" i="64" s="1"/>
  <c r="P216" i="64" s="1"/>
  <c r="G216" i="64"/>
  <c r="F216" i="64"/>
  <c r="E216" i="64"/>
  <c r="D216" i="64"/>
  <c r="B216" i="64"/>
  <c r="F215" i="64"/>
  <c r="G215" i="64" s="1"/>
  <c r="H215" i="64" s="1"/>
  <c r="I215" i="64" s="1"/>
  <c r="J215" i="64" s="1"/>
  <c r="K215" i="64" s="1"/>
  <c r="L215" i="64" s="1"/>
  <c r="M215" i="64" s="1"/>
  <c r="N215" i="64" s="1"/>
  <c r="O215" i="64" s="1"/>
  <c r="P215" i="64" s="1"/>
  <c r="E215" i="64"/>
  <c r="D215" i="64"/>
  <c r="B215" i="64"/>
  <c r="D214" i="64"/>
  <c r="D220" i="64" s="1"/>
  <c r="B214" i="64"/>
  <c r="B220" i="64" s="1"/>
  <c r="AG212" i="64"/>
  <c r="AF212" i="64"/>
  <c r="AE212" i="64"/>
  <c r="AD212" i="64"/>
  <c r="AC212" i="64"/>
  <c r="AB212" i="64"/>
  <c r="AA212" i="64"/>
  <c r="Z212" i="64"/>
  <c r="Y212" i="64"/>
  <c r="X212" i="64"/>
  <c r="W212" i="64"/>
  <c r="V212" i="64"/>
  <c r="U212" i="64"/>
  <c r="T212" i="64"/>
  <c r="S212" i="64"/>
  <c r="R212" i="64"/>
  <c r="Q212" i="64"/>
  <c r="P212" i="64"/>
  <c r="O212" i="64"/>
  <c r="N212" i="64"/>
  <c r="M212" i="64"/>
  <c r="L212" i="64"/>
  <c r="K212" i="64"/>
  <c r="J212" i="64"/>
  <c r="I212" i="64"/>
  <c r="H212" i="64"/>
  <c r="G212" i="64"/>
  <c r="F212" i="64"/>
  <c r="E212" i="64"/>
  <c r="D212" i="64"/>
  <c r="C212" i="64"/>
  <c r="B212" i="64"/>
  <c r="AH105" i="64"/>
  <c r="AI105" i="64" s="1"/>
  <c r="AH104" i="64"/>
  <c r="AI104" i="64" s="1"/>
  <c r="AH103" i="64"/>
  <c r="AI103" i="64" s="1"/>
  <c r="AH102" i="64"/>
  <c r="AI102" i="64" s="1"/>
  <c r="AH101" i="64"/>
  <c r="AI101" i="64" s="1"/>
  <c r="AH100" i="64"/>
  <c r="AI100" i="64" s="1"/>
  <c r="AH99" i="64"/>
  <c r="AI99" i="64" s="1"/>
  <c r="AF98" i="64"/>
  <c r="AE98" i="64"/>
  <c r="AD98" i="64"/>
  <c r="AC98" i="64"/>
  <c r="AB98" i="64"/>
  <c r="AA98" i="64"/>
  <c r="Z98" i="64"/>
  <c r="Y98" i="64"/>
  <c r="X98" i="64"/>
  <c r="W98" i="64"/>
  <c r="V98" i="64"/>
  <c r="U98" i="64"/>
  <c r="T98" i="64"/>
  <c r="S98" i="64"/>
  <c r="R98" i="64"/>
  <c r="Q98" i="64"/>
  <c r="D98" i="64"/>
  <c r="C98" i="64"/>
  <c r="B98" i="64"/>
  <c r="AI97" i="64"/>
  <c r="AH97" i="64"/>
  <c r="AI96" i="64"/>
  <c r="AH96" i="64"/>
  <c r="AI95" i="64"/>
  <c r="AH95" i="64"/>
  <c r="AI94" i="64"/>
  <c r="AH94" i="64"/>
  <c r="AI93" i="64"/>
  <c r="AH93" i="64"/>
  <c r="AI92" i="64"/>
  <c r="AH92" i="64"/>
  <c r="AI91" i="64"/>
  <c r="AH91" i="64"/>
  <c r="AI90" i="64"/>
  <c r="AH90" i="64"/>
  <c r="AI89" i="64"/>
  <c r="AH89" i="64"/>
  <c r="AI86" i="64"/>
  <c r="AH86" i="64"/>
  <c r="AF85" i="64"/>
  <c r="AE85" i="64"/>
  <c r="AD85" i="64"/>
  <c r="AC85" i="64"/>
  <c r="AB85" i="64"/>
  <c r="AA85" i="64"/>
  <c r="Z85" i="64"/>
  <c r="Y85" i="64"/>
  <c r="X85" i="64"/>
  <c r="W85" i="64"/>
  <c r="V85" i="64"/>
  <c r="U85" i="64"/>
  <c r="T85" i="64"/>
  <c r="S85" i="64"/>
  <c r="R85" i="64"/>
  <c r="Q85" i="64"/>
  <c r="P85" i="64"/>
  <c r="O85" i="64"/>
  <c r="N85" i="64"/>
  <c r="M85" i="64"/>
  <c r="L85" i="64"/>
  <c r="K85" i="64"/>
  <c r="J85" i="64"/>
  <c r="I85" i="64"/>
  <c r="H85" i="64"/>
  <c r="H87" i="64" s="1"/>
  <c r="G85" i="64"/>
  <c r="F85" i="64"/>
  <c r="E85" i="64"/>
  <c r="D85" i="64"/>
  <c r="C85" i="64"/>
  <c r="B85" i="64"/>
  <c r="AF84" i="64"/>
  <c r="AE84" i="64"/>
  <c r="AD84" i="64"/>
  <c r="AC84" i="64"/>
  <c r="AB84" i="64"/>
  <c r="AA84" i="64"/>
  <c r="Z84" i="64"/>
  <c r="Y84" i="64"/>
  <c r="X84" i="64"/>
  <c r="W84" i="64"/>
  <c r="V84" i="64"/>
  <c r="U84" i="64"/>
  <c r="T84" i="64"/>
  <c r="S84" i="64"/>
  <c r="R84" i="64"/>
  <c r="Q84" i="64"/>
  <c r="P84" i="64"/>
  <c r="O84" i="64"/>
  <c r="N84" i="64"/>
  <c r="M84" i="64"/>
  <c r="L84" i="64"/>
  <c r="K84" i="64"/>
  <c r="J84" i="64"/>
  <c r="I84" i="64"/>
  <c r="H84" i="64"/>
  <c r="G84" i="64"/>
  <c r="F84" i="64"/>
  <c r="E84" i="64"/>
  <c r="D84" i="64"/>
  <c r="C84" i="64"/>
  <c r="B84" i="64"/>
  <c r="AF83" i="64"/>
  <c r="AE83" i="64"/>
  <c r="AD83" i="64"/>
  <c r="AC83" i="64"/>
  <c r="AB83" i="64"/>
  <c r="AA83" i="64"/>
  <c r="Z83" i="64"/>
  <c r="Y83" i="64"/>
  <c r="X83" i="64"/>
  <c r="W83" i="64"/>
  <c r="V83" i="64"/>
  <c r="U83" i="64"/>
  <c r="T83" i="64"/>
  <c r="S83" i="64"/>
  <c r="R83" i="64"/>
  <c r="Q83" i="64"/>
  <c r="P83" i="64"/>
  <c r="O83" i="64"/>
  <c r="N83" i="64"/>
  <c r="M83" i="64"/>
  <c r="L83" i="64"/>
  <c r="K83" i="64"/>
  <c r="J83" i="64"/>
  <c r="I83" i="64"/>
  <c r="H83" i="64"/>
  <c r="G83" i="64"/>
  <c r="F83" i="64"/>
  <c r="E83" i="64"/>
  <c r="D83" i="64"/>
  <c r="C83" i="64"/>
  <c r="B83" i="64"/>
  <c r="AF82" i="64"/>
  <c r="AE82" i="64"/>
  <c r="AD82" i="64"/>
  <c r="AC82" i="64"/>
  <c r="AB82" i="64"/>
  <c r="AA82" i="64"/>
  <c r="Z82" i="64"/>
  <c r="Y82" i="64"/>
  <c r="X82" i="64"/>
  <c r="W82" i="64"/>
  <c r="V82" i="64"/>
  <c r="U82" i="64"/>
  <c r="T82" i="64"/>
  <c r="S82" i="64"/>
  <c r="R82" i="64"/>
  <c r="Q82" i="64"/>
  <c r="P82" i="64"/>
  <c r="O82" i="64"/>
  <c r="N82" i="64"/>
  <c r="M82" i="64"/>
  <c r="L82" i="64"/>
  <c r="K82" i="64"/>
  <c r="J82" i="64"/>
  <c r="I82" i="64"/>
  <c r="H82" i="64"/>
  <c r="G82" i="64"/>
  <c r="F82" i="64"/>
  <c r="E82" i="64"/>
  <c r="D82" i="64"/>
  <c r="C82" i="64"/>
  <c r="B82" i="64"/>
  <c r="AF81" i="64"/>
  <c r="AE81" i="64"/>
  <c r="AD81" i="64"/>
  <c r="AC81" i="64"/>
  <c r="AB81" i="64"/>
  <c r="AB87" i="64" s="1"/>
  <c r="AA81" i="64"/>
  <c r="Z81" i="64"/>
  <c r="Y81" i="64"/>
  <c r="X81" i="64"/>
  <c r="W81" i="64"/>
  <c r="V81" i="64"/>
  <c r="U81" i="64"/>
  <c r="T81" i="64"/>
  <c r="S81" i="64"/>
  <c r="R81" i="64"/>
  <c r="Q81" i="64"/>
  <c r="P81" i="64"/>
  <c r="O81" i="64"/>
  <c r="N81" i="64"/>
  <c r="M81" i="64"/>
  <c r="L81" i="64"/>
  <c r="L87" i="64" s="1"/>
  <c r="K81" i="64"/>
  <c r="J81" i="64"/>
  <c r="I81" i="64"/>
  <c r="I87" i="64" s="1"/>
  <c r="I88" i="64" s="1"/>
  <c r="H81" i="64"/>
  <c r="G81" i="64"/>
  <c r="F81" i="64"/>
  <c r="E81" i="64"/>
  <c r="D81" i="64"/>
  <c r="C81" i="64"/>
  <c r="B81" i="64"/>
  <c r="AI78" i="64"/>
  <c r="AH78" i="64"/>
  <c r="AI76" i="64"/>
  <c r="AH76" i="64"/>
  <c r="AG76" i="64"/>
  <c r="AI75" i="64"/>
  <c r="AH75" i="64"/>
  <c r="AI74" i="64"/>
  <c r="AH74" i="64"/>
  <c r="AI73" i="64"/>
  <c r="AH73" i="64"/>
  <c r="AG72" i="64"/>
  <c r="AF72" i="64"/>
  <c r="AE5" i="64" s="1"/>
  <c r="AE72" i="64"/>
  <c r="AD5" i="64" s="1"/>
  <c r="AD72" i="64"/>
  <c r="AC5" i="64" s="1"/>
  <c r="AC72" i="64"/>
  <c r="AB5" i="64" s="1"/>
  <c r="AB72" i="64"/>
  <c r="AA72" i="64"/>
  <c r="Z72" i="64"/>
  <c r="Y5" i="64" s="1"/>
  <c r="Y72" i="64"/>
  <c r="X5" i="64" s="1"/>
  <c r="X72" i="64"/>
  <c r="W5" i="64" s="1"/>
  <c r="W72" i="64"/>
  <c r="V5" i="64" s="1"/>
  <c r="V72" i="64"/>
  <c r="U5" i="64" s="1"/>
  <c r="U72" i="64"/>
  <c r="T5" i="64" s="1"/>
  <c r="T72" i="64"/>
  <c r="S72" i="64"/>
  <c r="R72" i="64"/>
  <c r="Q72" i="64"/>
  <c r="P5" i="64" s="1"/>
  <c r="P72" i="64"/>
  <c r="O5" i="64" s="1"/>
  <c r="O72" i="64"/>
  <c r="N5" i="64" s="1"/>
  <c r="N72" i="64"/>
  <c r="M5" i="64" s="1"/>
  <c r="M72" i="64"/>
  <c r="L5" i="64" s="1"/>
  <c r="L72" i="64"/>
  <c r="K72" i="64"/>
  <c r="J5" i="64" s="1"/>
  <c r="J72" i="64"/>
  <c r="I72" i="64"/>
  <c r="H5" i="64" s="1"/>
  <c r="H72" i="64"/>
  <c r="G5" i="64" s="1"/>
  <c r="G72" i="64"/>
  <c r="F5" i="64" s="1"/>
  <c r="F72" i="64"/>
  <c r="E5" i="64" s="1"/>
  <c r="E72" i="64"/>
  <c r="D5" i="64" s="1"/>
  <c r="D72" i="64"/>
  <c r="C72" i="64"/>
  <c r="B72" i="64"/>
  <c r="AF5" i="64" s="1"/>
  <c r="AI71" i="64"/>
  <c r="AH71" i="64"/>
  <c r="AI70" i="64"/>
  <c r="AH70" i="64"/>
  <c r="AI69" i="64"/>
  <c r="AH69" i="64"/>
  <c r="AI68" i="64"/>
  <c r="AH68" i="64"/>
  <c r="AI67" i="64"/>
  <c r="AH67" i="64"/>
  <c r="AI66" i="64"/>
  <c r="AH66" i="64"/>
  <c r="AI65" i="64"/>
  <c r="AH65" i="64"/>
  <c r="AI64" i="64"/>
  <c r="AH64" i="64"/>
  <c r="AI63" i="64"/>
  <c r="AH63" i="64"/>
  <c r="AI62" i="64"/>
  <c r="AH62" i="64"/>
  <c r="AI61" i="64"/>
  <c r="AH61" i="64"/>
  <c r="AG60" i="64"/>
  <c r="AF60" i="64"/>
  <c r="AE60" i="64"/>
  <c r="AD60" i="64"/>
  <c r="AC60" i="64"/>
  <c r="AB60" i="64"/>
  <c r="AA60" i="64"/>
  <c r="Z60" i="64"/>
  <c r="Y60" i="64"/>
  <c r="X60" i="64"/>
  <c r="W60" i="64"/>
  <c r="V60" i="64"/>
  <c r="U60" i="64"/>
  <c r="T60" i="64"/>
  <c r="S60" i="64"/>
  <c r="R60" i="64"/>
  <c r="Q60" i="64"/>
  <c r="P60" i="64"/>
  <c r="O60" i="64"/>
  <c r="N60" i="64"/>
  <c r="M60" i="64"/>
  <c r="L60" i="64"/>
  <c r="K60" i="64"/>
  <c r="J60" i="64"/>
  <c r="I60" i="64"/>
  <c r="H60" i="64"/>
  <c r="G60" i="64"/>
  <c r="F60" i="64"/>
  <c r="E60" i="64"/>
  <c r="D60" i="64"/>
  <c r="C60" i="64"/>
  <c r="B60" i="64"/>
  <c r="AI59" i="64"/>
  <c r="AH59" i="64"/>
  <c r="AI58" i="64"/>
  <c r="AH58" i="64"/>
  <c r="AI57" i="64"/>
  <c r="AH57" i="64"/>
  <c r="AF56" i="64"/>
  <c r="AE56" i="64"/>
  <c r="AD56" i="64"/>
  <c r="AC56" i="64"/>
  <c r="AB56" i="64"/>
  <c r="AA56" i="64"/>
  <c r="Z56" i="64"/>
  <c r="Y56" i="64"/>
  <c r="X56" i="64"/>
  <c r="W56" i="64"/>
  <c r="V56" i="64"/>
  <c r="U56" i="64"/>
  <c r="T56" i="64"/>
  <c r="S56" i="64"/>
  <c r="R56" i="64"/>
  <c r="Q56" i="64"/>
  <c r="P56" i="64"/>
  <c r="O56" i="64"/>
  <c r="N56" i="64"/>
  <c r="M56" i="64"/>
  <c r="L56" i="64"/>
  <c r="K56" i="64"/>
  <c r="J56" i="64"/>
  <c r="I56" i="64"/>
  <c r="H56" i="64"/>
  <c r="G56" i="64"/>
  <c r="F56" i="64"/>
  <c r="E56" i="64"/>
  <c r="D56" i="64"/>
  <c r="C56" i="64"/>
  <c r="B56" i="64"/>
  <c r="AI55" i="64"/>
  <c r="AH55" i="64"/>
  <c r="AI54" i="64"/>
  <c r="AH54" i="64"/>
  <c r="AI53" i="64"/>
  <c r="AH53" i="64"/>
  <c r="AI52" i="64"/>
  <c r="AH52" i="64"/>
  <c r="AI51" i="64"/>
  <c r="AH51" i="64"/>
  <c r="AI50" i="64"/>
  <c r="AH50" i="64"/>
  <c r="AI49" i="64"/>
  <c r="AH49" i="64"/>
  <c r="AI48" i="64"/>
  <c r="AH48" i="64"/>
  <c r="AI47" i="64"/>
  <c r="AH47" i="64"/>
  <c r="AI46" i="64"/>
  <c r="AH46" i="64"/>
  <c r="AI45" i="64"/>
  <c r="AH45" i="64"/>
  <c r="AI44" i="64"/>
  <c r="AH44" i="64"/>
  <c r="AI43" i="64"/>
  <c r="AH43" i="64"/>
  <c r="AG42" i="64"/>
  <c r="AF42" i="64"/>
  <c r="AE42" i="64"/>
  <c r="AD42" i="64"/>
  <c r="AC42" i="64"/>
  <c r="AB42" i="64"/>
  <c r="AA42" i="64"/>
  <c r="Z42" i="64"/>
  <c r="Y42" i="64"/>
  <c r="X42" i="64"/>
  <c r="W42" i="64"/>
  <c r="V42" i="64"/>
  <c r="U42" i="64"/>
  <c r="T42" i="64"/>
  <c r="S42" i="64"/>
  <c r="R42" i="64"/>
  <c r="Q42" i="64"/>
  <c r="P42" i="64"/>
  <c r="O42" i="64"/>
  <c r="N42" i="64"/>
  <c r="M42" i="64"/>
  <c r="L42" i="64"/>
  <c r="K42" i="64"/>
  <c r="J42" i="64"/>
  <c r="I42" i="64"/>
  <c r="H42" i="64"/>
  <c r="G42" i="64"/>
  <c r="F42" i="64"/>
  <c r="E42" i="64"/>
  <c r="D42" i="64"/>
  <c r="C42" i="64"/>
  <c r="B42" i="64"/>
  <c r="AI41" i="64"/>
  <c r="AH41" i="64"/>
  <c r="AI40" i="64"/>
  <c r="AH40" i="64"/>
  <c r="AI39" i="64"/>
  <c r="AH39" i="64"/>
  <c r="AG38" i="64"/>
  <c r="AF38" i="64"/>
  <c r="AE38" i="64"/>
  <c r="AD38" i="64"/>
  <c r="AC38" i="64"/>
  <c r="AB38" i="64"/>
  <c r="AA38" i="64"/>
  <c r="Z38" i="64"/>
  <c r="Y38" i="64"/>
  <c r="X38" i="64"/>
  <c r="W38" i="64"/>
  <c r="V38" i="64"/>
  <c r="U38" i="64"/>
  <c r="T38" i="64"/>
  <c r="T77" i="64" s="1"/>
  <c r="T79" i="64" s="1"/>
  <c r="S38" i="64"/>
  <c r="R38" i="64"/>
  <c r="Q38" i="64"/>
  <c r="P38" i="64"/>
  <c r="O38" i="64"/>
  <c r="O77" i="64" s="1"/>
  <c r="O79" i="64" s="1"/>
  <c r="N38" i="64"/>
  <c r="M38" i="64"/>
  <c r="L38" i="64"/>
  <c r="K38" i="64"/>
  <c r="J38" i="64"/>
  <c r="I38" i="64"/>
  <c r="H38" i="64"/>
  <c r="G38" i="64"/>
  <c r="F38" i="64"/>
  <c r="E38" i="64"/>
  <c r="D38" i="64"/>
  <c r="C38" i="64"/>
  <c r="B38" i="64"/>
  <c r="AI37" i="64"/>
  <c r="AH37" i="64"/>
  <c r="AI36" i="64"/>
  <c r="AH36" i="64"/>
  <c r="AI35" i="64"/>
  <c r="AH35" i="64"/>
  <c r="AI34" i="64"/>
  <c r="AH34" i="64"/>
  <c r="AI33" i="64"/>
  <c r="AH33" i="64"/>
  <c r="AI32" i="64"/>
  <c r="AH32" i="64"/>
  <c r="AI31" i="64"/>
  <c r="AH31" i="64"/>
  <c r="AI30" i="64"/>
  <c r="AH30" i="64"/>
  <c r="AI29" i="64"/>
  <c r="AH29" i="64"/>
  <c r="AI28" i="64"/>
  <c r="AH28" i="64"/>
  <c r="AI27" i="64"/>
  <c r="AH27" i="64"/>
  <c r="AI26" i="64"/>
  <c r="AH26" i="64"/>
  <c r="AI25" i="64"/>
  <c r="AH25" i="64"/>
  <c r="AI24" i="64"/>
  <c r="AH24" i="64"/>
  <c r="AI23" i="64"/>
  <c r="AH23" i="64"/>
  <c r="AI22" i="64"/>
  <c r="AH22" i="64"/>
  <c r="AI21" i="64"/>
  <c r="AH21" i="64"/>
  <c r="AI20" i="64"/>
  <c r="AH20" i="64"/>
  <c r="AI19" i="64"/>
  <c r="AH19" i="64"/>
  <c r="AI18" i="64"/>
  <c r="AH18" i="64"/>
  <c r="AI17" i="64"/>
  <c r="AH17" i="64"/>
  <c r="AI16" i="64"/>
  <c r="AH16" i="64"/>
  <c r="AI15" i="64"/>
  <c r="AH15" i="64"/>
  <c r="AI14" i="64"/>
  <c r="AH14" i="64"/>
  <c r="AI13" i="64"/>
  <c r="AH13" i="64"/>
  <c r="AI12" i="64"/>
  <c r="AH12" i="64"/>
  <c r="AI11" i="64"/>
  <c r="AH11" i="64"/>
  <c r="AA5" i="64"/>
  <c r="R5" i="64"/>
  <c r="Q5" i="64"/>
  <c r="AG4" i="64"/>
  <c r="K4" i="64"/>
  <c r="B4" i="64"/>
  <c r="S231" i="64" s="1"/>
  <c r="AG2" i="64"/>
  <c r="AF38" i="63"/>
  <c r="Y37" i="63"/>
  <c r="V37" i="63"/>
  <c r="U37" i="63"/>
  <c r="T37" i="63"/>
  <c r="S100" i="63"/>
  <c r="S37" i="63"/>
  <c r="R37" i="63"/>
  <c r="Q37" i="63"/>
  <c r="P37" i="63"/>
  <c r="O37" i="63"/>
  <c r="N37" i="63"/>
  <c r="M37" i="63"/>
  <c r="L37" i="63"/>
  <c r="K37" i="63"/>
  <c r="J37" i="63"/>
  <c r="I37" i="63"/>
  <c r="H37" i="63"/>
  <c r="G37" i="63"/>
  <c r="F37" i="63"/>
  <c r="AH37" i="63" s="1"/>
  <c r="E37" i="63"/>
  <c r="D37" i="63"/>
  <c r="C39" i="63"/>
  <c r="C37" i="63"/>
  <c r="B37" i="63"/>
  <c r="B85" i="63"/>
  <c r="B84" i="63"/>
  <c r="B83" i="63"/>
  <c r="B82" i="63"/>
  <c r="B81" i="63"/>
  <c r="B72" i="63"/>
  <c r="B60" i="63"/>
  <c r="B56" i="63"/>
  <c r="B42" i="63"/>
  <c r="B38" i="63"/>
  <c r="AF259" i="63"/>
  <c r="AE259" i="63"/>
  <c r="AD259" i="63"/>
  <c r="AC259" i="63"/>
  <c r="AB259" i="63"/>
  <c r="AA259" i="63"/>
  <c r="Z259" i="63"/>
  <c r="Y259" i="63"/>
  <c r="X259" i="63"/>
  <c r="W259" i="63"/>
  <c r="V259" i="63"/>
  <c r="U259" i="63"/>
  <c r="T259" i="63"/>
  <c r="S259" i="63"/>
  <c r="R259" i="63"/>
  <c r="Q259" i="63"/>
  <c r="P259" i="63"/>
  <c r="O259" i="63"/>
  <c r="N259" i="63"/>
  <c r="M259" i="63"/>
  <c r="L259" i="63"/>
  <c r="K259" i="63"/>
  <c r="J259" i="63"/>
  <c r="I259" i="63"/>
  <c r="H259" i="63"/>
  <c r="G259" i="63"/>
  <c r="F259" i="63"/>
  <c r="E259" i="63"/>
  <c r="D259" i="63"/>
  <c r="C259" i="63"/>
  <c r="B259" i="63"/>
  <c r="A259" i="63"/>
  <c r="AF258" i="63"/>
  <c r="AE258" i="63"/>
  <c r="AD258" i="63"/>
  <c r="AC258" i="63"/>
  <c r="AB258" i="63"/>
  <c r="AA258" i="63"/>
  <c r="Z258" i="63"/>
  <c r="Y258" i="63"/>
  <c r="X258" i="63"/>
  <c r="W258" i="63"/>
  <c r="V258" i="63"/>
  <c r="U258" i="63"/>
  <c r="T258" i="63"/>
  <c r="S258" i="63"/>
  <c r="R258" i="63"/>
  <c r="Q258" i="63"/>
  <c r="P258" i="63"/>
  <c r="O258" i="63"/>
  <c r="N258" i="63"/>
  <c r="M258" i="63"/>
  <c r="L258" i="63"/>
  <c r="K258" i="63"/>
  <c r="J258" i="63"/>
  <c r="I258" i="63"/>
  <c r="H258" i="63"/>
  <c r="G258" i="63"/>
  <c r="F258" i="63"/>
  <c r="E258" i="63"/>
  <c r="D258" i="63"/>
  <c r="C258" i="63"/>
  <c r="B258" i="63"/>
  <c r="A258" i="63"/>
  <c r="AF257" i="63"/>
  <c r="AE257" i="63"/>
  <c r="AD257" i="63"/>
  <c r="AC257" i="63"/>
  <c r="AB257" i="63"/>
  <c r="AA257" i="63"/>
  <c r="Z257" i="63"/>
  <c r="Y257" i="63"/>
  <c r="X257" i="63"/>
  <c r="W257" i="63"/>
  <c r="V257" i="63"/>
  <c r="U257" i="63"/>
  <c r="T257" i="63"/>
  <c r="S257" i="63"/>
  <c r="R257" i="63"/>
  <c r="Q257" i="63"/>
  <c r="P257" i="63"/>
  <c r="O257" i="63"/>
  <c r="N257" i="63"/>
  <c r="M257" i="63"/>
  <c r="L257" i="63"/>
  <c r="K257" i="63"/>
  <c r="J257" i="63"/>
  <c r="I257" i="63"/>
  <c r="H257" i="63"/>
  <c r="G257" i="63"/>
  <c r="F257" i="63"/>
  <c r="E257" i="63"/>
  <c r="D257" i="63"/>
  <c r="C257" i="63"/>
  <c r="B257" i="63"/>
  <c r="A257" i="63"/>
  <c r="AF256" i="63"/>
  <c r="AE256" i="63"/>
  <c r="AD256" i="63"/>
  <c r="AC256" i="63"/>
  <c r="AB256" i="63"/>
  <c r="AA256" i="63"/>
  <c r="Z256" i="63"/>
  <c r="Y256" i="63"/>
  <c r="X256" i="63"/>
  <c r="W256" i="63"/>
  <c r="V256" i="63"/>
  <c r="U256" i="63"/>
  <c r="T256" i="63"/>
  <c r="S256" i="63"/>
  <c r="R256" i="63"/>
  <c r="Q256" i="63"/>
  <c r="P256" i="63"/>
  <c r="O256" i="63"/>
  <c r="N256" i="63"/>
  <c r="M256" i="63"/>
  <c r="L256" i="63"/>
  <c r="K256" i="63"/>
  <c r="J256" i="63"/>
  <c r="I256" i="63"/>
  <c r="H256" i="63"/>
  <c r="G256" i="63"/>
  <c r="F256" i="63"/>
  <c r="E256" i="63"/>
  <c r="D256" i="63"/>
  <c r="C256" i="63"/>
  <c r="B256" i="63"/>
  <c r="A256" i="63"/>
  <c r="AE255" i="63"/>
  <c r="AD255" i="63"/>
  <c r="AC255" i="63"/>
  <c r="AB255" i="63"/>
  <c r="AA255" i="63"/>
  <c r="Z255" i="63"/>
  <c r="Y255" i="63"/>
  <c r="X255" i="63"/>
  <c r="W255" i="63"/>
  <c r="V255" i="63"/>
  <c r="U255" i="63"/>
  <c r="T255" i="63"/>
  <c r="S255" i="63"/>
  <c r="R255" i="63"/>
  <c r="Q255" i="63"/>
  <c r="P255" i="63"/>
  <c r="B255" i="63"/>
  <c r="S230" i="63"/>
  <c r="AG220" i="63"/>
  <c r="AF220" i="63"/>
  <c r="AE220" i="63"/>
  <c r="AD220" i="63"/>
  <c r="AC220" i="63"/>
  <c r="AB220" i="63"/>
  <c r="AA220" i="63"/>
  <c r="Z220" i="63"/>
  <c r="Y220" i="63"/>
  <c r="X220" i="63"/>
  <c r="W220" i="63"/>
  <c r="V220" i="63"/>
  <c r="U220" i="63"/>
  <c r="T220" i="63"/>
  <c r="S220" i="63"/>
  <c r="R220" i="63"/>
  <c r="Q220" i="63"/>
  <c r="C220" i="63"/>
  <c r="D219" i="63"/>
  <c r="C255" i="63" s="1"/>
  <c r="B219" i="63"/>
  <c r="AF255" i="63" s="1"/>
  <c r="D218" i="63"/>
  <c r="E218" i="63" s="1"/>
  <c r="F218" i="63" s="1"/>
  <c r="G218" i="63" s="1"/>
  <c r="H218" i="63" s="1"/>
  <c r="I218" i="63" s="1"/>
  <c r="J218" i="63" s="1"/>
  <c r="K218" i="63" s="1"/>
  <c r="L218" i="63" s="1"/>
  <c r="M218" i="63" s="1"/>
  <c r="N218" i="63" s="1"/>
  <c r="O218" i="63" s="1"/>
  <c r="P218" i="63" s="1"/>
  <c r="B218" i="63"/>
  <c r="D217" i="63"/>
  <c r="E217" i="63" s="1"/>
  <c r="F217" i="63" s="1"/>
  <c r="G217" i="63" s="1"/>
  <c r="H217" i="63" s="1"/>
  <c r="I217" i="63" s="1"/>
  <c r="J217" i="63" s="1"/>
  <c r="K217" i="63" s="1"/>
  <c r="L217" i="63" s="1"/>
  <c r="M217" i="63" s="1"/>
  <c r="N217" i="63" s="1"/>
  <c r="O217" i="63" s="1"/>
  <c r="P217" i="63" s="1"/>
  <c r="B217" i="63"/>
  <c r="E216" i="63"/>
  <c r="F216" i="63" s="1"/>
  <c r="G216" i="63" s="1"/>
  <c r="H216" i="63" s="1"/>
  <c r="I216" i="63" s="1"/>
  <c r="J216" i="63" s="1"/>
  <c r="K216" i="63" s="1"/>
  <c r="L216" i="63" s="1"/>
  <c r="M216" i="63" s="1"/>
  <c r="N216" i="63" s="1"/>
  <c r="O216" i="63" s="1"/>
  <c r="P216" i="63" s="1"/>
  <c r="D216" i="63"/>
  <c r="B216" i="63"/>
  <c r="D215" i="63"/>
  <c r="E215" i="63" s="1"/>
  <c r="F215" i="63" s="1"/>
  <c r="G215" i="63" s="1"/>
  <c r="H215" i="63" s="1"/>
  <c r="I215" i="63" s="1"/>
  <c r="J215" i="63" s="1"/>
  <c r="K215" i="63" s="1"/>
  <c r="L215" i="63" s="1"/>
  <c r="M215" i="63" s="1"/>
  <c r="N215" i="63" s="1"/>
  <c r="O215" i="63" s="1"/>
  <c r="P215" i="63" s="1"/>
  <c r="B215" i="63"/>
  <c r="D214" i="63"/>
  <c r="B214" i="63"/>
  <c r="B98" i="63" s="1"/>
  <c r="AG212" i="63"/>
  <c r="AF212" i="63"/>
  <c r="AE212" i="63"/>
  <c r="AD212" i="63"/>
  <c r="AC212" i="63"/>
  <c r="AB212" i="63"/>
  <c r="AA212" i="63"/>
  <c r="Z212" i="63"/>
  <c r="Y212" i="63"/>
  <c r="X212" i="63"/>
  <c r="W212" i="63"/>
  <c r="V212" i="63"/>
  <c r="U212" i="63"/>
  <c r="T212" i="63"/>
  <c r="S212" i="63"/>
  <c r="R212" i="63"/>
  <c r="Q212" i="63"/>
  <c r="P212" i="63"/>
  <c r="O212" i="63"/>
  <c r="N212" i="63"/>
  <c r="M212" i="63"/>
  <c r="L212" i="63"/>
  <c r="K212" i="63"/>
  <c r="J212" i="63"/>
  <c r="I212" i="63"/>
  <c r="H212" i="63"/>
  <c r="G212" i="63"/>
  <c r="F212" i="63"/>
  <c r="E212" i="63"/>
  <c r="D212" i="63"/>
  <c r="C212" i="63"/>
  <c r="B212" i="63"/>
  <c r="AH105" i="63"/>
  <c r="AI105" i="63" s="1"/>
  <c r="AH104" i="63"/>
  <c r="AI104" i="63" s="1"/>
  <c r="AH103" i="63"/>
  <c r="AI103" i="63" s="1"/>
  <c r="AH102" i="63"/>
  <c r="AI102" i="63" s="1"/>
  <c r="AH101" i="63"/>
  <c r="AI101" i="63" s="1"/>
  <c r="AH100" i="63"/>
  <c r="AI100" i="63" s="1"/>
  <c r="AH99" i="63"/>
  <c r="AI99" i="63" s="1"/>
  <c r="AF98" i="63"/>
  <c r="AE98" i="63"/>
  <c r="AD98" i="63"/>
  <c r="AC98" i="63"/>
  <c r="AB98" i="63"/>
  <c r="Z98" i="63"/>
  <c r="Y98" i="63"/>
  <c r="X98" i="63"/>
  <c r="W98" i="63"/>
  <c r="V98" i="63"/>
  <c r="U98" i="63"/>
  <c r="T98" i="63"/>
  <c r="S98" i="63"/>
  <c r="R98" i="63"/>
  <c r="Q98" i="63"/>
  <c r="C98" i="63"/>
  <c r="AI97" i="63"/>
  <c r="AH97" i="63"/>
  <c r="AI96" i="63"/>
  <c r="AH96" i="63"/>
  <c r="AI95" i="63"/>
  <c r="AH95" i="63"/>
  <c r="AI94" i="63"/>
  <c r="AH94" i="63"/>
  <c r="AI93" i="63"/>
  <c r="AH93" i="63"/>
  <c r="AI92" i="63"/>
  <c r="AH92" i="63"/>
  <c r="AI91" i="63"/>
  <c r="AH91" i="63"/>
  <c r="AI90" i="63"/>
  <c r="AH90" i="63"/>
  <c r="AI89" i="63"/>
  <c r="AH89" i="63"/>
  <c r="AI86" i="63"/>
  <c r="AH86" i="63"/>
  <c r="AF85" i="63"/>
  <c r="AE85" i="63"/>
  <c r="AD85" i="63"/>
  <c r="AC85" i="63"/>
  <c r="AB85" i="63"/>
  <c r="Z85" i="63"/>
  <c r="Y85" i="63"/>
  <c r="X85" i="63"/>
  <c r="W85" i="63"/>
  <c r="V85" i="63"/>
  <c r="U85" i="63"/>
  <c r="T85" i="63"/>
  <c r="S85" i="63"/>
  <c r="R85" i="63"/>
  <c r="Q85" i="63"/>
  <c r="P85" i="63"/>
  <c r="O85" i="63"/>
  <c r="N85" i="63"/>
  <c r="M85" i="63"/>
  <c r="L85" i="63"/>
  <c r="K85" i="63"/>
  <c r="J85" i="63"/>
  <c r="I85" i="63"/>
  <c r="H85" i="63"/>
  <c r="G85" i="63"/>
  <c r="F85" i="63"/>
  <c r="E85" i="63"/>
  <c r="D85" i="63"/>
  <c r="C85" i="63"/>
  <c r="AF84" i="63"/>
  <c r="AE84" i="63"/>
  <c r="AD84" i="63"/>
  <c r="AC84" i="63"/>
  <c r="AB84" i="63"/>
  <c r="Z84" i="63"/>
  <c r="Y84" i="63"/>
  <c r="X84" i="63"/>
  <c r="W84" i="63"/>
  <c r="V84" i="63"/>
  <c r="U84" i="63"/>
  <c r="T84" i="63"/>
  <c r="S84" i="63"/>
  <c r="R84" i="63"/>
  <c r="Q84" i="63"/>
  <c r="P84" i="63"/>
  <c r="O84" i="63"/>
  <c r="N84" i="63"/>
  <c r="M84" i="63"/>
  <c r="L84" i="63"/>
  <c r="K84" i="63"/>
  <c r="J84" i="63"/>
  <c r="I84" i="63"/>
  <c r="H84" i="63"/>
  <c r="G84" i="63"/>
  <c r="F84" i="63"/>
  <c r="E84" i="63"/>
  <c r="D84" i="63"/>
  <c r="C84" i="63"/>
  <c r="AF83" i="63"/>
  <c r="AE83" i="63"/>
  <c r="AD83" i="63"/>
  <c r="AC83" i="63"/>
  <c r="AB83" i="63"/>
  <c r="Z83" i="63"/>
  <c r="Y83" i="63"/>
  <c r="X83" i="63"/>
  <c r="W83" i="63"/>
  <c r="V83" i="63"/>
  <c r="U83" i="63"/>
  <c r="T83" i="63"/>
  <c r="S83" i="63"/>
  <c r="R83" i="63"/>
  <c r="Q83" i="63"/>
  <c r="P83" i="63"/>
  <c r="O83" i="63"/>
  <c r="N83" i="63"/>
  <c r="M83" i="63"/>
  <c r="L83" i="63"/>
  <c r="K83" i="63"/>
  <c r="J83" i="63"/>
  <c r="I83" i="63"/>
  <c r="H83" i="63"/>
  <c r="G83" i="63"/>
  <c r="F83" i="63"/>
  <c r="E83" i="63"/>
  <c r="D83" i="63"/>
  <c r="C83" i="63"/>
  <c r="AF82" i="63"/>
  <c r="AE82" i="63"/>
  <c r="AD82" i="63"/>
  <c r="AC82" i="63"/>
  <c r="AB82" i="63"/>
  <c r="Z82" i="63"/>
  <c r="Y82" i="63"/>
  <c r="X82" i="63"/>
  <c r="W82" i="63"/>
  <c r="V82" i="63"/>
  <c r="U82" i="63"/>
  <c r="T82" i="63"/>
  <c r="S82" i="63"/>
  <c r="R82" i="63"/>
  <c r="Q82" i="63"/>
  <c r="P82" i="63"/>
  <c r="O82" i="63"/>
  <c r="N82" i="63"/>
  <c r="M82" i="63"/>
  <c r="L82" i="63"/>
  <c r="K82" i="63"/>
  <c r="J82" i="63"/>
  <c r="I82" i="63"/>
  <c r="H82" i="63"/>
  <c r="G82" i="63"/>
  <c r="F82" i="63"/>
  <c r="E82" i="63"/>
  <c r="D82" i="63"/>
  <c r="C82" i="63"/>
  <c r="AF81" i="63"/>
  <c r="AE81" i="63"/>
  <c r="AD81" i="63"/>
  <c r="AC81" i="63"/>
  <c r="AB81" i="63"/>
  <c r="Z81" i="63"/>
  <c r="Y81" i="63"/>
  <c r="X81" i="63"/>
  <c r="W81" i="63"/>
  <c r="V81" i="63"/>
  <c r="U81" i="63"/>
  <c r="T81" i="63"/>
  <c r="S81" i="63"/>
  <c r="R81" i="63"/>
  <c r="Q81" i="63"/>
  <c r="P81" i="63"/>
  <c r="O81" i="63"/>
  <c r="N81" i="63"/>
  <c r="M81" i="63"/>
  <c r="L81" i="63"/>
  <c r="K81" i="63"/>
  <c r="J81" i="63"/>
  <c r="I81" i="63"/>
  <c r="H81" i="63"/>
  <c r="G81" i="63"/>
  <c r="F81" i="63"/>
  <c r="E81" i="63"/>
  <c r="D81" i="63"/>
  <c r="C81" i="63"/>
  <c r="AI78" i="63"/>
  <c r="AH78" i="63"/>
  <c r="AI76" i="63"/>
  <c r="AH76" i="63"/>
  <c r="AG76" i="63"/>
  <c r="AI75" i="63"/>
  <c r="AH75" i="63"/>
  <c r="AI74" i="63"/>
  <c r="AH74" i="63"/>
  <c r="AI73" i="63"/>
  <c r="AH73" i="63"/>
  <c r="AG72" i="63"/>
  <c r="AF72" i="63"/>
  <c r="AE5" i="63" s="1"/>
  <c r="AE72" i="63"/>
  <c r="AD5" i="63" s="1"/>
  <c r="AD72" i="63"/>
  <c r="AC5" i="63" s="1"/>
  <c r="AC72" i="63"/>
  <c r="AB5" i="63" s="1"/>
  <c r="AB72" i="63"/>
  <c r="AA5" i="63" s="1"/>
  <c r="Z72" i="63"/>
  <c r="Y72" i="63"/>
  <c r="X72" i="63"/>
  <c r="W5" i="63" s="1"/>
  <c r="W72" i="63"/>
  <c r="V5" i="63" s="1"/>
  <c r="V72" i="63"/>
  <c r="U5" i="63" s="1"/>
  <c r="U72" i="63"/>
  <c r="T5" i="63" s="1"/>
  <c r="T72" i="63"/>
  <c r="S72" i="63"/>
  <c r="R5" i="63" s="1"/>
  <c r="R72" i="63"/>
  <c r="Q5" i="63" s="1"/>
  <c r="Q72" i="63"/>
  <c r="P5" i="63" s="1"/>
  <c r="P72" i="63"/>
  <c r="O72" i="63"/>
  <c r="N5" i="63" s="1"/>
  <c r="N72" i="63"/>
  <c r="M5" i="63" s="1"/>
  <c r="M72" i="63"/>
  <c r="L5" i="63" s="1"/>
  <c r="L72" i="63"/>
  <c r="K72" i="63"/>
  <c r="J72" i="63"/>
  <c r="I72" i="63"/>
  <c r="H72" i="63"/>
  <c r="G72" i="63"/>
  <c r="F72" i="63"/>
  <c r="E72" i="63"/>
  <c r="D5" i="63" s="1"/>
  <c r="D72" i="63"/>
  <c r="C5" i="63" s="1"/>
  <c r="C72" i="63"/>
  <c r="AI71" i="63"/>
  <c r="AH71" i="63"/>
  <c r="AI70" i="63"/>
  <c r="AH70" i="63"/>
  <c r="AI69" i="63"/>
  <c r="AH69" i="63"/>
  <c r="AI68" i="63"/>
  <c r="AH68" i="63"/>
  <c r="AI67" i="63"/>
  <c r="AH67" i="63"/>
  <c r="AI66" i="63"/>
  <c r="AH66" i="63"/>
  <c r="AI65" i="63"/>
  <c r="AH65" i="63"/>
  <c r="AI64" i="63"/>
  <c r="AH64" i="63"/>
  <c r="AI63" i="63"/>
  <c r="AH63" i="63"/>
  <c r="AI62" i="63"/>
  <c r="AH62" i="63"/>
  <c r="AI61" i="63"/>
  <c r="AH61" i="63"/>
  <c r="AG60" i="63"/>
  <c r="AE60" i="63"/>
  <c r="AD60" i="63"/>
  <c r="AC60" i="63"/>
  <c r="AB60" i="63"/>
  <c r="Z60" i="63"/>
  <c r="Y60" i="63"/>
  <c r="X60" i="63"/>
  <c r="W60" i="63"/>
  <c r="V60" i="63"/>
  <c r="U60" i="63"/>
  <c r="T60" i="63"/>
  <c r="S60" i="63"/>
  <c r="R60" i="63"/>
  <c r="Q60" i="63"/>
  <c r="P60" i="63"/>
  <c r="O60" i="63"/>
  <c r="N60" i="63"/>
  <c r="M60" i="63"/>
  <c r="L60" i="63"/>
  <c r="K60" i="63"/>
  <c r="J60" i="63"/>
  <c r="I60" i="63"/>
  <c r="H60" i="63"/>
  <c r="G60" i="63"/>
  <c r="F60" i="63"/>
  <c r="E60" i="63"/>
  <c r="D60" i="63"/>
  <c r="C60" i="63"/>
  <c r="AI59" i="63"/>
  <c r="AH59" i="63"/>
  <c r="AI58" i="63"/>
  <c r="AH58" i="63"/>
  <c r="AI57" i="63"/>
  <c r="AH57" i="63"/>
  <c r="AE56" i="63"/>
  <c r="AD56" i="63"/>
  <c r="AC56" i="63"/>
  <c r="AB56" i="63"/>
  <c r="Z56" i="63"/>
  <c r="Y56" i="63"/>
  <c r="X56" i="63"/>
  <c r="W56" i="63"/>
  <c r="V56" i="63"/>
  <c r="U56" i="63"/>
  <c r="T56" i="63"/>
  <c r="S56" i="63"/>
  <c r="R56" i="63"/>
  <c r="Q56" i="63"/>
  <c r="P56" i="63"/>
  <c r="O56" i="63"/>
  <c r="N56" i="63"/>
  <c r="M56" i="63"/>
  <c r="L56" i="63"/>
  <c r="K56" i="63"/>
  <c r="J56" i="63"/>
  <c r="I56" i="63"/>
  <c r="H56" i="63"/>
  <c r="G56" i="63"/>
  <c r="F56" i="63"/>
  <c r="E56" i="63"/>
  <c r="D56" i="63"/>
  <c r="C56" i="63"/>
  <c r="AI55" i="63"/>
  <c r="AH55" i="63"/>
  <c r="AG55" i="63"/>
  <c r="AG56" i="63" s="1"/>
  <c r="AG3" i="63" s="1"/>
  <c r="AI54" i="63"/>
  <c r="AH54" i="63"/>
  <c r="AI53" i="63"/>
  <c r="AH53" i="63"/>
  <c r="AI52" i="63"/>
  <c r="AH52" i="63"/>
  <c r="AI51" i="63"/>
  <c r="AH51" i="63"/>
  <c r="AI50" i="63"/>
  <c r="AH50" i="63"/>
  <c r="AI49" i="63"/>
  <c r="AH49" i="63"/>
  <c r="AI48" i="63"/>
  <c r="AH48" i="63"/>
  <c r="AI47" i="63"/>
  <c r="AH47" i="63"/>
  <c r="AI46" i="63"/>
  <c r="AH46" i="63"/>
  <c r="AI45" i="63"/>
  <c r="AH45" i="63"/>
  <c r="AI44" i="63"/>
  <c r="AH44" i="63"/>
  <c r="AI43" i="63"/>
  <c r="AH43" i="63"/>
  <c r="AG42" i="63"/>
  <c r="AE42" i="63"/>
  <c r="AD42" i="63"/>
  <c r="AC42" i="63"/>
  <c r="AB42" i="63"/>
  <c r="Z42" i="63"/>
  <c r="Y42" i="63"/>
  <c r="X42" i="63"/>
  <c r="W42" i="63"/>
  <c r="V42" i="63"/>
  <c r="U42" i="63"/>
  <c r="T42" i="63"/>
  <c r="S42" i="63"/>
  <c r="R42" i="63"/>
  <c r="Q42" i="63"/>
  <c r="P42" i="63"/>
  <c r="O42" i="63"/>
  <c r="N42" i="63"/>
  <c r="M42" i="63"/>
  <c r="L42" i="63"/>
  <c r="K42" i="63"/>
  <c r="J42" i="63"/>
  <c r="I42" i="63"/>
  <c r="H42" i="63"/>
  <c r="G42" i="63"/>
  <c r="F42" i="63"/>
  <c r="E42" i="63"/>
  <c r="D42" i="63"/>
  <c r="C42" i="63"/>
  <c r="AI41" i="63"/>
  <c r="AH41" i="63"/>
  <c r="AI40" i="63"/>
  <c r="AH40" i="63"/>
  <c r="AI39" i="63"/>
  <c r="AH39" i="63"/>
  <c r="AG38" i="63"/>
  <c r="AE38" i="63"/>
  <c r="AD38" i="63"/>
  <c r="AC38" i="63"/>
  <c r="AB38" i="63"/>
  <c r="Z38" i="63"/>
  <c r="Y38" i="63"/>
  <c r="X38" i="63"/>
  <c r="W38" i="63"/>
  <c r="V38" i="63"/>
  <c r="U38" i="63"/>
  <c r="T38" i="63"/>
  <c r="S38" i="63"/>
  <c r="R38" i="63"/>
  <c r="Q38" i="63"/>
  <c r="P38" i="63"/>
  <c r="O38" i="63"/>
  <c r="N38" i="63"/>
  <c r="M38" i="63"/>
  <c r="L38" i="63"/>
  <c r="K38" i="63"/>
  <c r="J38" i="63"/>
  <c r="I38" i="63"/>
  <c r="H38" i="63"/>
  <c r="G38" i="63"/>
  <c r="F38" i="63"/>
  <c r="E38" i="63"/>
  <c r="D38" i="63"/>
  <c r="C38" i="63"/>
  <c r="AI37" i="63"/>
  <c r="AI36" i="63"/>
  <c r="AH36" i="63"/>
  <c r="AI35" i="63"/>
  <c r="AH35" i="63"/>
  <c r="AI34" i="63"/>
  <c r="AH34" i="63"/>
  <c r="AI33" i="63"/>
  <c r="AH33" i="63"/>
  <c r="AI32" i="63"/>
  <c r="AH32" i="63"/>
  <c r="AI31" i="63"/>
  <c r="AH31" i="63"/>
  <c r="AI30" i="63"/>
  <c r="AH30" i="63"/>
  <c r="AI29" i="63"/>
  <c r="AH29" i="63"/>
  <c r="AI28" i="63"/>
  <c r="AH28" i="63"/>
  <c r="AI27" i="63"/>
  <c r="AH27" i="63"/>
  <c r="AI26" i="63"/>
  <c r="AH26" i="63"/>
  <c r="AI25" i="63"/>
  <c r="AH25" i="63"/>
  <c r="AI24" i="63"/>
  <c r="AH24" i="63"/>
  <c r="AI23" i="63"/>
  <c r="AH23" i="63"/>
  <c r="AI22" i="63"/>
  <c r="AH22" i="63"/>
  <c r="AI21" i="63"/>
  <c r="AH21" i="63"/>
  <c r="AI20" i="63"/>
  <c r="AH20" i="63"/>
  <c r="AI19" i="63"/>
  <c r="AH19" i="63"/>
  <c r="AI18" i="63"/>
  <c r="AH18" i="63"/>
  <c r="AI17" i="63"/>
  <c r="AH17" i="63"/>
  <c r="AI16" i="63"/>
  <c r="AH16" i="63"/>
  <c r="AI15" i="63"/>
  <c r="AH15" i="63"/>
  <c r="AI14" i="63"/>
  <c r="AH14" i="63"/>
  <c r="AI13" i="63"/>
  <c r="AH13" i="63"/>
  <c r="AI12" i="63"/>
  <c r="AH12" i="63"/>
  <c r="AI11" i="63"/>
  <c r="AH11" i="63"/>
  <c r="Z5" i="63"/>
  <c r="S5" i="63"/>
  <c r="O5" i="63"/>
  <c r="K5" i="63"/>
  <c r="J5" i="63"/>
  <c r="I5" i="63"/>
  <c r="H5" i="63"/>
  <c r="G5" i="63"/>
  <c r="F5" i="63"/>
  <c r="E5" i="63"/>
  <c r="AG4" i="63"/>
  <c r="K4" i="63"/>
  <c r="B4" i="63"/>
  <c r="D231" i="63" s="1"/>
  <c r="AG2" i="63"/>
  <c r="AG6" i="63" s="1"/>
  <c r="AF37" i="62"/>
  <c r="AE37" i="62"/>
  <c r="AD37" i="62"/>
  <c r="AC37" i="62"/>
  <c r="AB37" i="62"/>
  <c r="Z37" i="62"/>
  <c r="Y37" i="62"/>
  <c r="X72" i="62"/>
  <c r="X37" i="62"/>
  <c r="W37" i="62"/>
  <c r="V37" i="62"/>
  <c r="U37" i="62"/>
  <c r="T37" i="62"/>
  <c r="S37" i="62"/>
  <c r="R100" i="62"/>
  <c r="R99" i="62"/>
  <c r="R37" i="62"/>
  <c r="Q37" i="62"/>
  <c r="P100" i="62"/>
  <c r="P37" i="62"/>
  <c r="O100" i="62"/>
  <c r="O37" i="62"/>
  <c r="N100" i="62"/>
  <c r="N37" i="62"/>
  <c r="M100" i="62"/>
  <c r="M37" i="62"/>
  <c r="L37" i="62"/>
  <c r="K37" i="62"/>
  <c r="J37" i="62"/>
  <c r="I37" i="62"/>
  <c r="H37" i="62"/>
  <c r="E4" i="64"/>
  <c r="E4" i="65"/>
  <c r="E4" i="63"/>
  <c r="AF87" i="65" l="1"/>
  <c r="AF88" i="65" s="1"/>
  <c r="AF77" i="65"/>
  <c r="AF79" i="65" s="1"/>
  <c r="AE87" i="65"/>
  <c r="AE77" i="65"/>
  <c r="AE79" i="65" s="1"/>
  <c r="AD87" i="65"/>
  <c r="AD77" i="65"/>
  <c r="AD79" i="65" s="1"/>
  <c r="AC87" i="65"/>
  <c r="AC88" i="65" s="1"/>
  <c r="AC77" i="65"/>
  <c r="AC79" i="65" s="1"/>
  <c r="AB88" i="65"/>
  <c r="AB77" i="65"/>
  <c r="AB79" i="65" s="1"/>
  <c r="AA88" i="65"/>
  <c r="AA77" i="65"/>
  <c r="AA79" i="65" s="1"/>
  <c r="Z87" i="65"/>
  <c r="Z88" i="65" s="1"/>
  <c r="Z77" i="65"/>
  <c r="Z79" i="65" s="1"/>
  <c r="Z80" i="65" s="1"/>
  <c r="Y87" i="65"/>
  <c r="Y88" i="65" s="1"/>
  <c r="Y77" i="65"/>
  <c r="Y79" i="65" s="1"/>
  <c r="X87" i="65"/>
  <c r="X88" i="65" s="1"/>
  <c r="X77" i="65"/>
  <c r="X79" i="65" s="1"/>
  <c r="W87" i="65"/>
  <c r="W77" i="65"/>
  <c r="W79" i="65" s="1"/>
  <c r="V77" i="65"/>
  <c r="V79" i="65" s="1"/>
  <c r="AN234" i="65" s="1"/>
  <c r="U87" i="65"/>
  <c r="U88" i="65" s="1"/>
  <c r="U77" i="65"/>
  <c r="U79" i="65" s="1"/>
  <c r="T88" i="65"/>
  <c r="T77" i="65"/>
  <c r="T79" i="65" s="1"/>
  <c r="T7" i="65" s="1"/>
  <c r="S87" i="65"/>
  <c r="S88" i="65"/>
  <c r="S77" i="65"/>
  <c r="S79" i="65" s="1"/>
  <c r="R87" i="65"/>
  <c r="R88" i="65" s="1"/>
  <c r="R77" i="65"/>
  <c r="R79" i="65" s="1"/>
  <c r="Q87" i="65"/>
  <c r="Q88" i="65" s="1"/>
  <c r="Q77" i="65"/>
  <c r="Q79" i="65" s="1"/>
  <c r="P88" i="65"/>
  <c r="P77" i="65"/>
  <c r="P79" i="65" s="1"/>
  <c r="O87" i="65"/>
  <c r="N87" i="65"/>
  <c r="O77" i="65"/>
  <c r="O79" i="65" s="1"/>
  <c r="N77" i="65"/>
  <c r="N79" i="65" s="1"/>
  <c r="M88" i="65"/>
  <c r="M77" i="65"/>
  <c r="M79" i="65" s="1"/>
  <c r="M80" i="65" s="1"/>
  <c r="L87" i="65"/>
  <c r="L88" i="65" s="1"/>
  <c r="K5" i="65"/>
  <c r="L77" i="65"/>
  <c r="L79" i="65" s="1"/>
  <c r="L7" i="65" s="1"/>
  <c r="K88" i="65"/>
  <c r="J5" i="65"/>
  <c r="J87" i="65"/>
  <c r="J88" i="65" s="1"/>
  <c r="I5" i="65"/>
  <c r="J77" i="65"/>
  <c r="J79" i="65" s="1"/>
  <c r="J80" i="65" s="1"/>
  <c r="I88" i="65"/>
  <c r="H5" i="65"/>
  <c r="I77" i="65"/>
  <c r="I79" i="65" s="1"/>
  <c r="H88" i="65"/>
  <c r="G87" i="65"/>
  <c r="G77" i="65"/>
  <c r="G79" i="65" s="1"/>
  <c r="F87" i="65"/>
  <c r="AI85" i="65"/>
  <c r="F77" i="65"/>
  <c r="F79" i="65" s="1"/>
  <c r="X234" i="65" s="1"/>
  <c r="AI84" i="65"/>
  <c r="E87" i="65"/>
  <c r="E88" i="65" s="1"/>
  <c r="D5" i="65"/>
  <c r="AI60" i="65"/>
  <c r="K77" i="65"/>
  <c r="K79" i="65" s="1"/>
  <c r="K7" i="65" s="1"/>
  <c r="E77" i="65"/>
  <c r="E79" i="65" s="1"/>
  <c r="E7" i="65" s="1"/>
  <c r="H77" i="65"/>
  <c r="H79" i="65" s="1"/>
  <c r="Z234" i="65" s="1"/>
  <c r="AI42" i="65"/>
  <c r="AI83" i="65"/>
  <c r="D87" i="65"/>
  <c r="D88" i="65" s="1"/>
  <c r="D77" i="65"/>
  <c r="D79" i="65" s="1"/>
  <c r="V234" i="65" s="1"/>
  <c r="C5" i="65"/>
  <c r="AI81" i="65"/>
  <c r="AH82" i="65"/>
  <c r="C88" i="65"/>
  <c r="C77" i="65"/>
  <c r="C79" i="65" s="1"/>
  <c r="C7" i="65" s="1"/>
  <c r="AI56" i="65"/>
  <c r="AI38" i="65"/>
  <c r="AH83" i="65"/>
  <c r="H4" i="65"/>
  <c r="U7" i="65"/>
  <c r="AM234" i="65"/>
  <c r="U80" i="65"/>
  <c r="AB7" i="65"/>
  <c r="AT234" i="65"/>
  <c r="AB80" i="65"/>
  <c r="AF234" i="65"/>
  <c r="N80" i="65"/>
  <c r="N7" i="65"/>
  <c r="AV234" i="65"/>
  <c r="AD80" i="65"/>
  <c r="AD7" i="65"/>
  <c r="AC7" i="65"/>
  <c r="AU234" i="65"/>
  <c r="AC80" i="65"/>
  <c r="Y234" i="65"/>
  <c r="AG234" i="65"/>
  <c r="O80" i="65"/>
  <c r="O7" i="65"/>
  <c r="AO234" i="65"/>
  <c r="W80" i="65"/>
  <c r="W7" i="65"/>
  <c r="AW234" i="65"/>
  <c r="AE80" i="65"/>
  <c r="AE7" i="65"/>
  <c r="AG79" i="65"/>
  <c r="P80" i="65"/>
  <c r="P7" i="65"/>
  <c r="AH234" i="65"/>
  <c r="X80" i="65"/>
  <c r="X7" i="65"/>
  <c r="AP234" i="65"/>
  <c r="AF80" i="65"/>
  <c r="AF7" i="65"/>
  <c r="AX234" i="65"/>
  <c r="I80" i="65"/>
  <c r="I7" i="65"/>
  <c r="AA234" i="65"/>
  <c r="Q80" i="65"/>
  <c r="Q7" i="65"/>
  <c r="AI234" i="65"/>
  <c r="Y80" i="65"/>
  <c r="Y7" i="65"/>
  <c r="AQ234" i="65"/>
  <c r="AG77" i="65"/>
  <c r="R80" i="65"/>
  <c r="R7" i="65"/>
  <c r="AJ234" i="65"/>
  <c r="AR234" i="65"/>
  <c r="F88" i="65"/>
  <c r="N88" i="65"/>
  <c r="V88" i="65"/>
  <c r="AD88" i="65"/>
  <c r="S7" i="65"/>
  <c r="AK234" i="65"/>
  <c r="S80" i="65"/>
  <c r="AA7" i="65"/>
  <c r="AS234" i="65"/>
  <c r="AA80" i="65"/>
  <c r="G88" i="65"/>
  <c r="O88" i="65"/>
  <c r="W88" i="65"/>
  <c r="AE88" i="65"/>
  <c r="AI82" i="65"/>
  <c r="E220" i="65"/>
  <c r="D231" i="65"/>
  <c r="AH38" i="65"/>
  <c r="AH42" i="65"/>
  <c r="B77" i="65"/>
  <c r="AH84" i="65"/>
  <c r="E219" i="65"/>
  <c r="AH85" i="65"/>
  <c r="G214" i="65"/>
  <c r="AH56" i="65"/>
  <c r="AH60" i="65"/>
  <c r="AH72" i="65"/>
  <c r="AH81" i="65"/>
  <c r="B87" i="65"/>
  <c r="B88" i="65" s="1"/>
  <c r="AI72" i="65"/>
  <c r="AF87" i="64"/>
  <c r="AF77" i="64"/>
  <c r="AF79" i="64" s="1"/>
  <c r="AE87" i="64"/>
  <c r="AE88" i="64" s="1"/>
  <c r="AE77" i="64"/>
  <c r="AE79" i="64" s="1"/>
  <c r="AD87" i="64"/>
  <c r="AD77" i="64"/>
  <c r="AD79" i="64" s="1"/>
  <c r="AV234" i="64" s="1"/>
  <c r="AC87" i="64"/>
  <c r="AC88" i="64" s="1"/>
  <c r="AC77" i="64"/>
  <c r="AC79" i="64" s="1"/>
  <c r="AB88" i="64"/>
  <c r="AB77" i="64"/>
  <c r="AB79" i="64" s="1"/>
  <c r="Z5" i="64"/>
  <c r="AA87" i="64"/>
  <c r="AA88" i="64" s="1"/>
  <c r="AA77" i="64"/>
  <c r="AA79" i="64" s="1"/>
  <c r="Z87" i="64"/>
  <c r="Z88" i="64" s="1"/>
  <c r="Z77" i="64"/>
  <c r="Z79" i="64" s="1"/>
  <c r="Y87" i="64"/>
  <c r="Y88" i="64" s="1"/>
  <c r="Y77" i="64"/>
  <c r="Y79" i="64" s="1"/>
  <c r="X87" i="64"/>
  <c r="X77" i="64"/>
  <c r="X79" i="64" s="1"/>
  <c r="W87" i="64"/>
  <c r="W88" i="64" s="1"/>
  <c r="W77" i="64"/>
  <c r="W79" i="64" s="1"/>
  <c r="V87" i="64"/>
  <c r="V77" i="64"/>
  <c r="V79" i="64" s="1"/>
  <c r="U87" i="64"/>
  <c r="U88" i="64" s="1"/>
  <c r="U77" i="64"/>
  <c r="U79" i="64" s="1"/>
  <c r="T87" i="64"/>
  <c r="T88" i="64" s="1"/>
  <c r="S5" i="64"/>
  <c r="S87" i="64"/>
  <c r="S88" i="64" s="1"/>
  <c r="S77" i="64"/>
  <c r="S79" i="64" s="1"/>
  <c r="R87" i="64"/>
  <c r="R88" i="64" s="1"/>
  <c r="R77" i="64"/>
  <c r="R79" i="64" s="1"/>
  <c r="Q87" i="64"/>
  <c r="Q88" i="64" s="1"/>
  <c r="Q77" i="64"/>
  <c r="Q79" i="64" s="1"/>
  <c r="P87" i="64"/>
  <c r="P77" i="64"/>
  <c r="P79" i="64" s="1"/>
  <c r="N87" i="64"/>
  <c r="O87" i="64"/>
  <c r="O88" i="64" s="1"/>
  <c r="N77" i="64"/>
  <c r="N79" i="64" s="1"/>
  <c r="AF234" i="64" s="1"/>
  <c r="M87" i="64"/>
  <c r="M88" i="64" s="1"/>
  <c r="M77" i="64"/>
  <c r="M79" i="64" s="1"/>
  <c r="M7" i="64" s="1"/>
  <c r="L88" i="64"/>
  <c r="K5" i="64"/>
  <c r="L77" i="64"/>
  <c r="L79" i="64" s="1"/>
  <c r="L80" i="64" s="1"/>
  <c r="K87" i="64"/>
  <c r="K88" i="64"/>
  <c r="K77" i="64"/>
  <c r="K79" i="64" s="1"/>
  <c r="K80" i="64" s="1"/>
  <c r="J87" i="64"/>
  <c r="J88" i="64" s="1"/>
  <c r="I5" i="64"/>
  <c r="J77" i="64"/>
  <c r="J79" i="64" s="1"/>
  <c r="J80" i="64" s="1"/>
  <c r="I77" i="64"/>
  <c r="I79" i="64" s="1"/>
  <c r="I80" i="64" s="1"/>
  <c r="H77" i="64"/>
  <c r="H79" i="64" s="1"/>
  <c r="H80" i="64" s="1"/>
  <c r="G87" i="64"/>
  <c r="G88" i="64" s="1"/>
  <c r="G77" i="64"/>
  <c r="G79" i="64" s="1"/>
  <c r="G80" i="64" s="1"/>
  <c r="F87" i="64"/>
  <c r="F88" i="64" s="1"/>
  <c r="F77" i="64"/>
  <c r="F79" i="64" s="1"/>
  <c r="F80" i="64" s="1"/>
  <c r="AI83" i="64"/>
  <c r="AI81" i="64"/>
  <c r="E87" i="64"/>
  <c r="E88" i="64" s="1"/>
  <c r="AH82" i="64"/>
  <c r="E77" i="64"/>
  <c r="E79" i="64" s="1"/>
  <c r="W234" i="64" s="1"/>
  <c r="AI60" i="64"/>
  <c r="AI56" i="64"/>
  <c r="AI42" i="64"/>
  <c r="C87" i="64"/>
  <c r="C88" i="64" s="1"/>
  <c r="B5" i="64"/>
  <c r="D87" i="64"/>
  <c r="D88" i="64" s="1"/>
  <c r="C5" i="64"/>
  <c r="AH85" i="64"/>
  <c r="AI85" i="64"/>
  <c r="AI84" i="64"/>
  <c r="D77" i="64"/>
  <c r="D79" i="64" s="1"/>
  <c r="V234" i="64" s="1"/>
  <c r="C77" i="64"/>
  <c r="C79" i="64" s="1"/>
  <c r="C7" i="64" s="1"/>
  <c r="AH42" i="64"/>
  <c r="B77" i="64"/>
  <c r="H4" i="64"/>
  <c r="T7" i="64"/>
  <c r="T80" i="64"/>
  <c r="AL234" i="64"/>
  <c r="U7" i="64"/>
  <c r="AM234" i="64"/>
  <c r="U80" i="64"/>
  <c r="K7" i="64"/>
  <c r="AC234" i="64"/>
  <c r="S7" i="64"/>
  <c r="AK234" i="64"/>
  <c r="S80" i="64"/>
  <c r="AA7" i="64"/>
  <c r="AS234" i="64"/>
  <c r="AA80" i="64"/>
  <c r="F255" i="64"/>
  <c r="H219" i="64"/>
  <c r="AB7" i="64"/>
  <c r="AT234" i="64"/>
  <c r="AB80" i="64"/>
  <c r="AC7" i="64"/>
  <c r="AU234" i="64"/>
  <c r="AC80" i="64"/>
  <c r="AG79" i="64"/>
  <c r="AG3" i="64"/>
  <c r="AG6" i="64" s="1"/>
  <c r="X234" i="64"/>
  <c r="F7" i="64"/>
  <c r="AN234" i="64"/>
  <c r="V80" i="64"/>
  <c r="V7" i="64"/>
  <c r="AG234" i="64"/>
  <c r="O80" i="64"/>
  <c r="O7" i="64"/>
  <c r="AO234" i="64"/>
  <c r="W7" i="64"/>
  <c r="W80" i="64"/>
  <c r="AW234" i="64"/>
  <c r="AE80" i="64"/>
  <c r="AE7" i="64"/>
  <c r="P80" i="64"/>
  <c r="P7" i="64"/>
  <c r="AH234" i="64"/>
  <c r="X80" i="64"/>
  <c r="X7" i="64"/>
  <c r="AP234" i="64"/>
  <c r="AF80" i="64"/>
  <c r="AX234" i="64"/>
  <c r="AF7" i="64"/>
  <c r="Q80" i="64"/>
  <c r="Q7" i="64"/>
  <c r="AI234" i="64"/>
  <c r="Y80" i="64"/>
  <c r="Y7" i="64"/>
  <c r="AQ234" i="64"/>
  <c r="AG77" i="64"/>
  <c r="B79" i="64"/>
  <c r="R80" i="64"/>
  <c r="R7" i="64"/>
  <c r="AJ234" i="64"/>
  <c r="Z80" i="64"/>
  <c r="Z7" i="64"/>
  <c r="AR234" i="64"/>
  <c r="AI82" i="64"/>
  <c r="AH83" i="64"/>
  <c r="D231" i="64"/>
  <c r="AH38" i="64"/>
  <c r="AH84" i="64"/>
  <c r="AI38" i="64"/>
  <c r="N88" i="64"/>
  <c r="V88" i="64"/>
  <c r="AD88" i="64"/>
  <c r="E214" i="64"/>
  <c r="H88" i="64"/>
  <c r="P88" i="64"/>
  <c r="X88" i="64"/>
  <c r="AF88" i="64"/>
  <c r="AH56" i="64"/>
  <c r="AH60" i="64"/>
  <c r="AH72" i="64"/>
  <c r="AH81" i="64"/>
  <c r="B87" i="64"/>
  <c r="AI72" i="64"/>
  <c r="AF77" i="63"/>
  <c r="AF79" i="63" s="1"/>
  <c r="AE87" i="63"/>
  <c r="AC87" i="63"/>
  <c r="E219" i="63"/>
  <c r="D255" i="63" s="1"/>
  <c r="W87" i="63"/>
  <c r="Y88" i="63"/>
  <c r="B220" i="63"/>
  <c r="AE77" i="63"/>
  <c r="AE79" i="63" s="1"/>
  <c r="AW234" i="63" s="1"/>
  <c r="Q87" i="63"/>
  <c r="Q88" i="63" s="1"/>
  <c r="Y87" i="63"/>
  <c r="D98" i="63"/>
  <c r="D220" i="63"/>
  <c r="B87" i="63"/>
  <c r="V87" i="63"/>
  <c r="AF87" i="63"/>
  <c r="AF88" i="63" s="1"/>
  <c r="AD87" i="63"/>
  <c r="AC77" i="63"/>
  <c r="AC79" i="63" s="1"/>
  <c r="AD77" i="63"/>
  <c r="AD79" i="63" s="1"/>
  <c r="AB77" i="63"/>
  <c r="AB79" i="63" s="1"/>
  <c r="AB87" i="63"/>
  <c r="AB88" i="63" s="1"/>
  <c r="Z87" i="63"/>
  <c r="Z88" i="63" s="1"/>
  <c r="Y5" i="63"/>
  <c r="Z77" i="63"/>
  <c r="Z79" i="63" s="1"/>
  <c r="X5" i="63"/>
  <c r="Y77" i="63"/>
  <c r="Y79" i="63" s="1"/>
  <c r="X87" i="63"/>
  <c r="X88" i="63" s="1"/>
  <c r="X77" i="63"/>
  <c r="X79" i="63" s="1"/>
  <c r="X80" i="63" s="1"/>
  <c r="W77" i="63"/>
  <c r="W79" i="63" s="1"/>
  <c r="AO234" i="63" s="1"/>
  <c r="V77" i="63"/>
  <c r="V79" i="63" s="1"/>
  <c r="U87" i="63"/>
  <c r="U77" i="63"/>
  <c r="U79" i="63" s="1"/>
  <c r="T87" i="63"/>
  <c r="T88" i="63"/>
  <c r="T77" i="63"/>
  <c r="T79" i="63" s="1"/>
  <c r="T80" i="63" s="1"/>
  <c r="S87" i="63"/>
  <c r="S88" i="63" s="1"/>
  <c r="S77" i="63"/>
  <c r="S79" i="63" s="1"/>
  <c r="S7" i="63" s="1"/>
  <c r="R87" i="63"/>
  <c r="R88" i="63" s="1"/>
  <c r="R77" i="63"/>
  <c r="R79" i="63" s="1"/>
  <c r="Q77" i="63"/>
  <c r="Q79" i="63" s="1"/>
  <c r="P87" i="63"/>
  <c r="P88" i="63" s="1"/>
  <c r="P77" i="63"/>
  <c r="P79" i="63" s="1"/>
  <c r="P80" i="63" s="1"/>
  <c r="O87" i="63"/>
  <c r="O77" i="63"/>
  <c r="O79" i="63" s="1"/>
  <c r="N87" i="63"/>
  <c r="N77" i="63"/>
  <c r="N79" i="63" s="1"/>
  <c r="N80" i="63" s="1"/>
  <c r="L77" i="63"/>
  <c r="L79" i="63" s="1"/>
  <c r="L7" i="63" s="1"/>
  <c r="M87" i="63"/>
  <c r="M88" i="63" s="1"/>
  <c r="M77" i="63"/>
  <c r="M79" i="63" s="1"/>
  <c r="AE234" i="63" s="1"/>
  <c r="L87" i="63"/>
  <c r="L88" i="63" s="1"/>
  <c r="K87" i="63"/>
  <c r="K88" i="63" s="1"/>
  <c r="K77" i="63"/>
  <c r="K79" i="63" s="1"/>
  <c r="K7" i="63" s="1"/>
  <c r="J87" i="63"/>
  <c r="J88" i="63" s="1"/>
  <c r="J77" i="63"/>
  <c r="J79" i="63" s="1"/>
  <c r="J7" i="63" s="1"/>
  <c r="I87" i="63"/>
  <c r="I88" i="63" s="1"/>
  <c r="I77" i="63"/>
  <c r="I79" i="63" s="1"/>
  <c r="I80" i="63" s="1"/>
  <c r="H87" i="63"/>
  <c r="H88" i="63" s="1"/>
  <c r="H77" i="63"/>
  <c r="H79" i="63" s="1"/>
  <c r="H7" i="63" s="1"/>
  <c r="G87" i="63"/>
  <c r="AH85" i="63"/>
  <c r="G77" i="63"/>
  <c r="G79" i="63" s="1"/>
  <c r="F87" i="63"/>
  <c r="F77" i="63"/>
  <c r="F79" i="63" s="1"/>
  <c r="X234" i="63" s="1"/>
  <c r="E87" i="63"/>
  <c r="E88" i="63" s="1"/>
  <c r="E77" i="63"/>
  <c r="E79" i="63" s="1"/>
  <c r="E7" i="63" s="1"/>
  <c r="D87" i="63"/>
  <c r="AI84" i="63"/>
  <c r="D88" i="63"/>
  <c r="D77" i="63"/>
  <c r="D79" i="63" s="1"/>
  <c r="D7" i="63" s="1"/>
  <c r="AH82" i="63"/>
  <c r="AI83" i="63"/>
  <c r="C87" i="63"/>
  <c r="C88" i="63" s="1"/>
  <c r="B5" i="63"/>
  <c r="AI85" i="63"/>
  <c r="AI60" i="63"/>
  <c r="C77" i="63"/>
  <c r="C79" i="63" s="1"/>
  <c r="C7" i="63" s="1"/>
  <c r="AI56" i="63"/>
  <c r="AI42" i="63"/>
  <c r="B88" i="63"/>
  <c r="AF5" i="63"/>
  <c r="B77" i="63"/>
  <c r="B79" i="63" s="1"/>
  <c r="B80" i="63" s="1"/>
  <c r="AH84" i="63"/>
  <c r="AI81" i="63"/>
  <c r="S231" i="63"/>
  <c r="H4" i="63"/>
  <c r="AF234" i="63"/>
  <c r="L80" i="63"/>
  <c r="T7" i="63"/>
  <c r="AL234" i="63"/>
  <c r="AB7" i="63"/>
  <c r="AT234" i="63"/>
  <c r="AB80" i="63"/>
  <c r="AG234" i="63"/>
  <c r="O7" i="63"/>
  <c r="O80" i="63"/>
  <c r="AG79" i="63"/>
  <c r="H80" i="63"/>
  <c r="AH234" i="63"/>
  <c r="AF7" i="63"/>
  <c r="AX234" i="63"/>
  <c r="AC7" i="63"/>
  <c r="AU234" i="63"/>
  <c r="AC80" i="63"/>
  <c r="Q80" i="63"/>
  <c r="AI234" i="63"/>
  <c r="Q7" i="63"/>
  <c r="Y80" i="63"/>
  <c r="Y7" i="63"/>
  <c r="AQ234" i="63"/>
  <c r="AG77" i="63"/>
  <c r="U7" i="63"/>
  <c r="AM234" i="63"/>
  <c r="U80" i="63"/>
  <c r="AN234" i="63"/>
  <c r="V80" i="63"/>
  <c r="V7" i="63"/>
  <c r="R80" i="63"/>
  <c r="R7" i="63"/>
  <c r="AJ234" i="63"/>
  <c r="Z7" i="63"/>
  <c r="AR234" i="63"/>
  <c r="F88" i="63"/>
  <c r="N88" i="63"/>
  <c r="V88" i="63"/>
  <c r="AD88" i="63"/>
  <c r="AV234" i="63"/>
  <c r="AD80" i="63"/>
  <c r="AD7" i="63"/>
  <c r="AA7" i="63"/>
  <c r="AS234" i="63"/>
  <c r="G88" i="63"/>
  <c r="O88" i="63"/>
  <c r="W88" i="63"/>
  <c r="AE88" i="63"/>
  <c r="AI82" i="63"/>
  <c r="AH83" i="63"/>
  <c r="AH42" i="63"/>
  <c r="AI38" i="63"/>
  <c r="U88" i="63"/>
  <c r="AC88" i="63"/>
  <c r="F219" i="63"/>
  <c r="E214" i="63"/>
  <c r="AH38" i="63"/>
  <c r="AH56" i="63"/>
  <c r="AH60" i="63"/>
  <c r="AH72" i="63"/>
  <c r="AH81" i="63"/>
  <c r="AI72" i="63"/>
  <c r="V7" i="65" l="1"/>
  <c r="V80" i="65"/>
  <c r="Z7" i="65"/>
  <c r="T80" i="65"/>
  <c r="AL234" i="65"/>
  <c r="AE234" i="65"/>
  <c r="M7" i="65"/>
  <c r="AD234" i="65"/>
  <c r="L80" i="65"/>
  <c r="K80" i="65"/>
  <c r="AC234" i="65"/>
  <c r="AB234" i="65"/>
  <c r="J7" i="65"/>
  <c r="H7" i="65"/>
  <c r="H80" i="65"/>
  <c r="C229" i="65"/>
  <c r="G7" i="65"/>
  <c r="G80" i="65"/>
  <c r="B229" i="65"/>
  <c r="D7" i="65"/>
  <c r="F7" i="65"/>
  <c r="F80" i="65"/>
  <c r="AD7" i="64"/>
  <c r="AD80" i="64"/>
  <c r="E80" i="65"/>
  <c r="W234" i="65"/>
  <c r="D80" i="65"/>
  <c r="C80" i="65"/>
  <c r="U234" i="65"/>
  <c r="H214" i="65"/>
  <c r="AI88" i="65"/>
  <c r="AH88" i="65"/>
  <c r="AI87" i="65"/>
  <c r="AH87" i="65"/>
  <c r="D255" i="65"/>
  <c r="F219" i="65"/>
  <c r="E98" i="65"/>
  <c r="B79" i="65"/>
  <c r="AI77" i="65"/>
  <c r="AH77" i="65"/>
  <c r="N7" i="64"/>
  <c r="N80" i="64"/>
  <c r="P7" i="63"/>
  <c r="F80" i="63"/>
  <c r="N7" i="63"/>
  <c r="AB234" i="63"/>
  <c r="J80" i="63"/>
  <c r="W7" i="63"/>
  <c r="AD234" i="63"/>
  <c r="E80" i="63"/>
  <c r="F7" i="63"/>
  <c r="AP234" i="63"/>
  <c r="X7" i="63"/>
  <c r="D7" i="64"/>
  <c r="H7" i="64"/>
  <c r="Y234" i="64"/>
  <c r="G7" i="64"/>
  <c r="Z234" i="64"/>
  <c r="M80" i="64"/>
  <c r="AE234" i="64"/>
  <c r="AD234" i="64"/>
  <c r="L7" i="64"/>
  <c r="AB234" i="64"/>
  <c r="J7" i="64"/>
  <c r="B229" i="64"/>
  <c r="I7" i="64"/>
  <c r="AA234" i="64"/>
  <c r="C229" i="64"/>
  <c r="E7" i="64"/>
  <c r="E80" i="64"/>
  <c r="D80" i="64"/>
  <c r="AH77" i="64"/>
  <c r="U234" i="64"/>
  <c r="AI77" i="64"/>
  <c r="C80" i="64"/>
  <c r="B80" i="64"/>
  <c r="AI79" i="64"/>
  <c r="AH79" i="64"/>
  <c r="T234" i="64"/>
  <c r="B7" i="64"/>
  <c r="G255" i="64"/>
  <c r="I219" i="64"/>
  <c r="AI87" i="64"/>
  <c r="AH87" i="64"/>
  <c r="B88" i="64"/>
  <c r="E98" i="64"/>
  <c r="F214" i="64"/>
  <c r="E220" i="64"/>
  <c r="AF80" i="63"/>
  <c r="AE7" i="63"/>
  <c r="AE80" i="63"/>
  <c r="Z80" i="63"/>
  <c r="W80" i="63"/>
  <c r="W234" i="63"/>
  <c r="S80" i="63"/>
  <c r="AK234" i="63"/>
  <c r="M7" i="63"/>
  <c r="C229" i="63"/>
  <c r="M80" i="63"/>
  <c r="K80" i="63"/>
  <c r="AC234" i="63"/>
  <c r="B229" i="63"/>
  <c r="AA234" i="63"/>
  <c r="I7" i="63"/>
  <c r="Z234" i="63"/>
  <c r="Y234" i="63"/>
  <c r="G7" i="63"/>
  <c r="G80" i="63"/>
  <c r="V234" i="63"/>
  <c r="D80" i="63"/>
  <c r="AH77" i="63"/>
  <c r="C80" i="63"/>
  <c r="U234" i="63"/>
  <c r="AI77" i="63"/>
  <c r="AI79" i="63"/>
  <c r="AH79" i="63"/>
  <c r="B7" i="63"/>
  <c r="T234" i="63"/>
  <c r="E98" i="63"/>
  <c r="F214" i="63"/>
  <c r="E220" i="63"/>
  <c r="E255" i="63"/>
  <c r="G219" i="63"/>
  <c r="AI87" i="63"/>
  <c r="AH87" i="63"/>
  <c r="G37" i="62"/>
  <c r="F37" i="62"/>
  <c r="E37" i="62"/>
  <c r="D37" i="62"/>
  <c r="AI37" i="62"/>
  <c r="C37" i="62"/>
  <c r="AF259" i="62"/>
  <c r="AE259" i="62"/>
  <c r="AD259" i="62"/>
  <c r="AC259" i="62"/>
  <c r="AB259" i="62"/>
  <c r="AA259" i="62"/>
  <c r="Z259" i="62"/>
  <c r="Y259" i="62"/>
  <c r="X259" i="62"/>
  <c r="W259" i="62"/>
  <c r="V259" i="62"/>
  <c r="U259" i="62"/>
  <c r="T259" i="62"/>
  <c r="S259" i="62"/>
  <c r="R259" i="62"/>
  <c r="Q259" i="62"/>
  <c r="P259" i="62"/>
  <c r="O259" i="62"/>
  <c r="N259" i="62"/>
  <c r="M259" i="62"/>
  <c r="L259" i="62"/>
  <c r="K259" i="62"/>
  <c r="J259" i="62"/>
  <c r="I259" i="62"/>
  <c r="H259" i="62"/>
  <c r="G259" i="62"/>
  <c r="F259" i="62"/>
  <c r="E259" i="62"/>
  <c r="D259" i="62"/>
  <c r="C259" i="62"/>
  <c r="B259" i="62"/>
  <c r="A259" i="62"/>
  <c r="AF258" i="62"/>
  <c r="AE258" i="62"/>
  <c r="AD258" i="62"/>
  <c r="AC258" i="62"/>
  <c r="AB258" i="62"/>
  <c r="AA258" i="62"/>
  <c r="Z258" i="62"/>
  <c r="Y258" i="62"/>
  <c r="X258" i="62"/>
  <c r="W258" i="62"/>
  <c r="V258" i="62"/>
  <c r="U258" i="62"/>
  <c r="T258" i="62"/>
  <c r="S258" i="62"/>
  <c r="R258" i="62"/>
  <c r="Q258" i="62"/>
  <c r="P258" i="62"/>
  <c r="O258" i="62"/>
  <c r="N258" i="62"/>
  <c r="M258" i="62"/>
  <c r="L258" i="62"/>
  <c r="K258" i="62"/>
  <c r="J258" i="62"/>
  <c r="I258" i="62"/>
  <c r="H258" i="62"/>
  <c r="G258" i="62"/>
  <c r="F258" i="62"/>
  <c r="E258" i="62"/>
  <c r="D258" i="62"/>
  <c r="C258" i="62"/>
  <c r="B258" i="62"/>
  <c r="A258" i="62"/>
  <c r="AF257" i="62"/>
  <c r="AE257" i="62"/>
  <c r="AD257" i="62"/>
  <c r="AC257" i="62"/>
  <c r="AB257" i="62"/>
  <c r="AA257" i="62"/>
  <c r="Z257" i="62"/>
  <c r="Y257" i="62"/>
  <c r="X257" i="62"/>
  <c r="W257" i="62"/>
  <c r="V257" i="62"/>
  <c r="U257" i="62"/>
  <c r="T257" i="62"/>
  <c r="S257" i="62"/>
  <c r="R257" i="62"/>
  <c r="Q257" i="62"/>
  <c r="P257" i="62"/>
  <c r="O257" i="62"/>
  <c r="N257" i="62"/>
  <c r="M257" i="62"/>
  <c r="L257" i="62"/>
  <c r="K257" i="62"/>
  <c r="J257" i="62"/>
  <c r="I257" i="62"/>
  <c r="H257" i="62"/>
  <c r="G257" i="62"/>
  <c r="F257" i="62"/>
  <c r="E257" i="62"/>
  <c r="D257" i="62"/>
  <c r="C257" i="62"/>
  <c r="B257" i="62"/>
  <c r="A257" i="62"/>
  <c r="AF256" i="62"/>
  <c r="AE256" i="62"/>
  <c r="AD256" i="62"/>
  <c r="AC256" i="62"/>
  <c r="AB256" i="62"/>
  <c r="AA256" i="62"/>
  <c r="Z256" i="62"/>
  <c r="Y256" i="62"/>
  <c r="X256" i="62"/>
  <c r="W256" i="62"/>
  <c r="V256" i="62"/>
  <c r="U256" i="62"/>
  <c r="T256" i="62"/>
  <c r="S256" i="62"/>
  <c r="R256" i="62"/>
  <c r="Q256" i="62"/>
  <c r="P256" i="62"/>
  <c r="O256" i="62"/>
  <c r="N256" i="62"/>
  <c r="M256" i="62"/>
  <c r="L256" i="62"/>
  <c r="K256" i="62"/>
  <c r="J256" i="62"/>
  <c r="I256" i="62"/>
  <c r="H256" i="62"/>
  <c r="G256" i="62"/>
  <c r="F256" i="62"/>
  <c r="E256" i="62"/>
  <c r="D256" i="62"/>
  <c r="C256" i="62"/>
  <c r="B256" i="62"/>
  <c r="A256" i="62"/>
  <c r="AE255" i="62"/>
  <c r="AD255" i="62"/>
  <c r="AC255" i="62"/>
  <c r="AB255" i="62"/>
  <c r="AA255" i="62"/>
  <c r="Z255" i="62"/>
  <c r="Y255" i="62"/>
  <c r="X255" i="62"/>
  <c r="W255" i="62"/>
  <c r="V255" i="62"/>
  <c r="U255" i="62"/>
  <c r="T255" i="62"/>
  <c r="S255" i="62"/>
  <c r="R255" i="62"/>
  <c r="Q255" i="62"/>
  <c r="P255" i="62"/>
  <c r="D255" i="62"/>
  <c r="C255" i="62"/>
  <c r="B255" i="62"/>
  <c r="S230" i="62"/>
  <c r="AG220" i="62"/>
  <c r="AF220" i="62"/>
  <c r="AE220" i="62"/>
  <c r="AD220" i="62"/>
  <c r="AC220" i="62"/>
  <c r="AB220" i="62"/>
  <c r="AA220" i="62"/>
  <c r="Z220" i="62"/>
  <c r="Y220" i="62"/>
  <c r="X220" i="62"/>
  <c r="W220" i="62"/>
  <c r="V220" i="62"/>
  <c r="U220" i="62"/>
  <c r="T220" i="62"/>
  <c r="S220" i="62"/>
  <c r="R220" i="62"/>
  <c r="Q220" i="62"/>
  <c r="C220" i="62"/>
  <c r="F219" i="62"/>
  <c r="E219" i="62"/>
  <c r="D219" i="62"/>
  <c r="B219" i="62"/>
  <c r="AF255" i="62" s="1"/>
  <c r="L218" i="62"/>
  <c r="M218" i="62" s="1"/>
  <c r="N218" i="62" s="1"/>
  <c r="O218" i="62" s="1"/>
  <c r="P218" i="62" s="1"/>
  <c r="D218" i="62"/>
  <c r="E218" i="62" s="1"/>
  <c r="F218" i="62" s="1"/>
  <c r="G218" i="62" s="1"/>
  <c r="H218" i="62" s="1"/>
  <c r="I218" i="62" s="1"/>
  <c r="J218" i="62" s="1"/>
  <c r="K218" i="62" s="1"/>
  <c r="B218" i="62"/>
  <c r="J217" i="62"/>
  <c r="K217" i="62" s="1"/>
  <c r="L217" i="62" s="1"/>
  <c r="M217" i="62" s="1"/>
  <c r="N217" i="62" s="1"/>
  <c r="O217" i="62" s="1"/>
  <c r="P217" i="62" s="1"/>
  <c r="D217" i="62"/>
  <c r="E217" i="62" s="1"/>
  <c r="F217" i="62" s="1"/>
  <c r="G217" i="62" s="1"/>
  <c r="H217" i="62" s="1"/>
  <c r="I217" i="62" s="1"/>
  <c r="B217" i="62"/>
  <c r="H216" i="62"/>
  <c r="I216" i="62" s="1"/>
  <c r="J216" i="62" s="1"/>
  <c r="K216" i="62" s="1"/>
  <c r="L216" i="62" s="1"/>
  <c r="M216" i="62" s="1"/>
  <c r="N216" i="62" s="1"/>
  <c r="O216" i="62" s="1"/>
  <c r="P216" i="62" s="1"/>
  <c r="G216" i="62"/>
  <c r="F216" i="62"/>
  <c r="E216" i="62"/>
  <c r="D216" i="62"/>
  <c r="B216" i="62"/>
  <c r="F215" i="62"/>
  <c r="G215" i="62" s="1"/>
  <c r="H215" i="62" s="1"/>
  <c r="I215" i="62" s="1"/>
  <c r="J215" i="62" s="1"/>
  <c r="K215" i="62" s="1"/>
  <c r="L215" i="62" s="1"/>
  <c r="M215" i="62" s="1"/>
  <c r="N215" i="62" s="1"/>
  <c r="O215" i="62" s="1"/>
  <c r="P215" i="62" s="1"/>
  <c r="E215" i="62"/>
  <c r="D215" i="62"/>
  <c r="B215" i="62"/>
  <c r="E214" i="62"/>
  <c r="D214" i="62"/>
  <c r="B214" i="62"/>
  <c r="B220" i="62" s="1"/>
  <c r="AG212" i="62"/>
  <c r="AF212" i="62"/>
  <c r="AE212" i="62"/>
  <c r="AD212" i="62"/>
  <c r="AC212" i="62"/>
  <c r="AB212" i="62"/>
  <c r="AA212" i="62"/>
  <c r="Z212" i="62"/>
  <c r="Y212" i="62"/>
  <c r="X212" i="62"/>
  <c r="W212" i="62"/>
  <c r="V212" i="62"/>
  <c r="U212" i="62"/>
  <c r="T212" i="62"/>
  <c r="S212" i="62"/>
  <c r="R212" i="62"/>
  <c r="Q212" i="62"/>
  <c r="P212" i="62"/>
  <c r="O212" i="62"/>
  <c r="N212" i="62"/>
  <c r="M212" i="62"/>
  <c r="L212" i="62"/>
  <c r="K212" i="62"/>
  <c r="J212" i="62"/>
  <c r="I212" i="62"/>
  <c r="H212" i="62"/>
  <c r="G212" i="62"/>
  <c r="F212" i="62"/>
  <c r="E212" i="62"/>
  <c r="D212" i="62"/>
  <c r="C212" i="62"/>
  <c r="B212" i="62"/>
  <c r="AH105" i="62"/>
  <c r="AI105" i="62" s="1"/>
  <c r="AH104" i="62"/>
  <c r="AI104" i="62" s="1"/>
  <c r="AH103" i="62"/>
  <c r="AI103" i="62" s="1"/>
  <c r="AH102" i="62"/>
  <c r="AI102" i="62" s="1"/>
  <c r="AH101" i="62"/>
  <c r="AI101" i="62" s="1"/>
  <c r="AH100" i="62"/>
  <c r="AI100" i="62" s="1"/>
  <c r="AH99" i="62"/>
  <c r="AI99" i="62" s="1"/>
  <c r="AF98" i="62"/>
  <c r="AE98" i="62"/>
  <c r="AD98" i="62"/>
  <c r="AC98" i="62"/>
  <c r="AB98" i="62"/>
  <c r="AA98" i="62"/>
  <c r="Z98" i="62"/>
  <c r="Y98" i="62"/>
  <c r="X98" i="62"/>
  <c r="W98" i="62"/>
  <c r="V98" i="62"/>
  <c r="U98" i="62"/>
  <c r="T98" i="62"/>
  <c r="S98" i="62"/>
  <c r="R98" i="62"/>
  <c r="Q98" i="62"/>
  <c r="C98" i="62"/>
  <c r="AI97" i="62"/>
  <c r="AH97" i="62"/>
  <c r="AI96" i="62"/>
  <c r="AH96" i="62"/>
  <c r="AI95" i="62"/>
  <c r="AH95" i="62"/>
  <c r="AI94" i="62"/>
  <c r="AH94" i="62"/>
  <c r="AI93" i="62"/>
  <c r="AH93" i="62"/>
  <c r="AI92" i="62"/>
  <c r="AH92" i="62"/>
  <c r="AI91" i="62"/>
  <c r="AH91" i="62"/>
  <c r="AI90" i="62"/>
  <c r="AH90" i="62"/>
  <c r="AI89" i="62"/>
  <c r="AH89" i="62"/>
  <c r="O87" i="62"/>
  <c r="AI86" i="62"/>
  <c r="AH86" i="62"/>
  <c r="AF85" i="62"/>
  <c r="AE85" i="62"/>
  <c r="AD85" i="62"/>
  <c r="AC85" i="62"/>
  <c r="AB85" i="62"/>
  <c r="AA85" i="62"/>
  <c r="Z85" i="62"/>
  <c r="Y85" i="62"/>
  <c r="X85" i="62"/>
  <c r="W85" i="62"/>
  <c r="V85" i="62"/>
  <c r="U85" i="62"/>
  <c r="T85" i="62"/>
  <c r="S85" i="62"/>
  <c r="R85" i="62"/>
  <c r="Q85" i="62"/>
  <c r="P85" i="62"/>
  <c r="O85" i="62"/>
  <c r="N85" i="62"/>
  <c r="M85" i="62"/>
  <c r="L85" i="62"/>
  <c r="K85" i="62"/>
  <c r="J85" i="62"/>
  <c r="I85" i="62"/>
  <c r="H85" i="62"/>
  <c r="G85" i="62"/>
  <c r="F85" i="62"/>
  <c r="E85" i="62"/>
  <c r="D85" i="62"/>
  <c r="C85" i="62"/>
  <c r="AF84" i="62"/>
  <c r="AF87" i="62" s="1"/>
  <c r="AE84" i="62"/>
  <c r="AD84" i="62"/>
  <c r="AC84" i="62"/>
  <c r="AB84" i="62"/>
  <c r="AA84" i="62"/>
  <c r="Z84" i="62"/>
  <c r="Y84" i="62"/>
  <c r="X84" i="62"/>
  <c r="X87" i="62" s="1"/>
  <c r="W84" i="62"/>
  <c r="V84" i="62"/>
  <c r="U84" i="62"/>
  <c r="T84" i="62"/>
  <c r="S84" i="62"/>
  <c r="R84" i="62"/>
  <c r="Q84" i="62"/>
  <c r="P84" i="62"/>
  <c r="O84" i="62"/>
  <c r="N84" i="62"/>
  <c r="M84" i="62"/>
  <c r="L84" i="62"/>
  <c r="K84" i="62"/>
  <c r="J84" i="62"/>
  <c r="I84" i="62"/>
  <c r="H84" i="62"/>
  <c r="G84" i="62"/>
  <c r="F84" i="62"/>
  <c r="E84" i="62"/>
  <c r="D84" i="62"/>
  <c r="C84" i="62"/>
  <c r="AF83" i="62"/>
  <c r="AE83" i="62"/>
  <c r="AD83" i="62"/>
  <c r="AC83" i="62"/>
  <c r="AB83" i="62"/>
  <c r="AA83" i="62"/>
  <c r="Z83" i="62"/>
  <c r="Y83" i="62"/>
  <c r="X83" i="62"/>
  <c r="W83" i="62"/>
  <c r="V83" i="62"/>
  <c r="U83" i="62"/>
  <c r="T83" i="62"/>
  <c r="S83" i="62"/>
  <c r="R83" i="62"/>
  <c r="Q83" i="62"/>
  <c r="P83" i="62"/>
  <c r="O83" i="62"/>
  <c r="N83" i="62"/>
  <c r="M83" i="62"/>
  <c r="L83" i="62"/>
  <c r="K83" i="62"/>
  <c r="J83" i="62"/>
  <c r="I83" i="62"/>
  <c r="H83" i="62"/>
  <c r="G83" i="62"/>
  <c r="F83" i="62"/>
  <c r="E83" i="62"/>
  <c r="D83" i="62"/>
  <c r="C83" i="62"/>
  <c r="AF82" i="62"/>
  <c r="AE82" i="62"/>
  <c r="AD82" i="62"/>
  <c r="AC82" i="62"/>
  <c r="AB82" i="62"/>
  <c r="AA82" i="62"/>
  <c r="Z82" i="62"/>
  <c r="Y82" i="62"/>
  <c r="X82" i="62"/>
  <c r="W82" i="62"/>
  <c r="V82" i="62"/>
  <c r="U82" i="62"/>
  <c r="T82" i="62"/>
  <c r="S82" i="62"/>
  <c r="R82" i="62"/>
  <c r="Q82" i="62"/>
  <c r="P82" i="62"/>
  <c r="O82" i="62"/>
  <c r="N82" i="62"/>
  <c r="M82" i="62"/>
  <c r="L82" i="62"/>
  <c r="K82" i="62"/>
  <c r="J82" i="62"/>
  <c r="I82" i="62"/>
  <c r="H82" i="62"/>
  <c r="G82" i="62"/>
  <c r="F82" i="62"/>
  <c r="E82" i="62"/>
  <c r="D82" i="62"/>
  <c r="C82" i="62"/>
  <c r="AF81" i="62"/>
  <c r="AE81" i="62"/>
  <c r="AD81" i="62"/>
  <c r="AC81" i="62"/>
  <c r="AB81" i="62"/>
  <c r="AA81" i="62"/>
  <c r="Z81" i="62"/>
  <c r="Y81" i="62"/>
  <c r="X81" i="62"/>
  <c r="W81" i="62"/>
  <c r="W87" i="62" s="1"/>
  <c r="V81" i="62"/>
  <c r="V87" i="62" s="1"/>
  <c r="U81" i="62"/>
  <c r="T81" i="62"/>
  <c r="S81" i="62"/>
  <c r="R81" i="62"/>
  <c r="Q81" i="62"/>
  <c r="P81" i="62"/>
  <c r="O81" i="62"/>
  <c r="N81" i="62"/>
  <c r="M81" i="62"/>
  <c r="L81" i="62"/>
  <c r="K81" i="62"/>
  <c r="J81" i="62"/>
  <c r="I81" i="62"/>
  <c r="H81" i="62"/>
  <c r="G81" i="62"/>
  <c r="F81" i="62"/>
  <c r="F87" i="62" s="1"/>
  <c r="E81" i="62"/>
  <c r="D81" i="62"/>
  <c r="C81" i="62"/>
  <c r="AI78" i="62"/>
  <c r="AH78" i="62"/>
  <c r="AI76" i="62"/>
  <c r="AH76" i="62"/>
  <c r="AG76" i="62"/>
  <c r="AI75" i="62"/>
  <c r="AH75" i="62"/>
  <c r="AI74" i="62"/>
  <c r="AH74" i="62"/>
  <c r="AI73" i="62"/>
  <c r="AH73" i="62"/>
  <c r="AG72" i="62"/>
  <c r="AF72" i="62"/>
  <c r="AE5" i="62" s="1"/>
  <c r="AE72" i="62"/>
  <c r="AD72" i="62"/>
  <c r="AC5" i="62" s="1"/>
  <c r="AC72" i="62"/>
  <c r="AB5" i="62" s="1"/>
  <c r="AB72" i="62"/>
  <c r="AA72" i="62"/>
  <c r="Z5" i="62" s="1"/>
  <c r="Z72" i="62"/>
  <c r="Y5" i="62" s="1"/>
  <c r="Y72" i="62"/>
  <c r="X5" i="62" s="1"/>
  <c r="W5" i="62"/>
  <c r="W72" i="62"/>
  <c r="V72" i="62"/>
  <c r="U5" i="62" s="1"/>
  <c r="U72" i="62"/>
  <c r="T5" i="62" s="1"/>
  <c r="T72" i="62"/>
  <c r="S5" i="62" s="1"/>
  <c r="S72" i="62"/>
  <c r="R5" i="62" s="1"/>
  <c r="R72" i="62"/>
  <c r="Q5" i="62" s="1"/>
  <c r="Q72" i="62"/>
  <c r="P5" i="62" s="1"/>
  <c r="P72" i="62"/>
  <c r="O5" i="62" s="1"/>
  <c r="O72" i="62"/>
  <c r="N72" i="62"/>
  <c r="M5" i="62" s="1"/>
  <c r="M72" i="62"/>
  <c r="L5" i="62" s="1"/>
  <c r="L72" i="62"/>
  <c r="K5" i="62" s="1"/>
  <c r="K72" i="62"/>
  <c r="J5" i="62" s="1"/>
  <c r="J72" i="62"/>
  <c r="I5" i="62" s="1"/>
  <c r="I72" i="62"/>
  <c r="H5" i="62" s="1"/>
  <c r="H72" i="62"/>
  <c r="G5" i="62" s="1"/>
  <c r="G72" i="62"/>
  <c r="F72" i="62"/>
  <c r="E5" i="62" s="1"/>
  <c r="E72" i="62"/>
  <c r="D5" i="62" s="1"/>
  <c r="D72" i="62"/>
  <c r="C5" i="62" s="1"/>
  <c r="C72" i="62"/>
  <c r="AI71" i="62"/>
  <c r="AH71" i="62"/>
  <c r="AI70" i="62"/>
  <c r="AH70" i="62"/>
  <c r="AI69" i="62"/>
  <c r="AH69" i="62"/>
  <c r="AI68" i="62"/>
  <c r="AH68" i="62"/>
  <c r="AI67" i="62"/>
  <c r="AH67" i="62"/>
  <c r="AI66" i="62"/>
  <c r="AH66" i="62"/>
  <c r="AI65" i="62"/>
  <c r="AH65" i="62"/>
  <c r="AI64" i="62"/>
  <c r="AH64" i="62"/>
  <c r="AI63" i="62"/>
  <c r="AH63" i="62"/>
  <c r="AI62" i="62"/>
  <c r="AH62" i="62"/>
  <c r="AI61" i="62"/>
  <c r="AH61" i="62"/>
  <c r="AG60" i="62"/>
  <c r="AF60" i="62"/>
  <c r="AE60" i="62"/>
  <c r="AD60" i="62"/>
  <c r="AC60" i="62"/>
  <c r="AB60" i="62"/>
  <c r="AA60" i="62"/>
  <c r="Z60" i="62"/>
  <c r="Y60" i="62"/>
  <c r="X60" i="62"/>
  <c r="W60" i="62"/>
  <c r="V60" i="62"/>
  <c r="U60" i="62"/>
  <c r="T60" i="62"/>
  <c r="S60" i="62"/>
  <c r="R60" i="62"/>
  <c r="Q60" i="62"/>
  <c r="P60" i="62"/>
  <c r="O60" i="62"/>
  <c r="N60" i="62"/>
  <c r="M60" i="62"/>
  <c r="L60" i="62"/>
  <c r="K60" i="62"/>
  <c r="J60" i="62"/>
  <c r="I60" i="62"/>
  <c r="H60" i="62"/>
  <c r="G60" i="62"/>
  <c r="F60" i="62"/>
  <c r="E60" i="62"/>
  <c r="D60" i="62"/>
  <c r="C60" i="62"/>
  <c r="AI59" i="62"/>
  <c r="AH59" i="62"/>
  <c r="AI58" i="62"/>
  <c r="AH58" i="62"/>
  <c r="AI57" i="62"/>
  <c r="AH57" i="62"/>
  <c r="AF56" i="62"/>
  <c r="AE56" i="62"/>
  <c r="AD56" i="62"/>
  <c r="AC56" i="62"/>
  <c r="AB56" i="62"/>
  <c r="AA56" i="62"/>
  <c r="Z56" i="62"/>
  <c r="Y56" i="62"/>
  <c r="X56" i="62"/>
  <c r="W56" i="62"/>
  <c r="V56" i="62"/>
  <c r="U56" i="62"/>
  <c r="T56" i="62"/>
  <c r="S56" i="62"/>
  <c r="R56" i="62"/>
  <c r="Q56" i="62"/>
  <c r="P56" i="62"/>
  <c r="O56" i="62"/>
  <c r="N56" i="62"/>
  <c r="M56" i="62"/>
  <c r="L56" i="62"/>
  <c r="K56" i="62"/>
  <c r="J56" i="62"/>
  <c r="I56" i="62"/>
  <c r="H56" i="62"/>
  <c r="G56" i="62"/>
  <c r="F56" i="62"/>
  <c r="E56" i="62"/>
  <c r="D56" i="62"/>
  <c r="C56" i="62"/>
  <c r="AI55" i="62"/>
  <c r="AH55" i="62"/>
  <c r="AG55" i="62"/>
  <c r="AG56" i="62" s="1"/>
  <c r="AI54" i="62"/>
  <c r="AH54" i="62"/>
  <c r="AI53" i="62"/>
  <c r="AH53" i="62"/>
  <c r="AI52" i="62"/>
  <c r="AH52" i="62"/>
  <c r="AI51" i="62"/>
  <c r="AH51" i="62"/>
  <c r="AI50" i="62"/>
  <c r="AH50" i="62"/>
  <c r="AI49" i="62"/>
  <c r="AH49" i="62"/>
  <c r="AI48" i="62"/>
  <c r="AH48" i="62"/>
  <c r="AI47" i="62"/>
  <c r="AH47" i="62"/>
  <c r="AI46" i="62"/>
  <c r="AH46" i="62"/>
  <c r="AI45" i="62"/>
  <c r="AH45" i="62"/>
  <c r="AI44" i="62"/>
  <c r="AH44" i="62"/>
  <c r="AI43" i="62"/>
  <c r="AH43" i="62"/>
  <c r="AG42" i="62"/>
  <c r="AF42" i="62"/>
  <c r="AE42" i="62"/>
  <c r="AD42" i="62"/>
  <c r="AC42" i="62"/>
  <c r="AB42" i="62"/>
  <c r="AA42" i="62"/>
  <c r="Z42" i="62"/>
  <c r="Y42" i="62"/>
  <c r="X42" i="62"/>
  <c r="W42" i="62"/>
  <c r="V42" i="62"/>
  <c r="U42" i="62"/>
  <c r="T42" i="62"/>
  <c r="S42" i="62"/>
  <c r="R42" i="62"/>
  <c r="Q42" i="62"/>
  <c r="P42" i="62"/>
  <c r="O42" i="62"/>
  <c r="N42" i="62"/>
  <c r="M42" i="62"/>
  <c r="L42" i="62"/>
  <c r="K42" i="62"/>
  <c r="J42" i="62"/>
  <c r="I42" i="62"/>
  <c r="H42" i="62"/>
  <c r="G42" i="62"/>
  <c r="F42" i="62"/>
  <c r="E42" i="62"/>
  <c r="D42" i="62"/>
  <c r="C42" i="62"/>
  <c r="AI41" i="62"/>
  <c r="AH41" i="62"/>
  <c r="AI40" i="62"/>
  <c r="AH40" i="62"/>
  <c r="AI39" i="62"/>
  <c r="AH39" i="62"/>
  <c r="AG38" i="62"/>
  <c r="AF38" i="62"/>
  <c r="AE38" i="62"/>
  <c r="AD38" i="62"/>
  <c r="AC38" i="62"/>
  <c r="AB38" i="62"/>
  <c r="AA38" i="62"/>
  <c r="Z38" i="62"/>
  <c r="Y38" i="62"/>
  <c r="X38" i="62"/>
  <c r="W38" i="62"/>
  <c r="V38" i="62"/>
  <c r="U38" i="62"/>
  <c r="T38" i="62"/>
  <c r="S38" i="62"/>
  <c r="R38" i="62"/>
  <c r="Q38" i="62"/>
  <c r="P38" i="62"/>
  <c r="O38" i="62"/>
  <c r="N38" i="62"/>
  <c r="M38" i="62"/>
  <c r="L38" i="62"/>
  <c r="K38" i="62"/>
  <c r="J38" i="62"/>
  <c r="I38" i="62"/>
  <c r="H38" i="62"/>
  <c r="G38" i="62"/>
  <c r="F38" i="62"/>
  <c r="E38" i="62"/>
  <c r="D38" i="62"/>
  <c r="C38" i="62"/>
  <c r="AI36" i="62"/>
  <c r="AH36" i="62"/>
  <c r="AI35" i="62"/>
  <c r="AH35" i="62"/>
  <c r="AI34" i="62"/>
  <c r="AH34" i="62"/>
  <c r="AI33" i="62"/>
  <c r="AH33" i="62"/>
  <c r="AI32" i="62"/>
  <c r="AH32" i="62"/>
  <c r="AI31" i="62"/>
  <c r="AH31" i="62"/>
  <c r="AI30" i="62"/>
  <c r="AH30" i="62"/>
  <c r="AI29" i="62"/>
  <c r="AH29" i="62"/>
  <c r="AI28" i="62"/>
  <c r="AH28" i="62"/>
  <c r="AI27" i="62"/>
  <c r="AH27" i="62"/>
  <c r="AI26" i="62"/>
  <c r="AH26" i="62"/>
  <c r="AI25" i="62"/>
  <c r="AH25" i="62"/>
  <c r="AI24" i="62"/>
  <c r="AH24" i="62"/>
  <c r="AI23" i="62"/>
  <c r="AH23" i="62"/>
  <c r="AI22" i="62"/>
  <c r="AH22" i="62"/>
  <c r="AI21" i="62"/>
  <c r="AH21" i="62"/>
  <c r="AI20" i="62"/>
  <c r="AH20" i="62"/>
  <c r="AI19" i="62"/>
  <c r="AH19" i="62"/>
  <c r="AI18" i="62"/>
  <c r="AH18" i="62"/>
  <c r="AI17" i="62"/>
  <c r="AH17" i="62"/>
  <c r="AI16" i="62"/>
  <c r="AH16" i="62"/>
  <c r="AI15" i="62"/>
  <c r="AH15" i="62"/>
  <c r="AI14" i="62"/>
  <c r="AH14" i="62"/>
  <c r="AI13" i="62"/>
  <c r="AH13" i="62"/>
  <c r="AI12" i="62"/>
  <c r="AH12" i="62"/>
  <c r="AI11" i="62"/>
  <c r="AH11" i="62"/>
  <c r="AF5" i="62"/>
  <c r="AA5" i="62"/>
  <c r="AG4" i="62"/>
  <c r="K4" i="62"/>
  <c r="B4" i="62"/>
  <c r="D231" i="62" s="1"/>
  <c r="AG2" i="62"/>
  <c r="AF37" i="61"/>
  <c r="AD37" i="61"/>
  <c r="AE37" i="61"/>
  <c r="E4" i="62"/>
  <c r="K6" i="65" l="1"/>
  <c r="B80" i="65"/>
  <c r="AH80" i="65" s="1"/>
  <c r="AI79" i="65"/>
  <c r="AH79" i="65"/>
  <c r="B7" i="65"/>
  <c r="A7" i="65" s="1"/>
  <c r="T234" i="65"/>
  <c r="I214" i="65"/>
  <c r="E255" i="65"/>
  <c r="G219" i="65"/>
  <c r="F98" i="65"/>
  <c r="F220" i="65"/>
  <c r="AH80" i="64"/>
  <c r="K6" i="64"/>
  <c r="A7" i="64"/>
  <c r="H255" i="64"/>
  <c r="J219" i="64"/>
  <c r="F98" i="64"/>
  <c r="G214" i="64"/>
  <c r="F220" i="64"/>
  <c r="AI88" i="64"/>
  <c r="AH88" i="64"/>
  <c r="A7" i="63"/>
  <c r="K6" i="63"/>
  <c r="AH80" i="63"/>
  <c r="F98" i="63"/>
  <c r="F220" i="63"/>
  <c r="G214" i="63"/>
  <c r="AI88" i="63"/>
  <c r="AH88" i="63"/>
  <c r="F255" i="63"/>
  <c r="H219" i="63"/>
  <c r="AF77" i="62"/>
  <c r="AF79" i="62" s="1"/>
  <c r="AF7" i="62" s="1"/>
  <c r="AE87" i="62"/>
  <c r="AD87" i="62"/>
  <c r="AD88" i="62" s="1"/>
  <c r="AD77" i="62"/>
  <c r="AD79" i="62" s="1"/>
  <c r="AV234" i="62" s="1"/>
  <c r="AC87" i="62"/>
  <c r="AC88" i="62"/>
  <c r="AC77" i="62"/>
  <c r="AC79" i="62" s="1"/>
  <c r="AC80" i="62" s="1"/>
  <c r="AB77" i="62"/>
  <c r="AB79" i="62" s="1"/>
  <c r="AA77" i="62"/>
  <c r="AA79" i="62" s="1"/>
  <c r="Z77" i="62"/>
  <c r="Z79" i="62" s="1"/>
  <c r="AR234" i="62" s="1"/>
  <c r="Y87" i="62"/>
  <c r="Y77" i="62"/>
  <c r="Y79" i="62" s="1"/>
  <c r="Y7" i="62" s="1"/>
  <c r="X77" i="62"/>
  <c r="X79" i="62" s="1"/>
  <c r="X7" i="62" s="1"/>
  <c r="V77" i="62"/>
  <c r="V79" i="62" s="1"/>
  <c r="AN234" i="62" s="1"/>
  <c r="U87" i="62"/>
  <c r="U88" i="62" s="1"/>
  <c r="U77" i="62"/>
  <c r="U79" i="62" s="1"/>
  <c r="U80" i="62" s="1"/>
  <c r="T77" i="62"/>
  <c r="T79" i="62" s="1"/>
  <c r="T7" i="62" s="1"/>
  <c r="S77" i="62"/>
  <c r="S79" i="62" s="1"/>
  <c r="AK234" i="62" s="1"/>
  <c r="R77" i="62"/>
  <c r="R79" i="62" s="1"/>
  <c r="AJ234" i="62" s="1"/>
  <c r="Q87" i="62"/>
  <c r="Q77" i="62"/>
  <c r="Q79" i="62" s="1"/>
  <c r="Q7" i="62" s="1"/>
  <c r="P87" i="62"/>
  <c r="P77" i="62"/>
  <c r="P79" i="62" s="1"/>
  <c r="N87" i="62"/>
  <c r="N77" i="62"/>
  <c r="N79" i="62" s="1"/>
  <c r="AF234" i="62" s="1"/>
  <c r="M87" i="62"/>
  <c r="M88" i="62" s="1"/>
  <c r="M77" i="62"/>
  <c r="M79" i="62" s="1"/>
  <c r="M80" i="62" s="1"/>
  <c r="L77" i="62"/>
  <c r="L79" i="62" s="1"/>
  <c r="L7" i="62" s="1"/>
  <c r="K77" i="62"/>
  <c r="K79" i="62" s="1"/>
  <c r="K7" i="62" s="1"/>
  <c r="AH82" i="62"/>
  <c r="J77" i="62"/>
  <c r="J79" i="62" s="1"/>
  <c r="AB234" i="62" s="1"/>
  <c r="I87" i="62"/>
  <c r="I77" i="62"/>
  <c r="I79" i="62" s="1"/>
  <c r="I7" i="62" s="1"/>
  <c r="H87" i="62"/>
  <c r="G87" i="62"/>
  <c r="AI84" i="62"/>
  <c r="F77" i="62"/>
  <c r="F79" i="62" s="1"/>
  <c r="X234" i="62" s="1"/>
  <c r="AI42" i="62"/>
  <c r="H77" i="62"/>
  <c r="H79" i="62" s="1"/>
  <c r="H7" i="62" s="1"/>
  <c r="F7" i="62"/>
  <c r="AI83" i="62"/>
  <c r="E87" i="62"/>
  <c r="E88" i="62"/>
  <c r="AH60" i="62"/>
  <c r="E77" i="62"/>
  <c r="E79" i="62" s="1"/>
  <c r="E80" i="62" s="1"/>
  <c r="AH72" i="62"/>
  <c r="AI85" i="62"/>
  <c r="AI60" i="62"/>
  <c r="D77" i="62"/>
  <c r="D79" i="62" s="1"/>
  <c r="V234" i="62" s="1"/>
  <c r="AH37" i="62"/>
  <c r="B5" i="62"/>
  <c r="C77" i="62"/>
  <c r="C79" i="62" s="1"/>
  <c r="C7" i="62" s="1"/>
  <c r="AH85" i="62"/>
  <c r="S231" i="62"/>
  <c r="H4" i="62"/>
  <c r="S7" i="62"/>
  <c r="AL234" i="62"/>
  <c r="AA7" i="62"/>
  <c r="AS234" i="62"/>
  <c r="AB7" i="62"/>
  <c r="AT234" i="62"/>
  <c r="P80" i="62"/>
  <c r="AH234" i="62"/>
  <c r="P7" i="62"/>
  <c r="AH38" i="62"/>
  <c r="AH42" i="62"/>
  <c r="AI38" i="62"/>
  <c r="AI72" i="62"/>
  <c r="X80" i="62"/>
  <c r="AP234" i="62"/>
  <c r="V80" i="62"/>
  <c r="AH84" i="62"/>
  <c r="V88" i="62"/>
  <c r="F214" i="62"/>
  <c r="E98" i="62"/>
  <c r="E220" i="62"/>
  <c r="G219" i="62"/>
  <c r="E255" i="62"/>
  <c r="AC7" i="62"/>
  <c r="AU234" i="62"/>
  <c r="AI81" i="62"/>
  <c r="J87" i="62"/>
  <c r="J88" i="62" s="1"/>
  <c r="R87" i="62"/>
  <c r="R88" i="62" s="1"/>
  <c r="Z87" i="62"/>
  <c r="Z88" i="62" s="1"/>
  <c r="AG79" i="62"/>
  <c r="AG3" i="62"/>
  <c r="AG6" i="62" s="1"/>
  <c r="AD80" i="62"/>
  <c r="O77" i="62"/>
  <c r="O79" i="62" s="1"/>
  <c r="AE77" i="62"/>
  <c r="AE79" i="62" s="1"/>
  <c r="F5" i="62"/>
  <c r="G88" i="62"/>
  <c r="N5" i="62"/>
  <c r="O88" i="62"/>
  <c r="AD5" i="62"/>
  <c r="AE88" i="62"/>
  <c r="S87" i="62"/>
  <c r="S88" i="62" s="1"/>
  <c r="G77" i="62"/>
  <c r="G79" i="62" s="1"/>
  <c r="W77" i="62"/>
  <c r="W79" i="62" s="1"/>
  <c r="AH56" i="62"/>
  <c r="V5" i="62"/>
  <c r="W88" i="62"/>
  <c r="C87" i="62"/>
  <c r="C88" i="62" s="1"/>
  <c r="K87" i="62"/>
  <c r="K88" i="62" s="1"/>
  <c r="AA87" i="62"/>
  <c r="AA88" i="62" s="1"/>
  <c r="F88" i="62"/>
  <c r="AI56" i="62"/>
  <c r="D87" i="62"/>
  <c r="D88" i="62" s="1"/>
  <c r="L87" i="62"/>
  <c r="L80" i="62" s="1"/>
  <c r="T87" i="62"/>
  <c r="T88" i="62" s="1"/>
  <c r="AB87" i="62"/>
  <c r="AB88" i="62" s="1"/>
  <c r="AD7" i="62"/>
  <c r="Q80" i="62"/>
  <c r="AI234" i="62"/>
  <c r="Y80" i="62"/>
  <c r="AQ234" i="62"/>
  <c r="AG77" i="62"/>
  <c r="I88" i="62"/>
  <c r="Q88" i="62"/>
  <c r="Y88" i="62"/>
  <c r="N88" i="62"/>
  <c r="R7" i="62"/>
  <c r="Z7" i="62"/>
  <c r="D220" i="62"/>
  <c r="D98" i="62"/>
  <c r="AI82" i="62"/>
  <c r="AH83" i="62"/>
  <c r="H88" i="62"/>
  <c r="P88" i="62"/>
  <c r="X88" i="62"/>
  <c r="AF88" i="62"/>
  <c r="AH81" i="62"/>
  <c r="J214" i="65" l="1"/>
  <c r="F255" i="65"/>
  <c r="H219" i="65"/>
  <c r="G98" i="65"/>
  <c r="G220" i="65"/>
  <c r="G98" i="64"/>
  <c r="H214" i="64"/>
  <c r="G220" i="64"/>
  <c r="K219" i="64"/>
  <c r="I255" i="64"/>
  <c r="AX234" i="62"/>
  <c r="AF80" i="62"/>
  <c r="G98" i="63"/>
  <c r="H214" i="63"/>
  <c r="G220" i="63"/>
  <c r="G255" i="63"/>
  <c r="I219" i="63"/>
  <c r="AB80" i="62"/>
  <c r="Z80" i="62"/>
  <c r="V7" i="62"/>
  <c r="AM234" i="62"/>
  <c r="U7" i="62"/>
  <c r="T80" i="62"/>
  <c r="AC234" i="62"/>
  <c r="AD234" i="62"/>
  <c r="J7" i="62"/>
  <c r="N7" i="62"/>
  <c r="N80" i="62"/>
  <c r="AE234" i="62"/>
  <c r="M7" i="62"/>
  <c r="I80" i="62"/>
  <c r="AA234" i="62"/>
  <c r="F80" i="62"/>
  <c r="Z234" i="62"/>
  <c r="H80" i="62"/>
  <c r="W234" i="62"/>
  <c r="E7" i="62"/>
  <c r="U234" i="62"/>
  <c r="D80" i="62"/>
  <c r="D7" i="62"/>
  <c r="AO234" i="62"/>
  <c r="W80" i="62"/>
  <c r="W7" i="62"/>
  <c r="J80" i="62"/>
  <c r="L88" i="62"/>
  <c r="F98" i="62"/>
  <c r="G214" i="62"/>
  <c r="F220" i="62"/>
  <c r="H219" i="62"/>
  <c r="F255" i="62"/>
  <c r="K80" i="62"/>
  <c r="AH77" i="62"/>
  <c r="S80" i="62"/>
  <c r="Y234" i="62"/>
  <c r="G80" i="62"/>
  <c r="C229" i="62"/>
  <c r="B229" i="62"/>
  <c r="G7" i="62"/>
  <c r="R80" i="62"/>
  <c r="AI79" i="62"/>
  <c r="AH79" i="62"/>
  <c r="B7" i="62"/>
  <c r="T234" i="62"/>
  <c r="C80" i="62"/>
  <c r="AI87" i="62"/>
  <c r="AH87" i="62"/>
  <c r="AW234" i="62"/>
  <c r="AE80" i="62"/>
  <c r="AE7" i="62"/>
  <c r="AI77" i="62"/>
  <c r="AA80" i="62"/>
  <c r="AG234" i="62"/>
  <c r="O80" i="62"/>
  <c r="O7" i="62"/>
  <c r="G255" i="65" l="1"/>
  <c r="I219" i="65"/>
  <c r="H220" i="65"/>
  <c r="H98" i="65"/>
  <c r="K214" i="65"/>
  <c r="J255" i="64"/>
  <c r="L219" i="64"/>
  <c r="I214" i="64"/>
  <c r="H220" i="64"/>
  <c r="H98" i="64"/>
  <c r="H255" i="63"/>
  <c r="J219" i="63"/>
  <c r="I214" i="63"/>
  <c r="H220" i="63"/>
  <c r="H98" i="63"/>
  <c r="A7" i="62"/>
  <c r="G98" i="62"/>
  <c r="H214" i="62"/>
  <c r="G220" i="62"/>
  <c r="AI88" i="62"/>
  <c r="AH88" i="62"/>
  <c r="AH80" i="62"/>
  <c r="K6" i="62"/>
  <c r="G255" i="62"/>
  <c r="I219" i="62"/>
  <c r="H255" i="65" l="1"/>
  <c r="J219" i="65"/>
  <c r="I220" i="65"/>
  <c r="I98" i="65"/>
  <c r="L214" i="65"/>
  <c r="I220" i="64"/>
  <c r="I98" i="64"/>
  <c r="J214" i="64"/>
  <c r="K255" i="64"/>
  <c r="M219" i="64"/>
  <c r="I98" i="63"/>
  <c r="I220" i="63"/>
  <c r="J214" i="63"/>
  <c r="K219" i="63"/>
  <c r="I255" i="63"/>
  <c r="H255" i="62"/>
  <c r="J219" i="62"/>
  <c r="I214" i="62"/>
  <c r="H220" i="62"/>
  <c r="H98" i="62"/>
  <c r="M214" i="65" l="1"/>
  <c r="K219" i="65"/>
  <c r="I255" i="65"/>
  <c r="J98" i="65"/>
  <c r="J220" i="65"/>
  <c r="L255" i="64"/>
  <c r="N219" i="64"/>
  <c r="J220" i="64"/>
  <c r="J98" i="64"/>
  <c r="K214" i="64"/>
  <c r="J255" i="63"/>
  <c r="L219" i="63"/>
  <c r="J220" i="63"/>
  <c r="J98" i="63"/>
  <c r="K214" i="63"/>
  <c r="I220" i="62"/>
  <c r="I98" i="62"/>
  <c r="J214" i="62"/>
  <c r="K219" i="62"/>
  <c r="I255" i="62"/>
  <c r="AC37" i="61"/>
  <c r="AB37" i="61"/>
  <c r="Z37" i="61"/>
  <c r="X37" i="61"/>
  <c r="W37" i="61"/>
  <c r="V37" i="61"/>
  <c r="U37" i="61"/>
  <c r="T37" i="61"/>
  <c r="S37" i="61"/>
  <c r="R37" i="61"/>
  <c r="Q37" i="61"/>
  <c r="P37" i="61"/>
  <c r="O37" i="61"/>
  <c r="N37" i="61"/>
  <c r="M37" i="61"/>
  <c r="L100" i="61"/>
  <c r="L37" i="61"/>
  <c r="K100" i="61"/>
  <c r="K37" i="61"/>
  <c r="J100" i="61"/>
  <c r="J37" i="61"/>
  <c r="I100" i="61"/>
  <c r="I37" i="61"/>
  <c r="H100" i="61"/>
  <c r="H37" i="61"/>
  <c r="G100" i="61"/>
  <c r="G37" i="61"/>
  <c r="F100" i="61"/>
  <c r="F37" i="61"/>
  <c r="E100" i="61"/>
  <c r="E37" i="61"/>
  <c r="D100" i="61"/>
  <c r="D37" i="61"/>
  <c r="C100" i="61"/>
  <c r="C37" i="61"/>
  <c r="B100" i="61"/>
  <c r="B37" i="61"/>
  <c r="AF259" i="61"/>
  <c r="AE259" i="61"/>
  <c r="AD259" i="61"/>
  <c r="AC259" i="61"/>
  <c r="AB259" i="61"/>
  <c r="AA259" i="61"/>
  <c r="Z259" i="61"/>
  <c r="Y259" i="61"/>
  <c r="X259" i="61"/>
  <c r="W259" i="61"/>
  <c r="V259" i="61"/>
  <c r="U259" i="61"/>
  <c r="T259" i="61"/>
  <c r="S259" i="61"/>
  <c r="R259" i="61"/>
  <c r="Q259" i="61"/>
  <c r="P259" i="61"/>
  <c r="O259" i="61"/>
  <c r="N259" i="61"/>
  <c r="M259" i="61"/>
  <c r="L259" i="61"/>
  <c r="K259" i="61"/>
  <c r="J259" i="61"/>
  <c r="I259" i="61"/>
  <c r="H259" i="61"/>
  <c r="G259" i="61"/>
  <c r="F259" i="61"/>
  <c r="E259" i="61"/>
  <c r="D259" i="61"/>
  <c r="C259" i="61"/>
  <c r="B259" i="61"/>
  <c r="A259" i="61"/>
  <c r="AF258" i="61"/>
  <c r="AE258" i="61"/>
  <c r="AD258" i="61"/>
  <c r="AC258" i="61"/>
  <c r="AB258" i="61"/>
  <c r="AA258" i="61"/>
  <c r="Z258" i="61"/>
  <c r="Y258" i="61"/>
  <c r="X258" i="61"/>
  <c r="W258" i="61"/>
  <c r="V258" i="61"/>
  <c r="U258" i="61"/>
  <c r="T258" i="61"/>
  <c r="S258" i="61"/>
  <c r="R258" i="61"/>
  <c r="Q258" i="61"/>
  <c r="P258" i="61"/>
  <c r="O258" i="61"/>
  <c r="N258" i="61"/>
  <c r="M258" i="61"/>
  <c r="L258" i="61"/>
  <c r="K258" i="61"/>
  <c r="J258" i="61"/>
  <c r="I258" i="61"/>
  <c r="H258" i="61"/>
  <c r="G258" i="61"/>
  <c r="F258" i="61"/>
  <c r="E258" i="61"/>
  <c r="D258" i="61"/>
  <c r="C258" i="61"/>
  <c r="B258" i="61"/>
  <c r="A258" i="61"/>
  <c r="AF257" i="61"/>
  <c r="AE257" i="61"/>
  <c r="AD257" i="61"/>
  <c r="AC257" i="61"/>
  <c r="AB257" i="61"/>
  <c r="AA257" i="61"/>
  <c r="Z257" i="61"/>
  <c r="Y257" i="61"/>
  <c r="X257" i="61"/>
  <c r="W257" i="61"/>
  <c r="V257" i="61"/>
  <c r="U257" i="61"/>
  <c r="T257" i="61"/>
  <c r="S257" i="61"/>
  <c r="R257" i="61"/>
  <c r="Q257" i="61"/>
  <c r="P257" i="61"/>
  <c r="O257" i="61"/>
  <c r="N257" i="61"/>
  <c r="M257" i="61"/>
  <c r="L257" i="61"/>
  <c r="K257" i="61"/>
  <c r="J257" i="61"/>
  <c r="I257" i="61"/>
  <c r="H257" i="61"/>
  <c r="G257" i="61"/>
  <c r="F257" i="61"/>
  <c r="E257" i="61"/>
  <c r="D257" i="61"/>
  <c r="C257" i="61"/>
  <c r="B257" i="61"/>
  <c r="A257" i="61"/>
  <c r="AF256" i="61"/>
  <c r="AE256" i="61"/>
  <c r="AD256" i="61"/>
  <c r="AC256" i="61"/>
  <c r="AB256" i="61"/>
  <c r="AA256" i="61"/>
  <c r="Z256" i="61"/>
  <c r="Y256" i="61"/>
  <c r="X256" i="61"/>
  <c r="W256" i="61"/>
  <c r="V256" i="61"/>
  <c r="U256" i="61"/>
  <c r="T256" i="61"/>
  <c r="S256" i="61"/>
  <c r="R256" i="61"/>
  <c r="Q256" i="61"/>
  <c r="P256" i="61"/>
  <c r="O256" i="61"/>
  <c r="N256" i="61"/>
  <c r="M256" i="61"/>
  <c r="L256" i="61"/>
  <c r="K256" i="61"/>
  <c r="J256" i="61"/>
  <c r="I256" i="61"/>
  <c r="H256" i="61"/>
  <c r="G256" i="61"/>
  <c r="F256" i="61"/>
  <c r="E256" i="61"/>
  <c r="D256" i="61"/>
  <c r="C256" i="61"/>
  <c r="B256" i="61"/>
  <c r="A256" i="61"/>
  <c r="AE255" i="61"/>
  <c r="AD255" i="61"/>
  <c r="AC255" i="61"/>
  <c r="AB255" i="61"/>
  <c r="AA255" i="61"/>
  <c r="Z255" i="61"/>
  <c r="Y255" i="61"/>
  <c r="X255" i="61"/>
  <c r="W255" i="61"/>
  <c r="V255" i="61"/>
  <c r="U255" i="61"/>
  <c r="T255" i="61"/>
  <c r="S255" i="61"/>
  <c r="R255" i="61"/>
  <c r="Q255" i="61"/>
  <c r="P255" i="61"/>
  <c r="D255" i="61"/>
  <c r="C255" i="61"/>
  <c r="B255" i="61"/>
  <c r="S230" i="61"/>
  <c r="AG220" i="61"/>
  <c r="AF220" i="61"/>
  <c r="AE220" i="61"/>
  <c r="AD220" i="61"/>
  <c r="AC220" i="61"/>
  <c r="AB220" i="61"/>
  <c r="AA220" i="61"/>
  <c r="Z220" i="61"/>
  <c r="Y220" i="61"/>
  <c r="X220" i="61"/>
  <c r="W220" i="61"/>
  <c r="V220" i="61"/>
  <c r="U220" i="61"/>
  <c r="T220" i="61"/>
  <c r="S220" i="61"/>
  <c r="R220" i="61"/>
  <c r="Q220" i="61"/>
  <c r="C220" i="61"/>
  <c r="F219" i="61"/>
  <c r="E255" i="61" s="1"/>
  <c r="E219" i="61"/>
  <c r="D219" i="61"/>
  <c r="B219" i="61"/>
  <c r="AF255" i="61" s="1"/>
  <c r="D218" i="61"/>
  <c r="E218" i="61" s="1"/>
  <c r="F218" i="61" s="1"/>
  <c r="G218" i="61" s="1"/>
  <c r="H218" i="61" s="1"/>
  <c r="I218" i="61" s="1"/>
  <c r="J218" i="61" s="1"/>
  <c r="K218" i="61" s="1"/>
  <c r="L218" i="61" s="1"/>
  <c r="M218" i="61" s="1"/>
  <c r="N218" i="61" s="1"/>
  <c r="O218" i="61" s="1"/>
  <c r="P218" i="61" s="1"/>
  <c r="B218" i="61"/>
  <c r="D217" i="61"/>
  <c r="E217" i="61" s="1"/>
  <c r="F217" i="61" s="1"/>
  <c r="G217" i="61" s="1"/>
  <c r="H217" i="61" s="1"/>
  <c r="I217" i="61" s="1"/>
  <c r="J217" i="61" s="1"/>
  <c r="K217" i="61" s="1"/>
  <c r="L217" i="61" s="1"/>
  <c r="M217" i="61" s="1"/>
  <c r="N217" i="61" s="1"/>
  <c r="O217" i="61" s="1"/>
  <c r="P217" i="61" s="1"/>
  <c r="B217" i="61"/>
  <c r="H216" i="61"/>
  <c r="I216" i="61" s="1"/>
  <c r="J216" i="61" s="1"/>
  <c r="K216" i="61" s="1"/>
  <c r="L216" i="61" s="1"/>
  <c r="M216" i="61" s="1"/>
  <c r="N216" i="61" s="1"/>
  <c r="O216" i="61" s="1"/>
  <c r="P216" i="61" s="1"/>
  <c r="G216" i="61"/>
  <c r="F216" i="61"/>
  <c r="E216" i="61"/>
  <c r="D216" i="61"/>
  <c r="B216" i="61"/>
  <c r="F215" i="61"/>
  <c r="G215" i="61" s="1"/>
  <c r="H215" i="61" s="1"/>
  <c r="I215" i="61" s="1"/>
  <c r="J215" i="61" s="1"/>
  <c r="K215" i="61" s="1"/>
  <c r="L215" i="61" s="1"/>
  <c r="M215" i="61" s="1"/>
  <c r="N215" i="61" s="1"/>
  <c r="O215" i="61" s="1"/>
  <c r="P215" i="61" s="1"/>
  <c r="E215" i="61"/>
  <c r="D215" i="61"/>
  <c r="B215" i="61"/>
  <c r="D214" i="61"/>
  <c r="D220" i="61" s="1"/>
  <c r="B214" i="61"/>
  <c r="B220" i="61" s="1"/>
  <c r="AG212" i="61"/>
  <c r="AF212" i="61"/>
  <c r="AE212" i="61"/>
  <c r="AD212" i="61"/>
  <c r="AC212" i="61"/>
  <c r="AB212" i="61"/>
  <c r="AA212" i="61"/>
  <c r="Z212" i="61"/>
  <c r="Y212" i="61"/>
  <c r="X212" i="61"/>
  <c r="W212" i="61"/>
  <c r="V212" i="61"/>
  <c r="U212" i="61"/>
  <c r="T212" i="61"/>
  <c r="S212" i="61"/>
  <c r="R212" i="61"/>
  <c r="Q212" i="61"/>
  <c r="P212" i="61"/>
  <c r="O212" i="61"/>
  <c r="N212" i="61"/>
  <c r="M212" i="61"/>
  <c r="L212" i="61"/>
  <c r="K212" i="61"/>
  <c r="J212" i="61"/>
  <c r="I212" i="61"/>
  <c r="H212" i="61"/>
  <c r="G212" i="61"/>
  <c r="F212" i="61"/>
  <c r="E212" i="61"/>
  <c r="D212" i="61"/>
  <c r="C212" i="61"/>
  <c r="B212" i="61"/>
  <c r="AH105" i="61"/>
  <c r="AI105" i="61" s="1"/>
  <c r="AH104" i="61"/>
  <c r="AI104" i="61" s="1"/>
  <c r="AH103" i="61"/>
  <c r="AI103" i="61" s="1"/>
  <c r="AH102" i="61"/>
  <c r="AI102" i="61" s="1"/>
  <c r="AH101" i="61"/>
  <c r="AI101" i="61" s="1"/>
  <c r="AH100" i="61"/>
  <c r="AI100" i="61" s="1"/>
  <c r="AH99" i="61"/>
  <c r="AI99" i="61" s="1"/>
  <c r="AF98" i="61"/>
  <c r="AE98" i="61"/>
  <c r="AD98" i="61"/>
  <c r="AC98" i="61"/>
  <c r="AB98" i="61"/>
  <c r="AA98" i="61"/>
  <c r="Z98" i="61"/>
  <c r="Y98" i="61"/>
  <c r="X98" i="61"/>
  <c r="W98" i="61"/>
  <c r="V98" i="61"/>
  <c r="U98" i="61"/>
  <c r="T98" i="61"/>
  <c r="S98" i="61"/>
  <c r="R98" i="61"/>
  <c r="Q98" i="61"/>
  <c r="C98" i="61"/>
  <c r="B98" i="61"/>
  <c r="AI97" i="61"/>
  <c r="AH97" i="61"/>
  <c r="AI96" i="61"/>
  <c r="AH96" i="61"/>
  <c r="AI95" i="61"/>
  <c r="AH95" i="61"/>
  <c r="AI94" i="61"/>
  <c r="AH94" i="61"/>
  <c r="AI93" i="61"/>
  <c r="AH93" i="61"/>
  <c r="AI92" i="61"/>
  <c r="AH92" i="61"/>
  <c r="AI91" i="61"/>
  <c r="AH91" i="61"/>
  <c r="AI90" i="61"/>
  <c r="AH90" i="61"/>
  <c r="AI89" i="61"/>
  <c r="AH89" i="61"/>
  <c r="AI86" i="61"/>
  <c r="AH86" i="61"/>
  <c r="AF85" i="61"/>
  <c r="AE85" i="61"/>
  <c r="AD85" i="61"/>
  <c r="AC85" i="61"/>
  <c r="AB85" i="61"/>
  <c r="AA85" i="61"/>
  <c r="Z85" i="61"/>
  <c r="Y85" i="61"/>
  <c r="X85" i="61"/>
  <c r="W85" i="61"/>
  <c r="V85" i="61"/>
  <c r="U85" i="61"/>
  <c r="T85" i="61"/>
  <c r="S85" i="61"/>
  <c r="R85" i="61"/>
  <c r="Q85" i="61"/>
  <c r="P85" i="61"/>
  <c r="O85" i="61"/>
  <c r="N85" i="61"/>
  <c r="M85" i="61"/>
  <c r="L85" i="61"/>
  <c r="K85" i="61"/>
  <c r="J85" i="61"/>
  <c r="I85" i="61"/>
  <c r="H85" i="61"/>
  <c r="G85" i="61"/>
  <c r="F85" i="61"/>
  <c r="E85" i="61"/>
  <c r="D85" i="61"/>
  <c r="C85" i="61"/>
  <c r="B85" i="61"/>
  <c r="AF84" i="61"/>
  <c r="AE84" i="61"/>
  <c r="AD84" i="61"/>
  <c r="AC84" i="61"/>
  <c r="AB84" i="61"/>
  <c r="AA84" i="61"/>
  <c r="Z84" i="61"/>
  <c r="Y84" i="61"/>
  <c r="X84" i="61"/>
  <c r="W84" i="61"/>
  <c r="V84" i="61"/>
  <c r="U84" i="61"/>
  <c r="T84" i="61"/>
  <c r="S84" i="61"/>
  <c r="R84" i="61"/>
  <c r="Q84" i="61"/>
  <c r="P84" i="61"/>
  <c r="O84" i="61"/>
  <c r="N84" i="61"/>
  <c r="N87" i="61" s="1"/>
  <c r="M84" i="61"/>
  <c r="L84" i="61"/>
  <c r="K84" i="61"/>
  <c r="J84" i="61"/>
  <c r="I84" i="61"/>
  <c r="H84" i="61"/>
  <c r="G84" i="61"/>
  <c r="F84" i="61"/>
  <c r="E84" i="61"/>
  <c r="D84" i="61"/>
  <c r="C84" i="61"/>
  <c r="B84" i="61"/>
  <c r="AF83" i="61"/>
  <c r="AE83" i="61"/>
  <c r="AD83" i="61"/>
  <c r="AC83" i="61"/>
  <c r="AB83" i="61"/>
  <c r="AA83" i="61"/>
  <c r="Z83" i="61"/>
  <c r="Y83" i="61"/>
  <c r="X83" i="61"/>
  <c r="W83" i="61"/>
  <c r="V83" i="61"/>
  <c r="U83" i="61"/>
  <c r="T83" i="61"/>
  <c r="S83" i="61"/>
  <c r="R83" i="61"/>
  <c r="Q83" i="61"/>
  <c r="P83" i="61"/>
  <c r="O83" i="61"/>
  <c r="N83" i="61"/>
  <c r="M83" i="61"/>
  <c r="L83" i="61"/>
  <c r="K83" i="61"/>
  <c r="J83" i="61"/>
  <c r="I83" i="61"/>
  <c r="H83" i="61"/>
  <c r="G83" i="61"/>
  <c r="F83" i="61"/>
  <c r="E83" i="61"/>
  <c r="D83" i="61"/>
  <c r="C83" i="61"/>
  <c r="B83" i="61"/>
  <c r="AF82" i="61"/>
  <c r="AE82" i="61"/>
  <c r="AD82" i="61"/>
  <c r="AC82" i="61"/>
  <c r="AB82" i="61"/>
  <c r="AA82" i="61"/>
  <c r="Z82" i="61"/>
  <c r="Y82" i="61"/>
  <c r="X82" i="61"/>
  <c r="W82" i="61"/>
  <c r="V82" i="61"/>
  <c r="U82" i="61"/>
  <c r="T82" i="61"/>
  <c r="S82" i="61"/>
  <c r="R82" i="61"/>
  <c r="Q82" i="61"/>
  <c r="P82" i="61"/>
  <c r="O82" i="61"/>
  <c r="N82" i="61"/>
  <c r="M82" i="61"/>
  <c r="L82" i="61"/>
  <c r="K82" i="61"/>
  <c r="J82" i="61"/>
  <c r="I82" i="61"/>
  <c r="H82" i="61"/>
  <c r="G82" i="61"/>
  <c r="F82" i="61"/>
  <c r="E82" i="61"/>
  <c r="D82" i="61"/>
  <c r="C82" i="61"/>
  <c r="B82" i="61"/>
  <c r="AF81" i="61"/>
  <c r="AE81" i="61"/>
  <c r="AD81" i="61"/>
  <c r="AC81" i="61"/>
  <c r="AB81" i="61"/>
  <c r="AA81" i="61"/>
  <c r="Z81" i="61"/>
  <c r="Y81" i="61"/>
  <c r="X81" i="61"/>
  <c r="W81" i="61"/>
  <c r="V81" i="61"/>
  <c r="U81" i="61"/>
  <c r="T81" i="61"/>
  <c r="S81" i="61"/>
  <c r="R81" i="61"/>
  <c r="Q81" i="61"/>
  <c r="P81" i="61"/>
  <c r="O81" i="61"/>
  <c r="N81" i="61"/>
  <c r="M81" i="61"/>
  <c r="L81" i="61"/>
  <c r="K81" i="61"/>
  <c r="J81" i="61"/>
  <c r="I81" i="61"/>
  <c r="I87" i="61" s="1"/>
  <c r="H81" i="61"/>
  <c r="G81" i="61"/>
  <c r="G87" i="61" s="1"/>
  <c r="F81" i="61"/>
  <c r="E81" i="61"/>
  <c r="D81" i="61"/>
  <c r="C81" i="61"/>
  <c r="B81" i="61"/>
  <c r="AI78" i="61"/>
  <c r="AH78" i="61"/>
  <c r="AI76" i="61"/>
  <c r="AH76" i="61"/>
  <c r="AG76" i="61"/>
  <c r="AI75" i="61"/>
  <c r="AH75" i="61"/>
  <c r="AI74" i="61"/>
  <c r="AH74" i="61"/>
  <c r="AI73" i="61"/>
  <c r="AH73" i="61"/>
  <c r="AG72" i="61"/>
  <c r="AF72" i="61"/>
  <c r="AE5" i="61" s="1"/>
  <c r="AE72" i="61"/>
  <c r="AD5" i="61" s="1"/>
  <c r="AD72" i="61"/>
  <c r="AC5" i="61" s="1"/>
  <c r="AC72" i="61"/>
  <c r="AB5" i="61" s="1"/>
  <c r="AB72" i="61"/>
  <c r="AA72" i="61"/>
  <c r="Z72" i="61"/>
  <c r="Y5" i="61" s="1"/>
  <c r="Y72" i="61"/>
  <c r="X5" i="61" s="1"/>
  <c r="X72" i="61"/>
  <c r="W5" i="61" s="1"/>
  <c r="W72" i="61"/>
  <c r="V5" i="61" s="1"/>
  <c r="V72" i="61"/>
  <c r="U5" i="61" s="1"/>
  <c r="U72" i="61"/>
  <c r="T5" i="61" s="1"/>
  <c r="T72" i="61"/>
  <c r="S5" i="61" s="1"/>
  <c r="S72" i="61"/>
  <c r="R72" i="61"/>
  <c r="Q5" i="61" s="1"/>
  <c r="Q72" i="61"/>
  <c r="P5" i="61" s="1"/>
  <c r="P72" i="61"/>
  <c r="O5" i="61" s="1"/>
  <c r="O72" i="61"/>
  <c r="N5" i="61" s="1"/>
  <c r="N72" i="61"/>
  <c r="M5" i="61" s="1"/>
  <c r="M72" i="61"/>
  <c r="L72" i="61"/>
  <c r="K72" i="61"/>
  <c r="J72" i="61"/>
  <c r="I72" i="61"/>
  <c r="H72" i="61"/>
  <c r="G5" i="61" s="1"/>
  <c r="G72" i="61"/>
  <c r="F5" i="61" s="1"/>
  <c r="F72" i="61"/>
  <c r="E5" i="61" s="1"/>
  <c r="E72" i="61"/>
  <c r="D5" i="61" s="1"/>
  <c r="D72" i="61"/>
  <c r="C5" i="61" s="1"/>
  <c r="C72" i="61"/>
  <c r="B5" i="61" s="1"/>
  <c r="B72" i="61"/>
  <c r="AI71" i="61"/>
  <c r="AH71" i="61"/>
  <c r="AI70" i="61"/>
  <c r="AH70" i="61"/>
  <c r="AI69" i="61"/>
  <c r="AH69" i="61"/>
  <c r="AI68" i="61"/>
  <c r="AH68" i="61"/>
  <c r="AI67" i="61"/>
  <c r="AH67" i="61"/>
  <c r="AI66" i="61"/>
  <c r="AH66" i="61"/>
  <c r="AI65" i="61"/>
  <c r="AH65" i="61"/>
  <c r="AI64" i="61"/>
  <c r="AH64" i="61"/>
  <c r="AI63" i="61"/>
  <c r="AH63" i="61"/>
  <c r="AI62" i="61"/>
  <c r="AH62" i="61"/>
  <c r="AI61" i="61"/>
  <c r="AH61" i="61"/>
  <c r="AG60" i="61"/>
  <c r="AF60" i="61"/>
  <c r="AE60" i="61"/>
  <c r="AD60" i="61"/>
  <c r="AB60" i="61"/>
  <c r="AA60" i="61"/>
  <c r="Z60" i="61"/>
  <c r="Y60" i="61"/>
  <c r="X60" i="61"/>
  <c r="W60" i="61"/>
  <c r="V60" i="61"/>
  <c r="U60" i="61"/>
  <c r="T60" i="61"/>
  <c r="S60" i="61"/>
  <c r="R60" i="61"/>
  <c r="Q60" i="61"/>
  <c r="P60" i="61"/>
  <c r="O60" i="61"/>
  <c r="N60" i="61"/>
  <c r="M60" i="61"/>
  <c r="L60" i="61"/>
  <c r="K60" i="61"/>
  <c r="J60" i="61"/>
  <c r="I60" i="61"/>
  <c r="H60" i="61"/>
  <c r="G60" i="61"/>
  <c r="F60" i="61"/>
  <c r="E60" i="61"/>
  <c r="D60" i="61"/>
  <c r="C60" i="61"/>
  <c r="B60" i="61"/>
  <c r="AI59" i="61"/>
  <c r="AH59" i="61"/>
  <c r="AI58" i="61"/>
  <c r="AH58" i="61"/>
  <c r="AI57" i="61"/>
  <c r="AH57" i="61"/>
  <c r="AF56" i="61"/>
  <c r="AE56" i="61"/>
  <c r="AD56" i="61"/>
  <c r="AC56" i="61"/>
  <c r="AB56" i="61"/>
  <c r="AA56" i="61"/>
  <c r="Z56" i="61"/>
  <c r="Y56" i="61"/>
  <c r="X56" i="61"/>
  <c r="W56" i="61"/>
  <c r="V56" i="61"/>
  <c r="U56" i="61"/>
  <c r="T56" i="61"/>
  <c r="S56" i="61"/>
  <c r="R56" i="61"/>
  <c r="Q56" i="61"/>
  <c r="P56" i="61"/>
  <c r="O56" i="61"/>
  <c r="N56" i="61"/>
  <c r="M56" i="61"/>
  <c r="L56" i="61"/>
  <c r="K56" i="61"/>
  <c r="J56" i="61"/>
  <c r="I56" i="61"/>
  <c r="H56" i="61"/>
  <c r="G56" i="61"/>
  <c r="F56" i="61"/>
  <c r="E56" i="61"/>
  <c r="D56" i="61"/>
  <c r="C56" i="61"/>
  <c r="B56" i="61"/>
  <c r="AI55" i="61"/>
  <c r="AH55" i="61"/>
  <c r="AG55" i="61"/>
  <c r="AG56" i="61" s="1"/>
  <c r="AI54" i="61"/>
  <c r="AH54" i="61"/>
  <c r="AI53" i="61"/>
  <c r="AH53" i="61"/>
  <c r="AI52" i="61"/>
  <c r="AH52" i="61"/>
  <c r="AI51" i="61"/>
  <c r="AH51" i="61"/>
  <c r="AI50" i="61"/>
  <c r="AH50" i="61"/>
  <c r="AI49" i="61"/>
  <c r="AH49" i="61"/>
  <c r="AI48" i="61"/>
  <c r="AH48" i="61"/>
  <c r="AI47" i="61"/>
  <c r="AH47" i="61"/>
  <c r="AI46" i="61"/>
  <c r="AH46" i="61"/>
  <c r="AI45" i="61"/>
  <c r="AH45" i="61"/>
  <c r="AI44" i="61"/>
  <c r="AH44" i="61"/>
  <c r="AI43" i="61"/>
  <c r="AH43" i="61"/>
  <c r="AG42" i="61"/>
  <c r="AF42" i="61"/>
  <c r="AE42" i="61"/>
  <c r="AD42" i="61"/>
  <c r="AC42" i="61"/>
  <c r="AB42" i="61"/>
  <c r="AA42" i="61"/>
  <c r="Z42" i="61"/>
  <c r="Y42" i="61"/>
  <c r="X42" i="61"/>
  <c r="W42" i="61"/>
  <c r="V42" i="61"/>
  <c r="U42" i="61"/>
  <c r="T42" i="61"/>
  <c r="S42" i="61"/>
  <c r="R42" i="61"/>
  <c r="Q42" i="61"/>
  <c r="P42" i="61"/>
  <c r="O42" i="61"/>
  <c r="N42" i="61"/>
  <c r="M42" i="61"/>
  <c r="L42" i="61"/>
  <c r="K42" i="61"/>
  <c r="J42" i="61"/>
  <c r="I42" i="61"/>
  <c r="H42" i="61"/>
  <c r="G42" i="61"/>
  <c r="F42" i="61"/>
  <c r="E42" i="61"/>
  <c r="D42" i="61"/>
  <c r="C42" i="61"/>
  <c r="B42" i="61"/>
  <c r="AI41" i="61"/>
  <c r="AH41" i="61"/>
  <c r="AI40" i="61"/>
  <c r="AH40" i="61"/>
  <c r="AI39" i="61"/>
  <c r="AH39" i="61"/>
  <c r="AG38" i="61"/>
  <c r="AF38" i="61"/>
  <c r="AE38" i="61"/>
  <c r="AD38" i="61"/>
  <c r="AC38" i="61"/>
  <c r="AB38" i="61"/>
  <c r="AA38" i="61"/>
  <c r="AA77" i="61" s="1"/>
  <c r="AA79" i="61" s="1"/>
  <c r="Z38" i="61"/>
  <c r="Y38" i="61"/>
  <c r="X38" i="61"/>
  <c r="W38" i="61"/>
  <c r="V38" i="61"/>
  <c r="U38" i="61"/>
  <c r="T38" i="61"/>
  <c r="S38" i="61"/>
  <c r="R38" i="61"/>
  <c r="Q38" i="61"/>
  <c r="P38" i="61"/>
  <c r="O38" i="61"/>
  <c r="N38" i="61"/>
  <c r="M38" i="61"/>
  <c r="L38" i="61"/>
  <c r="K38" i="61"/>
  <c r="J38" i="61"/>
  <c r="I38" i="61"/>
  <c r="H38" i="61"/>
  <c r="G38" i="61"/>
  <c r="F38" i="61"/>
  <c r="E38" i="61"/>
  <c r="D38" i="61"/>
  <c r="C38" i="61"/>
  <c r="B38" i="61"/>
  <c r="AH37" i="61"/>
  <c r="AI36" i="61"/>
  <c r="AH36" i="61"/>
  <c r="AI35" i="61"/>
  <c r="AH35" i="61"/>
  <c r="AI34" i="61"/>
  <c r="AH34" i="61"/>
  <c r="AI33" i="61"/>
  <c r="AH33" i="61"/>
  <c r="AI32" i="61"/>
  <c r="AH32" i="61"/>
  <c r="AI31" i="61"/>
  <c r="AH31" i="61"/>
  <c r="AI30" i="61"/>
  <c r="AH30" i="61"/>
  <c r="AI29" i="61"/>
  <c r="AH29" i="61"/>
  <c r="AI28" i="61"/>
  <c r="AH28" i="61"/>
  <c r="AI27" i="61"/>
  <c r="AH27" i="61"/>
  <c r="AI26" i="61"/>
  <c r="AH26" i="61"/>
  <c r="AI25" i="61"/>
  <c r="AH25" i="61"/>
  <c r="AI24" i="61"/>
  <c r="AH24" i="61"/>
  <c r="AI23" i="61"/>
  <c r="AH23" i="61"/>
  <c r="AI22" i="61"/>
  <c r="AH22" i="61"/>
  <c r="AI21" i="61"/>
  <c r="AH21" i="61"/>
  <c r="AI20" i="61"/>
  <c r="AH20" i="61"/>
  <c r="AI19" i="61"/>
  <c r="AH19" i="61"/>
  <c r="AI18" i="61"/>
  <c r="AH18" i="61"/>
  <c r="AI17" i="61"/>
  <c r="AH17" i="61"/>
  <c r="AI16" i="61"/>
  <c r="AH16" i="61"/>
  <c r="AI15" i="61"/>
  <c r="AH15" i="61"/>
  <c r="AI14" i="61"/>
  <c r="AH14" i="61"/>
  <c r="AI13" i="61"/>
  <c r="AH13" i="61"/>
  <c r="AI12" i="61"/>
  <c r="AH12" i="61"/>
  <c r="AI11" i="61"/>
  <c r="AH11" i="61"/>
  <c r="AA5" i="61"/>
  <c r="L5" i="61"/>
  <c r="K5" i="61"/>
  <c r="J5" i="61"/>
  <c r="I5" i="61"/>
  <c r="H5" i="61"/>
  <c r="AG4" i="61"/>
  <c r="K4" i="61"/>
  <c r="B4" i="61"/>
  <c r="S231" i="61" s="1"/>
  <c r="AG2" i="61"/>
  <c r="AF100" i="60"/>
  <c r="AF37" i="60"/>
  <c r="AE100" i="60"/>
  <c r="AE37" i="60"/>
  <c r="AD37" i="60"/>
  <c r="AD100" i="60"/>
  <c r="AC100" i="60"/>
  <c r="AC37" i="60"/>
  <c r="AB100" i="60"/>
  <c r="AB37" i="60"/>
  <c r="AA100" i="60"/>
  <c r="AA37" i="60"/>
  <c r="W100" i="60"/>
  <c r="X100" i="60"/>
  <c r="Y100" i="60"/>
  <c r="Z100" i="60"/>
  <c r="Z37" i="60"/>
  <c r="W37" i="60"/>
  <c r="X37" i="60"/>
  <c r="Y37" i="60"/>
  <c r="V100" i="60"/>
  <c r="V37" i="60"/>
  <c r="U100" i="60"/>
  <c r="U37" i="60"/>
  <c r="T100" i="60"/>
  <c r="R100" i="60"/>
  <c r="R37" i="60"/>
  <c r="Q37" i="60"/>
  <c r="P100" i="60"/>
  <c r="P37" i="60"/>
  <c r="O100" i="60"/>
  <c r="O37" i="60"/>
  <c r="N37" i="60"/>
  <c r="M100" i="60"/>
  <c r="M37" i="60"/>
  <c r="L37" i="60"/>
  <c r="K37" i="60"/>
  <c r="J37" i="60"/>
  <c r="I37" i="60"/>
  <c r="G37" i="60"/>
  <c r="F37" i="60"/>
  <c r="E37" i="60"/>
  <c r="D100" i="60"/>
  <c r="D99" i="60"/>
  <c r="D37" i="60"/>
  <c r="C100" i="60"/>
  <c r="C99" i="60"/>
  <c r="C37" i="60"/>
  <c r="B100" i="60"/>
  <c r="B99" i="60"/>
  <c r="B37" i="60"/>
  <c r="B98" i="60"/>
  <c r="B85" i="60"/>
  <c r="B84" i="60"/>
  <c r="B83" i="60"/>
  <c r="B87" i="60" s="1"/>
  <c r="B82" i="60"/>
  <c r="B81" i="60"/>
  <c r="B72" i="60"/>
  <c r="B60" i="60"/>
  <c r="B56" i="60"/>
  <c r="B42" i="60"/>
  <c r="B38" i="60"/>
  <c r="AF259" i="60"/>
  <c r="AE259" i="60"/>
  <c r="AD259" i="60"/>
  <c r="AC259" i="60"/>
  <c r="AB259" i="60"/>
  <c r="AA259" i="60"/>
  <c r="Z259" i="60"/>
  <c r="Y259" i="60"/>
  <c r="X259" i="60"/>
  <c r="W259" i="60"/>
  <c r="V259" i="60"/>
  <c r="U259" i="60"/>
  <c r="T259" i="60"/>
  <c r="S259" i="60"/>
  <c r="R259" i="60"/>
  <c r="Q259" i="60"/>
  <c r="P259" i="60"/>
  <c r="O259" i="60"/>
  <c r="N259" i="60"/>
  <c r="M259" i="60"/>
  <c r="L259" i="60"/>
  <c r="K259" i="60"/>
  <c r="J259" i="60"/>
  <c r="I259" i="60"/>
  <c r="H259" i="60"/>
  <c r="G259" i="60"/>
  <c r="F259" i="60"/>
  <c r="E259" i="60"/>
  <c r="D259" i="60"/>
  <c r="C259" i="60"/>
  <c r="B259" i="60"/>
  <c r="A259" i="60"/>
  <c r="AF258" i="60"/>
  <c r="AE258" i="60"/>
  <c r="AD258" i="60"/>
  <c r="AC258" i="60"/>
  <c r="AB258" i="60"/>
  <c r="AA258" i="60"/>
  <c r="Z258" i="60"/>
  <c r="Y258" i="60"/>
  <c r="X258" i="60"/>
  <c r="W258" i="60"/>
  <c r="V258" i="60"/>
  <c r="U258" i="60"/>
  <c r="T258" i="60"/>
  <c r="S258" i="60"/>
  <c r="R258" i="60"/>
  <c r="Q258" i="60"/>
  <c r="P258" i="60"/>
  <c r="O258" i="60"/>
  <c r="N258" i="60"/>
  <c r="M258" i="60"/>
  <c r="L258" i="60"/>
  <c r="K258" i="60"/>
  <c r="J258" i="60"/>
  <c r="I258" i="60"/>
  <c r="H258" i="60"/>
  <c r="G258" i="60"/>
  <c r="F258" i="60"/>
  <c r="E258" i="60"/>
  <c r="D258" i="60"/>
  <c r="C258" i="60"/>
  <c r="B258" i="60"/>
  <c r="A258" i="60"/>
  <c r="AF257" i="60"/>
  <c r="AE257" i="60"/>
  <c r="AD257" i="60"/>
  <c r="AC257" i="60"/>
  <c r="AB257" i="60"/>
  <c r="AA257" i="60"/>
  <c r="Z257" i="60"/>
  <c r="Y257" i="60"/>
  <c r="X257" i="60"/>
  <c r="W257" i="60"/>
  <c r="V257" i="60"/>
  <c r="U257" i="60"/>
  <c r="T257" i="60"/>
  <c r="S257" i="60"/>
  <c r="R257" i="60"/>
  <c r="Q257" i="60"/>
  <c r="P257" i="60"/>
  <c r="O257" i="60"/>
  <c r="N257" i="60"/>
  <c r="M257" i="60"/>
  <c r="L257" i="60"/>
  <c r="K257" i="60"/>
  <c r="J257" i="60"/>
  <c r="I257" i="60"/>
  <c r="H257" i="60"/>
  <c r="G257" i="60"/>
  <c r="F257" i="60"/>
  <c r="E257" i="60"/>
  <c r="D257" i="60"/>
  <c r="C257" i="60"/>
  <c r="B257" i="60"/>
  <c r="A257" i="60"/>
  <c r="AF256" i="60"/>
  <c r="AE256" i="60"/>
  <c r="AD256" i="60"/>
  <c r="AC256" i="60"/>
  <c r="AB256" i="60"/>
  <c r="AA256" i="60"/>
  <c r="Z256" i="60"/>
  <c r="Y256" i="60"/>
  <c r="X256" i="60"/>
  <c r="W256" i="60"/>
  <c r="V256" i="60"/>
  <c r="U256" i="60"/>
  <c r="T256" i="60"/>
  <c r="S256" i="60"/>
  <c r="R256" i="60"/>
  <c r="Q256" i="60"/>
  <c r="P256" i="60"/>
  <c r="O256" i="60"/>
  <c r="N256" i="60"/>
  <c r="M256" i="60"/>
  <c r="L256" i="60"/>
  <c r="K256" i="60"/>
  <c r="J256" i="60"/>
  <c r="I256" i="60"/>
  <c r="H256" i="60"/>
  <c r="G256" i="60"/>
  <c r="F256" i="60"/>
  <c r="E256" i="60"/>
  <c r="D256" i="60"/>
  <c r="C256" i="60"/>
  <c r="B256" i="60"/>
  <c r="A256" i="60"/>
  <c r="AE255" i="60"/>
  <c r="AD255" i="60"/>
  <c r="AC255" i="60"/>
  <c r="AB255" i="60"/>
  <c r="AA255" i="60"/>
  <c r="Z255" i="60"/>
  <c r="Y255" i="60"/>
  <c r="X255" i="60"/>
  <c r="W255" i="60"/>
  <c r="V255" i="60"/>
  <c r="U255" i="60"/>
  <c r="T255" i="60"/>
  <c r="S255" i="60"/>
  <c r="R255" i="60"/>
  <c r="Q255" i="60"/>
  <c r="P255" i="60"/>
  <c r="C255" i="60"/>
  <c r="B255" i="60"/>
  <c r="S230" i="60"/>
  <c r="AG220" i="60"/>
  <c r="AG55" i="60" s="1"/>
  <c r="AG56" i="60" s="1"/>
  <c r="AF220" i="60"/>
  <c r="AE220" i="60"/>
  <c r="AD220" i="60"/>
  <c r="AC220" i="60"/>
  <c r="AB220" i="60"/>
  <c r="AA220" i="60"/>
  <c r="Z220" i="60"/>
  <c r="Y220" i="60"/>
  <c r="X220" i="60"/>
  <c r="W220" i="60"/>
  <c r="V220" i="60"/>
  <c r="U220" i="60"/>
  <c r="T220" i="60"/>
  <c r="S220" i="60"/>
  <c r="R220" i="60"/>
  <c r="Q220" i="60"/>
  <c r="C220" i="60"/>
  <c r="E219" i="60"/>
  <c r="D255" i="60" s="1"/>
  <c r="D219" i="60"/>
  <c r="B219" i="60"/>
  <c r="AF255" i="60" s="1"/>
  <c r="F218" i="60"/>
  <c r="G218" i="60" s="1"/>
  <c r="H218" i="60" s="1"/>
  <c r="I218" i="60" s="1"/>
  <c r="J218" i="60" s="1"/>
  <c r="K218" i="60" s="1"/>
  <c r="L218" i="60" s="1"/>
  <c r="M218" i="60" s="1"/>
  <c r="N218" i="60" s="1"/>
  <c r="O218" i="60" s="1"/>
  <c r="P218" i="60" s="1"/>
  <c r="E218" i="60"/>
  <c r="D218" i="60"/>
  <c r="B218" i="60"/>
  <c r="D217" i="60"/>
  <c r="E217" i="60" s="1"/>
  <c r="F217" i="60" s="1"/>
  <c r="G217" i="60" s="1"/>
  <c r="H217" i="60" s="1"/>
  <c r="I217" i="60" s="1"/>
  <c r="J217" i="60" s="1"/>
  <c r="K217" i="60" s="1"/>
  <c r="L217" i="60" s="1"/>
  <c r="M217" i="60" s="1"/>
  <c r="N217" i="60" s="1"/>
  <c r="O217" i="60" s="1"/>
  <c r="P217" i="60" s="1"/>
  <c r="B217" i="60"/>
  <c r="E216" i="60"/>
  <c r="F216" i="60" s="1"/>
  <c r="G216" i="60" s="1"/>
  <c r="H216" i="60" s="1"/>
  <c r="I216" i="60" s="1"/>
  <c r="J216" i="60" s="1"/>
  <c r="K216" i="60" s="1"/>
  <c r="L216" i="60" s="1"/>
  <c r="M216" i="60" s="1"/>
  <c r="N216" i="60" s="1"/>
  <c r="O216" i="60" s="1"/>
  <c r="P216" i="60" s="1"/>
  <c r="D216" i="60"/>
  <c r="B216" i="60"/>
  <c r="B220" i="60" s="1"/>
  <c r="E215" i="60"/>
  <c r="F215" i="60" s="1"/>
  <c r="G215" i="60" s="1"/>
  <c r="H215" i="60" s="1"/>
  <c r="I215" i="60" s="1"/>
  <c r="J215" i="60" s="1"/>
  <c r="K215" i="60" s="1"/>
  <c r="L215" i="60" s="1"/>
  <c r="M215" i="60" s="1"/>
  <c r="N215" i="60" s="1"/>
  <c r="O215" i="60" s="1"/>
  <c r="P215" i="60" s="1"/>
  <c r="D215" i="60"/>
  <c r="B215" i="60"/>
  <c r="F214" i="60"/>
  <c r="E214" i="60"/>
  <c r="E220" i="60" s="1"/>
  <c r="D214" i="60"/>
  <c r="D220" i="60" s="1"/>
  <c r="B214" i="60"/>
  <c r="AG212" i="60"/>
  <c r="AF212" i="60"/>
  <c r="AE212" i="60"/>
  <c r="AD212" i="60"/>
  <c r="AC212" i="60"/>
  <c r="AB212" i="60"/>
  <c r="AA212" i="60"/>
  <c r="Z212" i="60"/>
  <c r="Y212" i="60"/>
  <c r="X212" i="60"/>
  <c r="W212" i="60"/>
  <c r="V212" i="60"/>
  <c r="U212" i="60"/>
  <c r="T212" i="60"/>
  <c r="S212" i="60"/>
  <c r="R212" i="60"/>
  <c r="Q212" i="60"/>
  <c r="P212" i="60"/>
  <c r="O212" i="60"/>
  <c r="N212" i="60"/>
  <c r="M212" i="60"/>
  <c r="L212" i="60"/>
  <c r="K212" i="60"/>
  <c r="J212" i="60"/>
  <c r="I212" i="60"/>
  <c r="H212" i="60"/>
  <c r="G212" i="60"/>
  <c r="F212" i="60"/>
  <c r="E212" i="60"/>
  <c r="D212" i="60"/>
  <c r="C212" i="60"/>
  <c r="B212" i="60"/>
  <c r="AH105" i="60"/>
  <c r="AI105" i="60" s="1"/>
  <c r="AH104" i="60"/>
  <c r="AI104" i="60" s="1"/>
  <c r="AH103" i="60"/>
  <c r="AI103" i="60" s="1"/>
  <c r="AH102" i="60"/>
  <c r="AI102" i="60" s="1"/>
  <c r="AH101" i="60"/>
  <c r="AI101" i="60" s="1"/>
  <c r="AH100" i="60"/>
  <c r="AI100" i="60" s="1"/>
  <c r="AH99" i="60"/>
  <c r="AI99" i="60" s="1"/>
  <c r="AF98" i="60"/>
  <c r="AE98" i="60"/>
  <c r="AD98" i="60"/>
  <c r="AC98" i="60"/>
  <c r="AB98" i="60"/>
  <c r="AA98" i="60"/>
  <c r="Z98" i="60"/>
  <c r="Y98" i="60"/>
  <c r="X98" i="60"/>
  <c r="W98" i="60"/>
  <c r="V98" i="60"/>
  <c r="U98" i="60"/>
  <c r="T98" i="60"/>
  <c r="S98" i="60"/>
  <c r="R98" i="60"/>
  <c r="Q98" i="60"/>
  <c r="E98" i="60"/>
  <c r="D98" i="60"/>
  <c r="C98" i="60"/>
  <c r="AI97" i="60"/>
  <c r="AH97" i="60"/>
  <c r="AI96" i="60"/>
  <c r="AH96" i="60"/>
  <c r="AI95" i="60"/>
  <c r="AH95" i="60"/>
  <c r="AI94" i="60"/>
  <c r="AH94" i="60"/>
  <c r="AI93" i="60"/>
  <c r="AH93" i="60"/>
  <c r="AI92" i="60"/>
  <c r="AH92" i="60"/>
  <c r="AI91" i="60"/>
  <c r="AH91" i="60"/>
  <c r="AI90" i="60"/>
  <c r="AH90" i="60"/>
  <c r="AI89" i="60"/>
  <c r="AH89" i="60"/>
  <c r="AI86" i="60"/>
  <c r="AH86" i="60"/>
  <c r="AF85" i="60"/>
  <c r="AE85" i="60"/>
  <c r="AD85" i="60"/>
  <c r="AC85" i="60"/>
  <c r="AB85" i="60"/>
  <c r="AA85" i="60"/>
  <c r="Z85" i="60"/>
  <c r="Y85" i="60"/>
  <c r="X85" i="60"/>
  <c r="W85" i="60"/>
  <c r="V85" i="60"/>
  <c r="U85" i="60"/>
  <c r="T85" i="60"/>
  <c r="S85" i="60"/>
  <c r="R85" i="60"/>
  <c r="Q85" i="60"/>
  <c r="P85" i="60"/>
  <c r="O85" i="60"/>
  <c r="N85" i="60"/>
  <c r="M85" i="60"/>
  <c r="L85" i="60"/>
  <c r="K85" i="60"/>
  <c r="J85" i="60"/>
  <c r="I85" i="60"/>
  <c r="H85" i="60"/>
  <c r="G85" i="60"/>
  <c r="F85" i="60"/>
  <c r="E85" i="60"/>
  <c r="D85" i="60"/>
  <c r="C85" i="60"/>
  <c r="AF84" i="60"/>
  <c r="AE84" i="60"/>
  <c r="AD84" i="60"/>
  <c r="AC84" i="60"/>
  <c r="AB84" i="60"/>
  <c r="AA84" i="60"/>
  <c r="Z84" i="60"/>
  <c r="Y84" i="60"/>
  <c r="X84" i="60"/>
  <c r="W84" i="60"/>
  <c r="V84" i="60"/>
  <c r="U84" i="60"/>
  <c r="T84" i="60"/>
  <c r="S84" i="60"/>
  <c r="R84" i="60"/>
  <c r="Q84" i="60"/>
  <c r="P84" i="60"/>
  <c r="O84" i="60"/>
  <c r="N84" i="60"/>
  <c r="M84" i="60"/>
  <c r="L84" i="60"/>
  <c r="K84" i="60"/>
  <c r="J84" i="60"/>
  <c r="I84" i="60"/>
  <c r="H84" i="60"/>
  <c r="G84" i="60"/>
  <c r="F84" i="60"/>
  <c r="E84" i="60"/>
  <c r="D84" i="60"/>
  <c r="C84" i="60"/>
  <c r="AF83" i="60"/>
  <c r="AE83" i="60"/>
  <c r="AD83" i="60"/>
  <c r="AC83" i="60"/>
  <c r="AB83" i="60"/>
  <c r="AA83" i="60"/>
  <c r="Z83" i="60"/>
  <c r="Y83" i="60"/>
  <c r="X83" i="60"/>
  <c r="X87" i="60" s="1"/>
  <c r="W83" i="60"/>
  <c r="V83" i="60"/>
  <c r="U83" i="60"/>
  <c r="T83" i="60"/>
  <c r="S83" i="60"/>
  <c r="R83" i="60"/>
  <c r="Q83" i="60"/>
  <c r="P83" i="60"/>
  <c r="O83" i="60"/>
  <c r="N83" i="60"/>
  <c r="M83" i="60"/>
  <c r="L83" i="60"/>
  <c r="K83" i="60"/>
  <c r="J83" i="60"/>
  <c r="I83" i="60"/>
  <c r="H83" i="60"/>
  <c r="G83" i="60"/>
  <c r="F83" i="60"/>
  <c r="E83" i="60"/>
  <c r="D83" i="60"/>
  <c r="C83" i="60"/>
  <c r="AF82" i="60"/>
  <c r="AE82" i="60"/>
  <c r="AD82" i="60"/>
  <c r="AC82" i="60"/>
  <c r="AB82" i="60"/>
  <c r="AA82" i="60"/>
  <c r="Z82" i="60"/>
  <c r="Y82" i="60"/>
  <c r="X82" i="60"/>
  <c r="W82" i="60"/>
  <c r="V82" i="60"/>
  <c r="U82" i="60"/>
  <c r="T82" i="60"/>
  <c r="S82" i="60"/>
  <c r="R82" i="60"/>
  <c r="Q82" i="60"/>
  <c r="P82" i="60"/>
  <c r="O82" i="60"/>
  <c r="N82" i="60"/>
  <c r="M82" i="60"/>
  <c r="L82" i="60"/>
  <c r="K82" i="60"/>
  <c r="J82" i="60"/>
  <c r="I82" i="60"/>
  <c r="H82" i="60"/>
  <c r="G82" i="60"/>
  <c r="F82" i="60"/>
  <c r="E82" i="60"/>
  <c r="D82" i="60"/>
  <c r="C82" i="60"/>
  <c r="AF81" i="60"/>
  <c r="AE81" i="60"/>
  <c r="AD81" i="60"/>
  <c r="AC81" i="60"/>
  <c r="AC87" i="60" s="1"/>
  <c r="AB81" i="60"/>
  <c r="Z81" i="60"/>
  <c r="Y81" i="60"/>
  <c r="Y87" i="60" s="1"/>
  <c r="X81" i="60"/>
  <c r="W81" i="60"/>
  <c r="V81" i="60"/>
  <c r="U81" i="60"/>
  <c r="T81" i="60"/>
  <c r="S81" i="60"/>
  <c r="R81" i="60"/>
  <c r="Q81" i="60"/>
  <c r="P81" i="60"/>
  <c r="P87" i="60" s="1"/>
  <c r="O81" i="60"/>
  <c r="O87" i="60" s="1"/>
  <c r="O88" i="60" s="1"/>
  <c r="N81" i="60"/>
  <c r="M81" i="60"/>
  <c r="L81" i="60"/>
  <c r="K81" i="60"/>
  <c r="J81" i="60"/>
  <c r="J87" i="60" s="1"/>
  <c r="I81" i="60"/>
  <c r="H81" i="60"/>
  <c r="G81" i="60"/>
  <c r="G87" i="60" s="1"/>
  <c r="F81" i="60"/>
  <c r="E81" i="60"/>
  <c r="E87" i="60" s="1"/>
  <c r="D81" i="60"/>
  <c r="D87" i="60" s="1"/>
  <c r="C81" i="60"/>
  <c r="AI78" i="60"/>
  <c r="AH78" i="60"/>
  <c r="AI76" i="60"/>
  <c r="AH76" i="60"/>
  <c r="AG76" i="60"/>
  <c r="AI75" i="60"/>
  <c r="AH75" i="60"/>
  <c r="AI74" i="60"/>
  <c r="AH74" i="60"/>
  <c r="AI73" i="60"/>
  <c r="AH73" i="60"/>
  <c r="AG72" i="60"/>
  <c r="AF72" i="60"/>
  <c r="AE5" i="60" s="1"/>
  <c r="AE72" i="60"/>
  <c r="AD5" i="60" s="1"/>
  <c r="AD72" i="60"/>
  <c r="AC5" i="60" s="1"/>
  <c r="AC72" i="60"/>
  <c r="AB5" i="60" s="1"/>
  <c r="AB72" i="60"/>
  <c r="AA5" i="60" s="1"/>
  <c r="AA72" i="60"/>
  <c r="Z72" i="60"/>
  <c r="Y5" i="60" s="1"/>
  <c r="Y72" i="60"/>
  <c r="X72" i="60"/>
  <c r="W5" i="60" s="1"/>
  <c r="W72" i="60"/>
  <c r="V5" i="60" s="1"/>
  <c r="V72" i="60"/>
  <c r="U72" i="60"/>
  <c r="T5" i="60" s="1"/>
  <c r="T72" i="60"/>
  <c r="S5" i="60" s="1"/>
  <c r="S72" i="60"/>
  <c r="R5" i="60" s="1"/>
  <c r="R72" i="60"/>
  <c r="Q5" i="60" s="1"/>
  <c r="Q72" i="60"/>
  <c r="P72" i="60"/>
  <c r="O5" i="60" s="1"/>
  <c r="O72" i="60"/>
  <c r="N5" i="60" s="1"/>
  <c r="N72" i="60"/>
  <c r="M5" i="60" s="1"/>
  <c r="M72" i="60"/>
  <c r="L5" i="60" s="1"/>
  <c r="L72" i="60"/>
  <c r="K72" i="60"/>
  <c r="J72" i="60"/>
  <c r="I72" i="60"/>
  <c r="H72" i="60"/>
  <c r="G5" i="60" s="1"/>
  <c r="G72" i="60"/>
  <c r="F5" i="60" s="1"/>
  <c r="F72" i="60"/>
  <c r="E5" i="60" s="1"/>
  <c r="E72" i="60"/>
  <c r="D5" i="60" s="1"/>
  <c r="D72" i="60"/>
  <c r="C72" i="60"/>
  <c r="B5" i="60" s="1"/>
  <c r="AI71" i="60"/>
  <c r="AH71" i="60"/>
  <c r="AI70" i="60"/>
  <c r="AH70" i="60"/>
  <c r="AI69" i="60"/>
  <c r="AH69" i="60"/>
  <c r="AI68" i="60"/>
  <c r="AH68" i="60"/>
  <c r="AI67" i="60"/>
  <c r="AH67" i="60"/>
  <c r="AI66" i="60"/>
  <c r="AH66" i="60"/>
  <c r="AI65" i="60"/>
  <c r="AH65" i="60"/>
  <c r="AI64" i="60"/>
  <c r="AH64" i="60"/>
  <c r="AI63" i="60"/>
  <c r="AH63" i="60"/>
  <c r="AI62" i="60"/>
  <c r="AH62" i="60"/>
  <c r="AI61" i="60"/>
  <c r="AH61" i="60"/>
  <c r="AG60" i="60"/>
  <c r="AG4" i="60" s="1"/>
  <c r="AF60" i="60"/>
  <c r="AE60" i="60"/>
  <c r="AD60" i="60"/>
  <c r="AC60" i="60"/>
  <c r="AB60" i="60"/>
  <c r="AA60" i="60"/>
  <c r="Z60" i="60"/>
  <c r="Y60" i="60"/>
  <c r="X60" i="60"/>
  <c r="W60" i="60"/>
  <c r="V60" i="60"/>
  <c r="U60" i="60"/>
  <c r="T60" i="60"/>
  <c r="S60" i="60"/>
  <c r="R60" i="60"/>
  <c r="Q60" i="60"/>
  <c r="P60" i="60"/>
  <c r="O60" i="60"/>
  <c r="N60" i="60"/>
  <c r="M60" i="60"/>
  <c r="L60" i="60"/>
  <c r="K60" i="60"/>
  <c r="J60" i="60"/>
  <c r="I60" i="60"/>
  <c r="H60" i="60"/>
  <c r="G60" i="60"/>
  <c r="F60" i="60"/>
  <c r="E60" i="60"/>
  <c r="D60" i="60"/>
  <c r="C60" i="60"/>
  <c r="AI59" i="60"/>
  <c r="AH59" i="60"/>
  <c r="AI58" i="60"/>
  <c r="AH58" i="60"/>
  <c r="AI57" i="60"/>
  <c r="AH57" i="60"/>
  <c r="AF56" i="60"/>
  <c r="AE56" i="60"/>
  <c r="AD56" i="60"/>
  <c r="AC56" i="60"/>
  <c r="AB56" i="60"/>
  <c r="AA56" i="60"/>
  <c r="Z56" i="60"/>
  <c r="Y56" i="60"/>
  <c r="X56" i="60"/>
  <c r="W56" i="60"/>
  <c r="V56" i="60"/>
  <c r="U56" i="60"/>
  <c r="T56" i="60"/>
  <c r="S56" i="60"/>
  <c r="R56" i="60"/>
  <c r="Q56" i="60"/>
  <c r="P56" i="60"/>
  <c r="O56" i="60"/>
  <c r="N56" i="60"/>
  <c r="M56" i="60"/>
  <c r="L56" i="60"/>
  <c r="K56" i="60"/>
  <c r="J56" i="60"/>
  <c r="I56" i="60"/>
  <c r="H56" i="60"/>
  <c r="G56" i="60"/>
  <c r="F56" i="60"/>
  <c r="E56" i="60"/>
  <c r="D56" i="60"/>
  <c r="C56" i="60"/>
  <c r="AI55" i="60"/>
  <c r="AH55" i="60"/>
  <c r="AI54" i="60"/>
  <c r="AH54" i="60"/>
  <c r="AI53" i="60"/>
  <c r="AH53" i="60"/>
  <c r="AI52" i="60"/>
  <c r="AH52" i="60"/>
  <c r="AI51" i="60"/>
  <c r="AH51" i="60"/>
  <c r="AI50" i="60"/>
  <c r="AH50" i="60"/>
  <c r="AI49" i="60"/>
  <c r="AH49" i="60"/>
  <c r="AI48" i="60"/>
  <c r="AH48" i="60"/>
  <c r="AI47" i="60"/>
  <c r="AH47" i="60"/>
  <c r="AI46" i="60"/>
  <c r="AH46" i="60"/>
  <c r="AI45" i="60"/>
  <c r="AH45" i="60"/>
  <c r="AI44" i="60"/>
  <c r="AH44" i="60"/>
  <c r="AI43" i="60"/>
  <c r="AH43" i="60"/>
  <c r="AG42" i="60"/>
  <c r="AF42" i="60"/>
  <c r="AE42" i="60"/>
  <c r="AD42" i="60"/>
  <c r="AC42" i="60"/>
  <c r="AB42" i="60"/>
  <c r="AA42" i="60"/>
  <c r="Z42" i="60"/>
  <c r="Y42" i="60"/>
  <c r="X42" i="60"/>
  <c r="W42" i="60"/>
  <c r="V42" i="60"/>
  <c r="U42" i="60"/>
  <c r="T42" i="60"/>
  <c r="S42" i="60"/>
  <c r="R42" i="60"/>
  <c r="Q42" i="60"/>
  <c r="P42" i="60"/>
  <c r="O42" i="60"/>
  <c r="N42" i="60"/>
  <c r="M42" i="60"/>
  <c r="L42" i="60"/>
  <c r="K42" i="60"/>
  <c r="J42" i="60"/>
  <c r="I42" i="60"/>
  <c r="H42" i="60"/>
  <c r="G42" i="60"/>
  <c r="F42" i="60"/>
  <c r="E42" i="60"/>
  <c r="D42" i="60"/>
  <c r="C42" i="60"/>
  <c r="AI41" i="60"/>
  <c r="AH41" i="60"/>
  <c r="AI40" i="60"/>
  <c r="AH40" i="60"/>
  <c r="AI39" i="60"/>
  <c r="AH39" i="60"/>
  <c r="AG38" i="60"/>
  <c r="AG77" i="60" s="1"/>
  <c r="AF38" i="60"/>
  <c r="AE38" i="60"/>
  <c r="AD38" i="60"/>
  <c r="AC38" i="60"/>
  <c r="AB38" i="60"/>
  <c r="AA38" i="60"/>
  <c r="Z38" i="60"/>
  <c r="Y38" i="60"/>
  <c r="X38" i="60"/>
  <c r="W38" i="60"/>
  <c r="V38" i="60"/>
  <c r="U38" i="60"/>
  <c r="T38" i="60"/>
  <c r="T77" i="60" s="1"/>
  <c r="T79" i="60" s="1"/>
  <c r="S38" i="60"/>
  <c r="R38" i="60"/>
  <c r="Q38" i="60"/>
  <c r="P38" i="60"/>
  <c r="O38" i="60"/>
  <c r="N38" i="60"/>
  <c r="M38" i="60"/>
  <c r="L38" i="60"/>
  <c r="K38" i="60"/>
  <c r="J38" i="60"/>
  <c r="I38" i="60"/>
  <c r="H38" i="60"/>
  <c r="G38" i="60"/>
  <c r="F38" i="60"/>
  <c r="E38" i="60"/>
  <c r="D38" i="60"/>
  <c r="C38" i="60"/>
  <c r="AI37" i="60"/>
  <c r="AH37" i="60"/>
  <c r="AI36" i="60"/>
  <c r="AH36" i="60"/>
  <c r="AI35" i="60"/>
  <c r="AH35" i="60"/>
  <c r="AI34" i="60"/>
  <c r="AH34" i="60"/>
  <c r="AI33" i="60"/>
  <c r="AH33" i="60"/>
  <c r="AI32" i="60"/>
  <c r="AH32" i="60"/>
  <c r="AI31" i="60"/>
  <c r="AH31" i="60"/>
  <c r="AI30" i="60"/>
  <c r="AH30" i="60"/>
  <c r="AI29" i="60"/>
  <c r="AH29" i="60"/>
  <c r="AI28" i="60"/>
  <c r="AH28" i="60"/>
  <c r="AI27" i="60"/>
  <c r="AH27" i="60"/>
  <c r="AI26" i="60"/>
  <c r="AH26" i="60"/>
  <c r="AI25" i="60"/>
  <c r="AH25" i="60"/>
  <c r="AI24" i="60"/>
  <c r="AH24" i="60"/>
  <c r="AI23" i="60"/>
  <c r="AH23" i="60"/>
  <c r="AI22" i="60"/>
  <c r="AH22" i="60"/>
  <c r="AI21" i="60"/>
  <c r="AH21" i="60"/>
  <c r="AI20" i="60"/>
  <c r="AH20" i="60"/>
  <c r="AI19" i="60"/>
  <c r="AH19" i="60"/>
  <c r="AI18" i="60"/>
  <c r="AH18" i="60"/>
  <c r="AI17" i="60"/>
  <c r="AH17" i="60"/>
  <c r="AI16" i="60"/>
  <c r="AH16" i="60"/>
  <c r="AI15" i="60"/>
  <c r="AH15" i="60"/>
  <c r="AI14" i="60"/>
  <c r="AH14" i="60"/>
  <c r="AI13" i="60"/>
  <c r="AH13" i="60"/>
  <c r="AI12" i="60"/>
  <c r="AH12" i="60"/>
  <c r="AI11" i="60"/>
  <c r="AH11" i="60"/>
  <c r="AF5" i="60"/>
  <c r="U5" i="60"/>
  <c r="K4" i="60"/>
  <c r="B4" i="60"/>
  <c r="S231" i="60" s="1"/>
  <c r="AG2" i="60"/>
  <c r="AF100" i="59"/>
  <c r="AF99" i="59"/>
  <c r="AF37" i="59"/>
  <c r="AE100" i="59"/>
  <c r="AE99" i="59"/>
  <c r="AE37" i="59"/>
  <c r="AD37" i="59"/>
  <c r="AC37" i="59"/>
  <c r="AB37" i="59"/>
  <c r="AA100" i="59"/>
  <c r="Y100" i="59"/>
  <c r="Y37" i="59"/>
  <c r="X100" i="59"/>
  <c r="X37" i="59"/>
  <c r="W100" i="59"/>
  <c r="W37" i="59"/>
  <c r="V100" i="59"/>
  <c r="V37" i="59"/>
  <c r="U100" i="59"/>
  <c r="U37" i="59"/>
  <c r="T100" i="59"/>
  <c r="T37" i="59"/>
  <c r="S100" i="59"/>
  <c r="S37" i="59"/>
  <c r="R100" i="59"/>
  <c r="R37" i="59"/>
  <c r="Q100" i="59"/>
  <c r="Q37" i="59"/>
  <c r="P100" i="59"/>
  <c r="P37" i="59"/>
  <c r="O100" i="59"/>
  <c r="O37" i="59"/>
  <c r="N100" i="59"/>
  <c r="N37" i="59"/>
  <c r="E4" i="61"/>
  <c r="E4" i="60"/>
  <c r="J255" i="65" l="1"/>
  <c r="L219" i="65"/>
  <c r="K220" i="65"/>
  <c r="K98" i="65"/>
  <c r="N214" i="65"/>
  <c r="K220" i="64"/>
  <c r="K98" i="64"/>
  <c r="L214" i="64"/>
  <c r="M255" i="64"/>
  <c r="O219" i="64"/>
  <c r="K220" i="63"/>
  <c r="K98" i="63"/>
  <c r="L214" i="63"/>
  <c r="M219" i="63"/>
  <c r="K255" i="63"/>
  <c r="J255" i="62"/>
  <c r="L219" i="62"/>
  <c r="J220" i="62"/>
  <c r="K214" i="62"/>
  <c r="J98" i="62"/>
  <c r="AF87" i="61"/>
  <c r="AF77" i="61"/>
  <c r="AF79" i="61" s="1"/>
  <c r="AE87" i="61"/>
  <c r="AD87" i="61"/>
  <c r="AD77" i="61"/>
  <c r="AD79" i="61" s="1"/>
  <c r="AE77" i="61"/>
  <c r="AE79" i="61" s="1"/>
  <c r="AC87" i="61"/>
  <c r="AC88" i="61" s="1"/>
  <c r="AC77" i="61"/>
  <c r="AC79" i="61" s="1"/>
  <c r="AB87" i="61"/>
  <c r="AB88" i="61" s="1"/>
  <c r="AB77" i="61"/>
  <c r="AB79" i="61" s="1"/>
  <c r="Z5" i="61"/>
  <c r="AA87" i="61"/>
  <c r="AA88" i="61" s="1"/>
  <c r="Z87" i="61"/>
  <c r="Z88" i="61" s="1"/>
  <c r="Z77" i="61"/>
  <c r="Z79" i="61" s="1"/>
  <c r="Y87" i="61"/>
  <c r="Y88" i="61" s="1"/>
  <c r="Y77" i="61"/>
  <c r="Y79" i="61" s="1"/>
  <c r="X87" i="61"/>
  <c r="X77" i="61"/>
  <c r="X79" i="61" s="1"/>
  <c r="AI37" i="61"/>
  <c r="W87" i="61"/>
  <c r="W77" i="61"/>
  <c r="W79" i="61" s="1"/>
  <c r="V87" i="61"/>
  <c r="V77" i="61"/>
  <c r="V79" i="61" s="1"/>
  <c r="U87" i="61"/>
  <c r="U88" i="61" s="1"/>
  <c r="U77" i="61"/>
  <c r="U79" i="61" s="1"/>
  <c r="T87" i="61"/>
  <c r="T88" i="61" s="1"/>
  <c r="S87" i="61"/>
  <c r="S88" i="61" s="1"/>
  <c r="R5" i="61"/>
  <c r="T77" i="61"/>
  <c r="T79" i="61" s="1"/>
  <c r="S77" i="61"/>
  <c r="S79" i="61" s="1"/>
  <c r="R87" i="61"/>
  <c r="R88" i="61" s="1"/>
  <c r="R77" i="61"/>
  <c r="R79" i="61" s="1"/>
  <c r="Q87" i="61"/>
  <c r="Q88" i="61" s="1"/>
  <c r="Q77" i="61"/>
  <c r="Q79" i="61" s="1"/>
  <c r="P87" i="61"/>
  <c r="P77" i="61"/>
  <c r="P79" i="61" s="1"/>
  <c r="O87" i="61"/>
  <c r="O77" i="61"/>
  <c r="O79" i="61" s="1"/>
  <c r="N77" i="61"/>
  <c r="N79" i="61" s="1"/>
  <c r="M87" i="61"/>
  <c r="M88" i="61" s="1"/>
  <c r="M77" i="61"/>
  <c r="M79" i="61" s="1"/>
  <c r="L87" i="61"/>
  <c r="L88" i="61" s="1"/>
  <c r="L77" i="61"/>
  <c r="L79" i="61" s="1"/>
  <c r="L7" i="61" s="1"/>
  <c r="K87" i="61"/>
  <c r="K88" i="61" s="1"/>
  <c r="K77" i="61"/>
  <c r="K79" i="61" s="1"/>
  <c r="K7" i="61" s="1"/>
  <c r="J87" i="61"/>
  <c r="J88" i="61" s="1"/>
  <c r="J77" i="61"/>
  <c r="J79" i="61" s="1"/>
  <c r="I88" i="61"/>
  <c r="I77" i="61"/>
  <c r="I79" i="61" s="1"/>
  <c r="I80" i="61" s="1"/>
  <c r="H87" i="61"/>
  <c r="H77" i="61"/>
  <c r="H79" i="61" s="1"/>
  <c r="G77" i="61"/>
  <c r="G79" i="61" s="1"/>
  <c r="Y234" i="61" s="1"/>
  <c r="F87" i="61"/>
  <c r="F77" i="61"/>
  <c r="F79" i="61" s="1"/>
  <c r="F80" i="61" s="1"/>
  <c r="E87" i="61"/>
  <c r="E88" i="61"/>
  <c r="E77" i="61"/>
  <c r="E79" i="61" s="1"/>
  <c r="E7" i="61" s="1"/>
  <c r="AH42" i="61"/>
  <c r="AI81" i="61"/>
  <c r="D87" i="61"/>
  <c r="D88" i="61" s="1"/>
  <c r="AH72" i="61"/>
  <c r="AI84" i="61"/>
  <c r="AI83" i="61"/>
  <c r="AH82" i="61"/>
  <c r="AH60" i="61"/>
  <c r="D77" i="61"/>
  <c r="D79" i="61" s="1"/>
  <c r="D7" i="61" s="1"/>
  <c r="AI42" i="61"/>
  <c r="AI38" i="61"/>
  <c r="AI85" i="61"/>
  <c r="C87" i="61"/>
  <c r="AH56" i="61"/>
  <c r="AF5" i="61"/>
  <c r="AH85" i="61"/>
  <c r="AI72" i="61"/>
  <c r="AI60" i="61"/>
  <c r="AI56" i="61"/>
  <c r="B77" i="61"/>
  <c r="D231" i="61"/>
  <c r="H4" i="61"/>
  <c r="AB7" i="61"/>
  <c r="AT234" i="61"/>
  <c r="AB80" i="61"/>
  <c r="M7" i="61"/>
  <c r="AE234" i="61"/>
  <c r="M80" i="61"/>
  <c r="U7" i="61"/>
  <c r="AM234" i="61"/>
  <c r="U80" i="61"/>
  <c r="AC7" i="61"/>
  <c r="AU234" i="61"/>
  <c r="AC80" i="61"/>
  <c r="X234" i="61"/>
  <c r="AF234" i="61"/>
  <c r="N80" i="61"/>
  <c r="N7" i="61"/>
  <c r="AN234" i="61"/>
  <c r="V80" i="61"/>
  <c r="V7" i="61"/>
  <c r="AV234" i="61"/>
  <c r="AD80" i="61"/>
  <c r="AD7" i="61"/>
  <c r="G7" i="61"/>
  <c r="H80" i="61"/>
  <c r="H7" i="61"/>
  <c r="Z234" i="61"/>
  <c r="P80" i="61"/>
  <c r="P7" i="61"/>
  <c r="AH234" i="61"/>
  <c r="X7" i="61"/>
  <c r="X80" i="61"/>
  <c r="AP234" i="61"/>
  <c r="AF80" i="61"/>
  <c r="AF7" i="61"/>
  <c r="AX234" i="61"/>
  <c r="AG3" i="61"/>
  <c r="AG6" i="61" s="1"/>
  <c r="AG79" i="61"/>
  <c r="T7" i="61"/>
  <c r="AL234" i="61"/>
  <c r="T80" i="61"/>
  <c r="AG234" i="61"/>
  <c r="O7" i="61"/>
  <c r="O80" i="61"/>
  <c r="Q80" i="61"/>
  <c r="Q7" i="61"/>
  <c r="AI234" i="61"/>
  <c r="Y80" i="61"/>
  <c r="Y7" i="61"/>
  <c r="AQ234" i="61"/>
  <c r="AG77" i="61"/>
  <c r="AW234" i="61"/>
  <c r="AE80" i="61"/>
  <c r="AE7" i="61"/>
  <c r="AB234" i="61"/>
  <c r="J7" i="61"/>
  <c r="R80" i="61"/>
  <c r="R7" i="61"/>
  <c r="AJ234" i="61"/>
  <c r="Z80" i="61"/>
  <c r="Z7" i="61"/>
  <c r="AR234" i="61"/>
  <c r="AD234" i="61"/>
  <c r="L80" i="61"/>
  <c r="AO234" i="61"/>
  <c r="W80" i="61"/>
  <c r="W7" i="61"/>
  <c r="S7" i="61"/>
  <c r="AK234" i="61"/>
  <c r="S80" i="61"/>
  <c r="AA7" i="61"/>
  <c r="AS234" i="61"/>
  <c r="AA80" i="61"/>
  <c r="C77" i="61"/>
  <c r="C79" i="61" s="1"/>
  <c r="G88" i="61"/>
  <c r="O88" i="61"/>
  <c r="W88" i="61"/>
  <c r="AE88" i="61"/>
  <c r="AI82" i="61"/>
  <c r="AH83" i="61"/>
  <c r="C88" i="61"/>
  <c r="AH38" i="61"/>
  <c r="AH84" i="61"/>
  <c r="F88" i="61"/>
  <c r="N88" i="61"/>
  <c r="V88" i="61"/>
  <c r="AD88" i="61"/>
  <c r="E214" i="61"/>
  <c r="G219" i="61"/>
  <c r="D98" i="61"/>
  <c r="H88" i="61"/>
  <c r="P88" i="61"/>
  <c r="X88" i="61"/>
  <c r="AF88" i="61"/>
  <c r="AH81" i="61"/>
  <c r="B87" i="61"/>
  <c r="AF87" i="60"/>
  <c r="AF77" i="60"/>
  <c r="AF79" i="60" s="1"/>
  <c r="AE87" i="60"/>
  <c r="AE88" i="60" s="1"/>
  <c r="AE77" i="60"/>
  <c r="AE79" i="60" s="1"/>
  <c r="AD77" i="60"/>
  <c r="AD79" i="60" s="1"/>
  <c r="AD87" i="60"/>
  <c r="AC77" i="60"/>
  <c r="AC79" i="60" s="1"/>
  <c r="AB87" i="60"/>
  <c r="AB88" i="60" s="1"/>
  <c r="AB77" i="60"/>
  <c r="AB79" i="60" s="1"/>
  <c r="AT234" i="60" s="1"/>
  <c r="AA77" i="60"/>
  <c r="AA79" i="60" s="1"/>
  <c r="AA87" i="60"/>
  <c r="AA88" i="60" s="1"/>
  <c r="Z5" i="60"/>
  <c r="W87" i="60"/>
  <c r="W88" i="60" s="1"/>
  <c r="X77" i="60"/>
  <c r="X79" i="60" s="1"/>
  <c r="Y88" i="60"/>
  <c r="Z87" i="60"/>
  <c r="Z88" i="60" s="1"/>
  <c r="Z77" i="60"/>
  <c r="Z79" i="60" s="1"/>
  <c r="Z80" i="60" s="1"/>
  <c r="W77" i="60"/>
  <c r="W79" i="60" s="1"/>
  <c r="Y77" i="60"/>
  <c r="Y79" i="60" s="1"/>
  <c r="V87" i="60"/>
  <c r="V77" i="60"/>
  <c r="V79" i="60" s="1"/>
  <c r="U87" i="60"/>
  <c r="U77" i="60"/>
  <c r="U79" i="60" s="1"/>
  <c r="T87" i="60"/>
  <c r="T88" i="60" s="1"/>
  <c r="S87" i="60"/>
  <c r="S88" i="60"/>
  <c r="S77" i="60"/>
  <c r="S79" i="60" s="1"/>
  <c r="R87" i="60"/>
  <c r="R88" i="60" s="1"/>
  <c r="R77" i="60"/>
  <c r="R79" i="60" s="1"/>
  <c r="Q87" i="60"/>
  <c r="Q88" i="60" s="1"/>
  <c r="Q77" i="60"/>
  <c r="Q79" i="60" s="1"/>
  <c r="P77" i="60"/>
  <c r="P79" i="60" s="1"/>
  <c r="O77" i="60"/>
  <c r="O79" i="60" s="1"/>
  <c r="AG234" i="60" s="1"/>
  <c r="N87" i="60"/>
  <c r="N77" i="60"/>
  <c r="N79" i="60" s="1"/>
  <c r="M87" i="60"/>
  <c r="M88" i="60" s="1"/>
  <c r="M77" i="60"/>
  <c r="M79" i="60" s="1"/>
  <c r="AI42" i="60"/>
  <c r="L87" i="60"/>
  <c r="L88" i="60" s="1"/>
  <c r="K5" i="60"/>
  <c r="L77" i="60"/>
  <c r="L79" i="60" s="1"/>
  <c r="L7" i="60" s="1"/>
  <c r="K87" i="60"/>
  <c r="K88" i="60" s="1"/>
  <c r="J5" i="60"/>
  <c r="K77" i="60"/>
  <c r="K79" i="60" s="1"/>
  <c r="AC234" i="60" s="1"/>
  <c r="J88" i="60"/>
  <c r="I5" i="60"/>
  <c r="J77" i="60"/>
  <c r="J79" i="60" s="1"/>
  <c r="J80" i="60" s="1"/>
  <c r="I87" i="60"/>
  <c r="I88" i="60"/>
  <c r="H77" i="60"/>
  <c r="H79" i="60" s="1"/>
  <c r="H80" i="60" s="1"/>
  <c r="H87" i="60"/>
  <c r="G88" i="60"/>
  <c r="AI85" i="60"/>
  <c r="G77" i="60"/>
  <c r="G79" i="60" s="1"/>
  <c r="Y234" i="60" s="1"/>
  <c r="F87" i="60"/>
  <c r="AH82" i="60"/>
  <c r="F77" i="60"/>
  <c r="F79" i="60" s="1"/>
  <c r="X234" i="60" s="1"/>
  <c r="AH84" i="60"/>
  <c r="E77" i="60"/>
  <c r="E79" i="60" s="1"/>
  <c r="E7" i="60" s="1"/>
  <c r="I77" i="60"/>
  <c r="I79" i="60" s="1"/>
  <c r="AI81" i="60"/>
  <c r="AI84" i="60"/>
  <c r="D88" i="60"/>
  <c r="C5" i="60"/>
  <c r="AI60" i="60"/>
  <c r="D77" i="60"/>
  <c r="D79" i="60" s="1"/>
  <c r="D7" i="60" s="1"/>
  <c r="C87" i="60"/>
  <c r="C88" i="60" s="1"/>
  <c r="AI56" i="60"/>
  <c r="C77" i="60"/>
  <c r="C79" i="60" s="1"/>
  <c r="U234" i="60" s="1"/>
  <c r="AI38" i="60"/>
  <c r="B88" i="60"/>
  <c r="AI83" i="60"/>
  <c r="B77" i="60"/>
  <c r="B79" i="60" s="1"/>
  <c r="B80" i="60" s="1"/>
  <c r="H4" i="60"/>
  <c r="S7" i="60"/>
  <c r="AK234" i="60"/>
  <c r="S80" i="60"/>
  <c r="AS234" i="60"/>
  <c r="AA7" i="60"/>
  <c r="AA80" i="60"/>
  <c r="U7" i="60"/>
  <c r="AM234" i="60"/>
  <c r="U80" i="60"/>
  <c r="AC7" i="60"/>
  <c r="AU234" i="60"/>
  <c r="AC80" i="60"/>
  <c r="AF234" i="60"/>
  <c r="N80" i="60"/>
  <c r="N7" i="60"/>
  <c r="AN234" i="60"/>
  <c r="V80" i="60"/>
  <c r="V7" i="60"/>
  <c r="AV234" i="60"/>
  <c r="AD80" i="60"/>
  <c r="AD7" i="60"/>
  <c r="G7" i="60"/>
  <c r="AO234" i="60"/>
  <c r="W80" i="60"/>
  <c r="W7" i="60"/>
  <c r="AW234" i="60"/>
  <c r="AE80" i="60"/>
  <c r="AE7" i="60"/>
  <c r="AG79" i="60"/>
  <c r="AG3" i="60"/>
  <c r="T7" i="60"/>
  <c r="T80" i="60"/>
  <c r="AL234" i="60"/>
  <c r="P80" i="60"/>
  <c r="P7" i="60"/>
  <c r="AH234" i="60"/>
  <c r="X80" i="60"/>
  <c r="X7" i="60"/>
  <c r="AP234" i="60"/>
  <c r="AF80" i="60"/>
  <c r="AF7" i="60"/>
  <c r="AX234" i="60"/>
  <c r="E88" i="60"/>
  <c r="U88" i="60"/>
  <c r="AC88" i="60"/>
  <c r="AG6" i="60"/>
  <c r="Q80" i="60"/>
  <c r="Q7" i="60"/>
  <c r="AI234" i="60"/>
  <c r="Y80" i="60"/>
  <c r="Y7" i="60"/>
  <c r="AQ234" i="60"/>
  <c r="F88" i="60"/>
  <c r="N88" i="60"/>
  <c r="V88" i="60"/>
  <c r="AD88" i="60"/>
  <c r="J7" i="60"/>
  <c r="R80" i="60"/>
  <c r="AJ234" i="60"/>
  <c r="R7" i="60"/>
  <c r="H5" i="60"/>
  <c r="P5" i="60"/>
  <c r="X5" i="60"/>
  <c r="AI82" i="60"/>
  <c r="AH83" i="60"/>
  <c r="D231" i="60"/>
  <c r="AH38" i="60"/>
  <c r="AH42" i="60"/>
  <c r="AH85" i="60"/>
  <c r="F219" i="60"/>
  <c r="H88" i="60"/>
  <c r="P88" i="60"/>
  <c r="X88" i="60"/>
  <c r="AF88" i="60"/>
  <c r="G214" i="60"/>
  <c r="AH56" i="60"/>
  <c r="AH60" i="60"/>
  <c r="AH72" i="60"/>
  <c r="AH81" i="60"/>
  <c r="AI72" i="60"/>
  <c r="O214" i="65" l="1"/>
  <c r="K255" i="65"/>
  <c r="M219" i="65"/>
  <c r="L220" i="65"/>
  <c r="L98" i="65"/>
  <c r="N255" i="64"/>
  <c r="P219" i="64"/>
  <c r="O255" i="64" s="1"/>
  <c r="L220" i="64"/>
  <c r="L98" i="64"/>
  <c r="M214" i="64"/>
  <c r="L255" i="63"/>
  <c r="N219" i="63"/>
  <c r="L220" i="63"/>
  <c r="L98" i="63"/>
  <c r="M214" i="63"/>
  <c r="K220" i="62"/>
  <c r="L214" i="62"/>
  <c r="K98" i="62"/>
  <c r="M219" i="62"/>
  <c r="K255" i="62"/>
  <c r="K80" i="61"/>
  <c r="AC234" i="61"/>
  <c r="J80" i="61"/>
  <c r="AA234" i="61"/>
  <c r="I7" i="61"/>
  <c r="G80" i="61"/>
  <c r="B229" i="61"/>
  <c r="C229" i="61"/>
  <c r="F7" i="61"/>
  <c r="E80" i="61"/>
  <c r="W234" i="61"/>
  <c r="V234" i="61"/>
  <c r="D80" i="61"/>
  <c r="AB7" i="60"/>
  <c r="AB80" i="60"/>
  <c r="AI77" i="61"/>
  <c r="B79" i="61"/>
  <c r="AH79" i="61" s="1"/>
  <c r="AH77" i="61"/>
  <c r="B88" i="61"/>
  <c r="AI87" i="61"/>
  <c r="AH87" i="61"/>
  <c r="E98" i="61"/>
  <c r="F214" i="61"/>
  <c r="E220" i="61"/>
  <c r="B80" i="61"/>
  <c r="AI79" i="61"/>
  <c r="C7" i="61"/>
  <c r="U234" i="61"/>
  <c r="C80" i="61"/>
  <c r="F255" i="61"/>
  <c r="H219" i="61"/>
  <c r="AR234" i="60"/>
  <c r="Z7" i="60"/>
  <c r="Z234" i="60"/>
  <c r="H7" i="60"/>
  <c r="G80" i="60"/>
  <c r="O80" i="60"/>
  <c r="O7" i="60"/>
  <c r="F7" i="60"/>
  <c r="F80" i="60"/>
  <c r="M80" i="60"/>
  <c r="AE234" i="60"/>
  <c r="M7" i="60"/>
  <c r="L80" i="60"/>
  <c r="AD234" i="60"/>
  <c r="K7" i="60"/>
  <c r="K80" i="60"/>
  <c r="AB234" i="60"/>
  <c r="C229" i="60"/>
  <c r="I80" i="60"/>
  <c r="E80" i="60"/>
  <c r="W234" i="60"/>
  <c r="AA234" i="60"/>
  <c r="I7" i="60"/>
  <c r="B229" i="60"/>
  <c r="V234" i="60"/>
  <c r="D80" i="60"/>
  <c r="C7" i="60"/>
  <c r="C80" i="60"/>
  <c r="AI88" i="60"/>
  <c r="AH88" i="60"/>
  <c r="G219" i="60"/>
  <c r="E255" i="60"/>
  <c r="F220" i="60"/>
  <c r="G98" i="60"/>
  <c r="H214" i="60"/>
  <c r="G220" i="60"/>
  <c r="AI77" i="60"/>
  <c r="AH77" i="60"/>
  <c r="AI87" i="60"/>
  <c r="AH87" i="60"/>
  <c r="F98" i="60"/>
  <c r="L255" i="65" l="1"/>
  <c r="N219" i="65"/>
  <c r="M98" i="65"/>
  <c r="M220" i="65"/>
  <c r="P214" i="65"/>
  <c r="M98" i="64"/>
  <c r="N214" i="64"/>
  <c r="M220" i="64"/>
  <c r="M98" i="63"/>
  <c r="N214" i="63"/>
  <c r="M220" i="63"/>
  <c r="M255" i="63"/>
  <c r="O219" i="63"/>
  <c r="L255" i="62"/>
  <c r="N219" i="62"/>
  <c r="L220" i="62"/>
  <c r="L98" i="62"/>
  <c r="M214" i="62"/>
  <c r="K6" i="61"/>
  <c r="T234" i="61"/>
  <c r="B7" i="61"/>
  <c r="AH80" i="61"/>
  <c r="F98" i="61"/>
  <c r="G214" i="61"/>
  <c r="F220" i="61"/>
  <c r="G255" i="61"/>
  <c r="I219" i="61"/>
  <c r="A7" i="61"/>
  <c r="AI88" i="61"/>
  <c r="AH88" i="61"/>
  <c r="K6" i="60"/>
  <c r="F255" i="60"/>
  <c r="H219" i="60"/>
  <c r="I214" i="60"/>
  <c r="H220" i="60"/>
  <c r="H98" i="60"/>
  <c r="AH80" i="60"/>
  <c r="AI79" i="60"/>
  <c r="AH79" i="60"/>
  <c r="T234" i="60"/>
  <c r="B7" i="60"/>
  <c r="A7" i="60" s="1"/>
  <c r="M255" i="65" l="1"/>
  <c r="O219" i="65"/>
  <c r="N98" i="65"/>
  <c r="N220" i="65"/>
  <c r="N98" i="64"/>
  <c r="O214" i="64"/>
  <c r="N220" i="64"/>
  <c r="N255" i="63"/>
  <c r="P219" i="63"/>
  <c r="O255" i="63" s="1"/>
  <c r="N98" i="63"/>
  <c r="O214" i="63"/>
  <c r="N220" i="63"/>
  <c r="M98" i="62"/>
  <c r="N214" i="62"/>
  <c r="M220" i="62"/>
  <c r="M255" i="62"/>
  <c r="O219" i="62"/>
  <c r="H255" i="61"/>
  <c r="J219" i="61"/>
  <c r="G98" i="61"/>
  <c r="H214" i="61"/>
  <c r="G220" i="61"/>
  <c r="J214" i="60"/>
  <c r="G255" i="60"/>
  <c r="I219" i="60"/>
  <c r="N255" i="65" l="1"/>
  <c r="P219" i="65"/>
  <c r="O98" i="65"/>
  <c r="O220" i="65"/>
  <c r="O98" i="64"/>
  <c r="P214" i="64"/>
  <c r="O220" i="64"/>
  <c r="O98" i="63"/>
  <c r="P214" i="63"/>
  <c r="O220" i="63"/>
  <c r="P219" i="62"/>
  <c r="O255" i="62" s="1"/>
  <c r="N255" i="62"/>
  <c r="N98" i="62"/>
  <c r="O214" i="62"/>
  <c r="N220" i="62"/>
  <c r="I214" i="61"/>
  <c r="H220" i="61"/>
  <c r="H98" i="61"/>
  <c r="K219" i="61"/>
  <c r="I255" i="61"/>
  <c r="H255" i="60"/>
  <c r="J219" i="60"/>
  <c r="J220" i="60"/>
  <c r="J98" i="60"/>
  <c r="K214" i="60"/>
  <c r="I220" i="60"/>
  <c r="I98" i="60"/>
  <c r="O255" i="65" l="1"/>
  <c r="P220" i="65"/>
  <c r="P98" i="65"/>
  <c r="P220" i="64"/>
  <c r="P98" i="64"/>
  <c r="P220" i="63"/>
  <c r="P98" i="63"/>
  <c r="O98" i="62"/>
  <c r="P214" i="62"/>
  <c r="O220" i="62"/>
  <c r="J255" i="61"/>
  <c r="L219" i="61"/>
  <c r="I220" i="61"/>
  <c r="I98" i="61"/>
  <c r="J214" i="61"/>
  <c r="K98" i="60"/>
  <c r="L214" i="60"/>
  <c r="K219" i="60"/>
  <c r="I255" i="60"/>
  <c r="AH98" i="65" l="1"/>
  <c r="AI98" i="65"/>
  <c r="AH98" i="64"/>
  <c r="AI98" i="64"/>
  <c r="AI98" i="63"/>
  <c r="AH98" i="63"/>
  <c r="P220" i="62"/>
  <c r="P98" i="62"/>
  <c r="J220" i="61"/>
  <c r="J98" i="61"/>
  <c r="K214" i="61"/>
  <c r="M219" i="61"/>
  <c r="K255" i="61"/>
  <c r="J255" i="60"/>
  <c r="L219" i="60"/>
  <c r="L220" i="60"/>
  <c r="L98" i="60"/>
  <c r="M214" i="60"/>
  <c r="K220" i="60"/>
  <c r="AI98" i="62" l="1"/>
  <c r="AH98" i="62"/>
  <c r="K220" i="61"/>
  <c r="K98" i="61"/>
  <c r="L214" i="61"/>
  <c r="L255" i="61"/>
  <c r="N219" i="61"/>
  <c r="N214" i="60"/>
  <c r="K255" i="60"/>
  <c r="M219" i="60"/>
  <c r="M220" i="60" s="1"/>
  <c r="L220" i="61" l="1"/>
  <c r="L98" i="61"/>
  <c r="M214" i="61"/>
  <c r="M255" i="61"/>
  <c r="O219" i="61"/>
  <c r="O214" i="60"/>
  <c r="L255" i="60"/>
  <c r="N219" i="60"/>
  <c r="M98" i="60"/>
  <c r="N255" i="61" l="1"/>
  <c r="P219" i="61"/>
  <c r="O255" i="61" s="1"/>
  <c r="M98" i="61"/>
  <c r="N214" i="61"/>
  <c r="M220" i="61"/>
  <c r="M255" i="60"/>
  <c r="O219" i="60"/>
  <c r="N220" i="60"/>
  <c r="O98" i="60"/>
  <c r="P214" i="60"/>
  <c r="O220" i="60"/>
  <c r="N98" i="60"/>
  <c r="N98" i="61" l="1"/>
  <c r="O214" i="61"/>
  <c r="N220" i="61"/>
  <c r="N255" i="60"/>
  <c r="P219" i="60"/>
  <c r="O255" i="60" s="1"/>
  <c r="O98" i="61" l="1"/>
  <c r="P214" i="61"/>
  <c r="O220" i="61"/>
  <c r="P98" i="60"/>
  <c r="P220" i="60"/>
  <c r="P220" i="61" l="1"/>
  <c r="P98" i="61"/>
  <c r="AI98" i="60"/>
  <c r="AH98" i="60"/>
  <c r="AH98" i="61" l="1"/>
  <c r="AI98" i="61"/>
  <c r="M100" i="59" l="1"/>
  <c r="M37" i="59"/>
  <c r="C38" i="59"/>
  <c r="C42" i="59"/>
  <c r="C56" i="59"/>
  <c r="C60" i="59"/>
  <c r="C72" i="59"/>
  <c r="B5" i="59" s="1"/>
  <c r="AF259" i="59"/>
  <c r="AE259" i="59"/>
  <c r="AD259" i="59"/>
  <c r="AC259" i="59"/>
  <c r="AB259" i="59"/>
  <c r="AA259" i="59"/>
  <c r="Z259" i="59"/>
  <c r="Y259" i="59"/>
  <c r="X259" i="59"/>
  <c r="W259" i="59"/>
  <c r="V259" i="59"/>
  <c r="U259" i="59"/>
  <c r="T259" i="59"/>
  <c r="S259" i="59"/>
  <c r="R259" i="59"/>
  <c r="Q259" i="59"/>
  <c r="P259" i="59"/>
  <c r="O259" i="59"/>
  <c r="N259" i="59"/>
  <c r="M259" i="59"/>
  <c r="L259" i="59"/>
  <c r="K259" i="59"/>
  <c r="J259" i="59"/>
  <c r="I259" i="59"/>
  <c r="H259" i="59"/>
  <c r="G259" i="59"/>
  <c r="F259" i="59"/>
  <c r="E259" i="59"/>
  <c r="D259" i="59"/>
  <c r="C259" i="59"/>
  <c r="B259" i="59"/>
  <c r="A259" i="59"/>
  <c r="AF258" i="59"/>
  <c r="AE258" i="59"/>
  <c r="AD258" i="59"/>
  <c r="AC258" i="59"/>
  <c r="AB258" i="59"/>
  <c r="AA258" i="59"/>
  <c r="Z258" i="59"/>
  <c r="Y258" i="59"/>
  <c r="X258" i="59"/>
  <c r="W258" i="59"/>
  <c r="V258" i="59"/>
  <c r="U258" i="59"/>
  <c r="T258" i="59"/>
  <c r="S258" i="59"/>
  <c r="R258" i="59"/>
  <c r="Q258" i="59"/>
  <c r="P258" i="59"/>
  <c r="O258" i="59"/>
  <c r="N258" i="59"/>
  <c r="M258" i="59"/>
  <c r="L258" i="59"/>
  <c r="K258" i="59"/>
  <c r="J258" i="59"/>
  <c r="I258" i="59"/>
  <c r="H258" i="59"/>
  <c r="G258" i="59"/>
  <c r="F258" i="59"/>
  <c r="E258" i="59"/>
  <c r="D258" i="59"/>
  <c r="C258" i="59"/>
  <c r="B258" i="59"/>
  <c r="A258" i="59"/>
  <c r="AF257" i="59"/>
  <c r="AE257" i="59"/>
  <c r="AD257" i="59"/>
  <c r="AC257" i="59"/>
  <c r="AB257" i="59"/>
  <c r="AA257" i="59"/>
  <c r="Z257" i="59"/>
  <c r="Y257" i="59"/>
  <c r="X257" i="59"/>
  <c r="W257" i="59"/>
  <c r="V257" i="59"/>
  <c r="U257" i="59"/>
  <c r="T257" i="59"/>
  <c r="S257" i="59"/>
  <c r="R257" i="59"/>
  <c r="Q257" i="59"/>
  <c r="P257" i="59"/>
  <c r="O257" i="59"/>
  <c r="N257" i="59"/>
  <c r="M257" i="59"/>
  <c r="L257" i="59"/>
  <c r="K257" i="59"/>
  <c r="J257" i="59"/>
  <c r="I257" i="59"/>
  <c r="H257" i="59"/>
  <c r="G257" i="59"/>
  <c r="F257" i="59"/>
  <c r="E257" i="59"/>
  <c r="D257" i="59"/>
  <c r="C257" i="59"/>
  <c r="B257" i="59"/>
  <c r="A257" i="59"/>
  <c r="AF256" i="59"/>
  <c r="AE256" i="59"/>
  <c r="AD256" i="59"/>
  <c r="AC256" i="59"/>
  <c r="AB256" i="59"/>
  <c r="AA256" i="59"/>
  <c r="Z256" i="59"/>
  <c r="Y256" i="59"/>
  <c r="X256" i="59"/>
  <c r="W256" i="59"/>
  <c r="V256" i="59"/>
  <c r="U256" i="59"/>
  <c r="T256" i="59"/>
  <c r="S256" i="59"/>
  <c r="R256" i="59"/>
  <c r="Q256" i="59"/>
  <c r="P256" i="59"/>
  <c r="O256" i="59"/>
  <c r="N256" i="59"/>
  <c r="M256" i="59"/>
  <c r="L256" i="59"/>
  <c r="K256" i="59"/>
  <c r="J256" i="59"/>
  <c r="I256" i="59"/>
  <c r="H256" i="59"/>
  <c r="G256" i="59"/>
  <c r="F256" i="59"/>
  <c r="E256" i="59"/>
  <c r="D256" i="59"/>
  <c r="C256" i="59"/>
  <c r="B256" i="59"/>
  <c r="A256" i="59"/>
  <c r="AE255" i="59"/>
  <c r="AD255" i="59"/>
  <c r="AC255" i="59"/>
  <c r="AB255" i="59"/>
  <c r="AA255" i="59"/>
  <c r="Z255" i="59"/>
  <c r="Y255" i="59"/>
  <c r="X255" i="59"/>
  <c r="W255" i="59"/>
  <c r="V255" i="59"/>
  <c r="U255" i="59"/>
  <c r="T255" i="59"/>
  <c r="S255" i="59"/>
  <c r="R255" i="59"/>
  <c r="Q255" i="59"/>
  <c r="P255" i="59"/>
  <c r="C255" i="59"/>
  <c r="B255" i="59"/>
  <c r="S230" i="59"/>
  <c r="AG220" i="59"/>
  <c r="AF220" i="59"/>
  <c r="AE220" i="59"/>
  <c r="AD220" i="59"/>
  <c r="AC220" i="59"/>
  <c r="AB220" i="59"/>
  <c r="AA220" i="59"/>
  <c r="Z220" i="59"/>
  <c r="Y220" i="59"/>
  <c r="X220" i="59"/>
  <c r="W220" i="59"/>
  <c r="V220" i="59"/>
  <c r="U220" i="59"/>
  <c r="T220" i="59"/>
  <c r="S220" i="59"/>
  <c r="R220" i="59"/>
  <c r="Q220" i="59"/>
  <c r="C220" i="59"/>
  <c r="D219" i="59"/>
  <c r="E219" i="59" s="1"/>
  <c r="D255" i="59" s="1"/>
  <c r="B219" i="59"/>
  <c r="AF255" i="59" s="1"/>
  <c r="D218" i="59"/>
  <c r="E218" i="59" s="1"/>
  <c r="F218" i="59" s="1"/>
  <c r="G218" i="59" s="1"/>
  <c r="H218" i="59" s="1"/>
  <c r="I218" i="59" s="1"/>
  <c r="J218" i="59" s="1"/>
  <c r="K218" i="59" s="1"/>
  <c r="L218" i="59" s="1"/>
  <c r="M218" i="59" s="1"/>
  <c r="N218" i="59" s="1"/>
  <c r="O218" i="59" s="1"/>
  <c r="P218" i="59" s="1"/>
  <c r="B218" i="59"/>
  <c r="D217" i="59"/>
  <c r="E217" i="59" s="1"/>
  <c r="F217" i="59" s="1"/>
  <c r="G217" i="59" s="1"/>
  <c r="H217" i="59" s="1"/>
  <c r="I217" i="59" s="1"/>
  <c r="J217" i="59" s="1"/>
  <c r="K217" i="59" s="1"/>
  <c r="L217" i="59" s="1"/>
  <c r="M217" i="59" s="1"/>
  <c r="N217" i="59" s="1"/>
  <c r="O217" i="59" s="1"/>
  <c r="P217" i="59" s="1"/>
  <c r="B217" i="59"/>
  <c r="P216" i="59"/>
  <c r="H216" i="59"/>
  <c r="I216" i="59" s="1"/>
  <c r="J216" i="59" s="1"/>
  <c r="K216" i="59" s="1"/>
  <c r="L216" i="59" s="1"/>
  <c r="M216" i="59" s="1"/>
  <c r="N216" i="59" s="1"/>
  <c r="O216" i="59" s="1"/>
  <c r="F216" i="59"/>
  <c r="G216" i="59" s="1"/>
  <c r="E216" i="59"/>
  <c r="D216" i="59"/>
  <c r="B216" i="59"/>
  <c r="B220" i="59" s="1"/>
  <c r="F215" i="59"/>
  <c r="G215" i="59" s="1"/>
  <c r="H215" i="59" s="1"/>
  <c r="I215" i="59" s="1"/>
  <c r="J215" i="59" s="1"/>
  <c r="K215" i="59" s="1"/>
  <c r="L215" i="59" s="1"/>
  <c r="M215" i="59" s="1"/>
  <c r="N215" i="59" s="1"/>
  <c r="O215" i="59" s="1"/>
  <c r="P215" i="59" s="1"/>
  <c r="D215" i="59"/>
  <c r="E215" i="59" s="1"/>
  <c r="B215" i="59"/>
  <c r="D214" i="59"/>
  <c r="B214" i="59"/>
  <c r="AG212" i="59"/>
  <c r="AF212" i="59"/>
  <c r="AE212" i="59"/>
  <c r="AD212" i="59"/>
  <c r="AC212" i="59"/>
  <c r="AB212" i="59"/>
  <c r="AA212" i="59"/>
  <c r="Z212" i="59"/>
  <c r="Y212" i="59"/>
  <c r="X212" i="59"/>
  <c r="W212" i="59"/>
  <c r="V212" i="59"/>
  <c r="U212" i="59"/>
  <c r="T212" i="59"/>
  <c r="S212" i="59"/>
  <c r="R212" i="59"/>
  <c r="Q212" i="59"/>
  <c r="P212" i="59"/>
  <c r="O212" i="59"/>
  <c r="N212" i="59"/>
  <c r="M212" i="59"/>
  <c r="L212" i="59"/>
  <c r="K212" i="59"/>
  <c r="J212" i="59"/>
  <c r="I212" i="59"/>
  <c r="H212" i="59"/>
  <c r="G212" i="59"/>
  <c r="F212" i="59"/>
  <c r="E212" i="59"/>
  <c r="D212" i="59"/>
  <c r="C212" i="59"/>
  <c r="B212" i="59"/>
  <c r="AH105" i="59"/>
  <c r="AI105" i="59" s="1"/>
  <c r="AH104" i="59"/>
  <c r="AI104" i="59" s="1"/>
  <c r="AH103" i="59"/>
  <c r="AI103" i="59" s="1"/>
  <c r="AH102" i="59"/>
  <c r="AI102" i="59" s="1"/>
  <c r="AH101" i="59"/>
  <c r="AI101" i="59" s="1"/>
  <c r="AH100" i="59"/>
  <c r="AI100" i="59" s="1"/>
  <c r="AH99" i="59"/>
  <c r="AI99" i="59" s="1"/>
  <c r="AF98" i="59"/>
  <c r="AE98" i="59"/>
  <c r="AD98" i="59"/>
  <c r="AC98" i="59"/>
  <c r="AB98" i="59"/>
  <c r="AA98" i="59"/>
  <c r="Z98" i="59"/>
  <c r="Y98" i="59"/>
  <c r="X98" i="59"/>
  <c r="W98" i="59"/>
  <c r="V98" i="59"/>
  <c r="U98" i="59"/>
  <c r="T98" i="59"/>
  <c r="S98" i="59"/>
  <c r="R98" i="59"/>
  <c r="Q98" i="59"/>
  <c r="D98" i="59"/>
  <c r="C98" i="59"/>
  <c r="B98" i="59"/>
  <c r="AI97" i="59"/>
  <c r="AH97" i="59"/>
  <c r="AI96" i="59"/>
  <c r="AH96" i="59"/>
  <c r="AI95" i="59"/>
  <c r="AH95" i="59"/>
  <c r="AI94" i="59"/>
  <c r="AH94" i="59"/>
  <c r="AI93" i="59"/>
  <c r="AH93" i="59"/>
  <c r="AI92" i="59"/>
  <c r="AH92" i="59"/>
  <c r="AI91" i="59"/>
  <c r="AH91" i="59"/>
  <c r="AI90" i="59"/>
  <c r="AH90" i="59"/>
  <c r="AI89" i="59"/>
  <c r="AH89" i="59"/>
  <c r="AI86" i="59"/>
  <c r="AH86" i="59"/>
  <c r="AF85" i="59"/>
  <c r="AE85" i="59"/>
  <c r="AD85" i="59"/>
  <c r="AC85" i="59"/>
  <c r="AB85" i="59"/>
  <c r="AA85" i="59"/>
  <c r="Z85" i="59"/>
  <c r="Y85" i="59"/>
  <c r="X85" i="59"/>
  <c r="W85" i="59"/>
  <c r="V85" i="59"/>
  <c r="U85" i="59"/>
  <c r="T85" i="59"/>
  <c r="S85" i="59"/>
  <c r="R85" i="59"/>
  <c r="Q85" i="59"/>
  <c r="P85" i="59"/>
  <c r="O85" i="59"/>
  <c r="N85" i="59"/>
  <c r="M85" i="59"/>
  <c r="L85" i="59"/>
  <c r="K85" i="59"/>
  <c r="J85" i="59"/>
  <c r="I85" i="59"/>
  <c r="H85" i="59"/>
  <c r="G85" i="59"/>
  <c r="F85" i="59"/>
  <c r="E85" i="59"/>
  <c r="D85" i="59"/>
  <c r="C85" i="59"/>
  <c r="B85" i="59"/>
  <c r="AF84" i="59"/>
  <c r="AE84" i="59"/>
  <c r="AD84" i="59"/>
  <c r="AC84" i="59"/>
  <c r="AB84" i="59"/>
  <c r="AA84" i="59"/>
  <c r="Z84" i="59"/>
  <c r="Y84" i="59"/>
  <c r="X84" i="59"/>
  <c r="W84" i="59"/>
  <c r="V84" i="59"/>
  <c r="U84" i="59"/>
  <c r="T84" i="59"/>
  <c r="S84" i="59"/>
  <c r="R84" i="59"/>
  <c r="Q84" i="59"/>
  <c r="P84" i="59"/>
  <c r="O84" i="59"/>
  <c r="N84" i="59"/>
  <c r="M84" i="59"/>
  <c r="L84" i="59"/>
  <c r="K84" i="59"/>
  <c r="J84" i="59"/>
  <c r="I84" i="59"/>
  <c r="H84" i="59"/>
  <c r="G84" i="59"/>
  <c r="F84" i="59"/>
  <c r="E84" i="59"/>
  <c r="D84" i="59"/>
  <c r="C84" i="59"/>
  <c r="B84" i="59"/>
  <c r="AF83" i="59"/>
  <c r="AE83" i="59"/>
  <c r="AD83" i="59"/>
  <c r="AC83" i="59"/>
  <c r="AB83" i="59"/>
  <c r="AA83" i="59"/>
  <c r="Z83" i="59"/>
  <c r="Y83" i="59"/>
  <c r="X83" i="59"/>
  <c r="W83" i="59"/>
  <c r="V83" i="59"/>
  <c r="U83" i="59"/>
  <c r="T83" i="59"/>
  <c r="S83" i="59"/>
  <c r="R83" i="59"/>
  <c r="Q83" i="59"/>
  <c r="P83" i="59"/>
  <c r="O83" i="59"/>
  <c r="N83" i="59"/>
  <c r="M83" i="59"/>
  <c r="L83" i="59"/>
  <c r="K83" i="59"/>
  <c r="J83" i="59"/>
  <c r="I83" i="59"/>
  <c r="H83" i="59"/>
  <c r="G83" i="59"/>
  <c r="F83" i="59"/>
  <c r="E83" i="59"/>
  <c r="D83" i="59"/>
  <c r="C83" i="59"/>
  <c r="B83" i="59"/>
  <c r="AF82" i="59"/>
  <c r="AE82" i="59"/>
  <c r="AD82" i="59"/>
  <c r="AC82" i="59"/>
  <c r="AB82" i="59"/>
  <c r="AA82" i="59"/>
  <c r="Z82" i="59"/>
  <c r="Y82" i="59"/>
  <c r="X82" i="59"/>
  <c r="W82" i="59"/>
  <c r="V82" i="59"/>
  <c r="U82" i="59"/>
  <c r="T82" i="59"/>
  <c r="T87" i="59" s="1"/>
  <c r="S82" i="59"/>
  <c r="R82" i="59"/>
  <c r="Q82" i="59"/>
  <c r="P82" i="59"/>
  <c r="O82" i="59"/>
  <c r="N82" i="59"/>
  <c r="M82" i="59"/>
  <c r="L82" i="59"/>
  <c r="K82" i="59"/>
  <c r="J82" i="59"/>
  <c r="I82" i="59"/>
  <c r="H82" i="59"/>
  <c r="G82" i="59"/>
  <c r="F82" i="59"/>
  <c r="E82" i="59"/>
  <c r="D82" i="59"/>
  <c r="C82" i="59"/>
  <c r="B82" i="59"/>
  <c r="AF81" i="59"/>
  <c r="AE81" i="59"/>
  <c r="AE87" i="59" s="1"/>
  <c r="AD81" i="59"/>
  <c r="AC81" i="59"/>
  <c r="AB81" i="59"/>
  <c r="AA81" i="59"/>
  <c r="Z81" i="59"/>
  <c r="Y81" i="59"/>
  <c r="X81" i="59"/>
  <c r="W81" i="59"/>
  <c r="V81" i="59"/>
  <c r="U81" i="59"/>
  <c r="T81" i="59"/>
  <c r="S81" i="59"/>
  <c r="R81" i="59"/>
  <c r="Q81" i="59"/>
  <c r="P81" i="59"/>
  <c r="P87" i="59" s="1"/>
  <c r="O81" i="59"/>
  <c r="N81" i="59"/>
  <c r="M81" i="59"/>
  <c r="L81" i="59"/>
  <c r="K81" i="59"/>
  <c r="J81" i="59"/>
  <c r="I81" i="59"/>
  <c r="H81" i="59"/>
  <c r="G81" i="59"/>
  <c r="F81" i="59"/>
  <c r="E81" i="59"/>
  <c r="D81" i="59"/>
  <c r="C81" i="59"/>
  <c r="B81" i="59"/>
  <c r="AI78" i="59"/>
  <c r="AH78" i="59"/>
  <c r="AI76" i="59"/>
  <c r="AH76" i="59"/>
  <c r="AG76" i="59"/>
  <c r="AI75" i="59"/>
  <c r="AH75" i="59"/>
  <c r="AI74" i="59"/>
  <c r="AH74" i="59"/>
  <c r="AI73" i="59"/>
  <c r="AH73" i="59"/>
  <c r="AG72" i="59"/>
  <c r="AG79" i="59" s="1"/>
  <c r="AF72" i="59"/>
  <c r="AE72" i="59"/>
  <c r="AD5" i="59" s="1"/>
  <c r="AD72" i="59"/>
  <c r="AC5" i="59" s="1"/>
  <c r="AC72" i="59"/>
  <c r="AB5" i="59" s="1"/>
  <c r="AB72" i="59"/>
  <c r="AA72" i="59"/>
  <c r="Z5" i="59" s="1"/>
  <c r="Z72" i="59"/>
  <c r="Y5" i="59" s="1"/>
  <c r="Y72" i="59"/>
  <c r="X72" i="59"/>
  <c r="W72" i="59"/>
  <c r="V5" i="59" s="1"/>
  <c r="V72" i="59"/>
  <c r="U5" i="59" s="1"/>
  <c r="U72" i="59"/>
  <c r="T5" i="59" s="1"/>
  <c r="T72" i="59"/>
  <c r="T88" i="59" s="1"/>
  <c r="S72" i="59"/>
  <c r="R5" i="59" s="1"/>
  <c r="R72" i="59"/>
  <c r="Q5" i="59" s="1"/>
  <c r="Q72" i="59"/>
  <c r="P72" i="59"/>
  <c r="O72" i="59"/>
  <c r="N5" i="59" s="1"/>
  <c r="N72" i="59"/>
  <c r="M5" i="59" s="1"/>
  <c r="M72" i="59"/>
  <c r="L5" i="59" s="1"/>
  <c r="L72" i="59"/>
  <c r="K72" i="59"/>
  <c r="J5" i="59" s="1"/>
  <c r="J72" i="59"/>
  <c r="I5" i="59" s="1"/>
  <c r="I72" i="59"/>
  <c r="H72" i="59"/>
  <c r="G72" i="59"/>
  <c r="F5" i="59" s="1"/>
  <c r="F72" i="59"/>
  <c r="E5" i="59" s="1"/>
  <c r="E72" i="59"/>
  <c r="D5" i="59" s="1"/>
  <c r="D72" i="59"/>
  <c r="C5" i="59" s="1"/>
  <c r="B72" i="59"/>
  <c r="AI71" i="59"/>
  <c r="AH71" i="59"/>
  <c r="AI70" i="59"/>
  <c r="AH70" i="59"/>
  <c r="AI69" i="59"/>
  <c r="AH69" i="59"/>
  <c r="AI68" i="59"/>
  <c r="AH68" i="59"/>
  <c r="AI67" i="59"/>
  <c r="AH67" i="59"/>
  <c r="AI66" i="59"/>
  <c r="AH66" i="59"/>
  <c r="AI65" i="59"/>
  <c r="AH65" i="59"/>
  <c r="AI64" i="59"/>
  <c r="AH64" i="59"/>
  <c r="AI63" i="59"/>
  <c r="AH63" i="59"/>
  <c r="AI62" i="59"/>
  <c r="AH62" i="59"/>
  <c r="AI61" i="59"/>
  <c r="AH61" i="59"/>
  <c r="AG60" i="59"/>
  <c r="AG4" i="59" s="1"/>
  <c r="AF60" i="59"/>
  <c r="AE60" i="59"/>
  <c r="AD60" i="59"/>
  <c r="AC60" i="59"/>
  <c r="AB60" i="59"/>
  <c r="AA60" i="59"/>
  <c r="Z60" i="59"/>
  <c r="Y60" i="59"/>
  <c r="X60" i="59"/>
  <c r="W60" i="59"/>
  <c r="V60" i="59"/>
  <c r="U60" i="59"/>
  <c r="T60" i="59"/>
  <c r="S60" i="59"/>
  <c r="R60" i="59"/>
  <c r="Q60" i="59"/>
  <c r="P60" i="59"/>
  <c r="O60" i="59"/>
  <c r="N60" i="59"/>
  <c r="M60" i="59"/>
  <c r="L60" i="59"/>
  <c r="K60" i="59"/>
  <c r="J60" i="59"/>
  <c r="I60" i="59"/>
  <c r="H60" i="59"/>
  <c r="G60" i="59"/>
  <c r="F60" i="59"/>
  <c r="E60" i="59"/>
  <c r="D60" i="59"/>
  <c r="B60" i="59"/>
  <c r="AI59" i="59"/>
  <c r="AH59" i="59"/>
  <c r="AI58" i="59"/>
  <c r="AH58" i="59"/>
  <c r="AI57" i="59"/>
  <c r="AH57" i="59"/>
  <c r="AF56" i="59"/>
  <c r="AE56" i="59"/>
  <c r="AD56" i="59"/>
  <c r="AC56" i="59"/>
  <c r="AB56" i="59"/>
  <c r="AA56" i="59"/>
  <c r="Z56" i="59"/>
  <c r="Y56" i="59"/>
  <c r="X56" i="59"/>
  <c r="W56" i="59"/>
  <c r="V56" i="59"/>
  <c r="U56" i="59"/>
  <c r="T56" i="59"/>
  <c r="S56" i="59"/>
  <c r="R56" i="59"/>
  <c r="Q56" i="59"/>
  <c r="P56" i="59"/>
  <c r="O56" i="59"/>
  <c r="N56" i="59"/>
  <c r="M56" i="59"/>
  <c r="L56" i="59"/>
  <c r="K56" i="59"/>
  <c r="J56" i="59"/>
  <c r="I56" i="59"/>
  <c r="H56" i="59"/>
  <c r="G56" i="59"/>
  <c r="F56" i="59"/>
  <c r="E56" i="59"/>
  <c r="D56" i="59"/>
  <c r="B56" i="59"/>
  <c r="AI55" i="59"/>
  <c r="AH55" i="59"/>
  <c r="AG55" i="59"/>
  <c r="AG56" i="59" s="1"/>
  <c r="AG3" i="59" s="1"/>
  <c r="AG6" i="59" s="1"/>
  <c r="AI54" i="59"/>
  <c r="AH54" i="59"/>
  <c r="AI53" i="59"/>
  <c r="AH53" i="59"/>
  <c r="AI52" i="59"/>
  <c r="AH52" i="59"/>
  <c r="AI51" i="59"/>
  <c r="AH51" i="59"/>
  <c r="AI50" i="59"/>
  <c r="AH50" i="59"/>
  <c r="AI49" i="59"/>
  <c r="AH49" i="59"/>
  <c r="AI48" i="59"/>
  <c r="AH48" i="59"/>
  <c r="AI47" i="59"/>
  <c r="AH47" i="59"/>
  <c r="AI46" i="59"/>
  <c r="AH46" i="59"/>
  <c r="AI45" i="59"/>
  <c r="AH45" i="59"/>
  <c r="AI44" i="59"/>
  <c r="AH44" i="59"/>
  <c r="AI43" i="59"/>
  <c r="AH43" i="59"/>
  <c r="AG42" i="59"/>
  <c r="AF42" i="59"/>
  <c r="AE42" i="59"/>
  <c r="AD42" i="59"/>
  <c r="AC42" i="59"/>
  <c r="AB42" i="59"/>
  <c r="AA42" i="59"/>
  <c r="Z42" i="59"/>
  <c r="Y42" i="59"/>
  <c r="X42" i="59"/>
  <c r="W42" i="59"/>
  <c r="V42" i="59"/>
  <c r="U42" i="59"/>
  <c r="T42" i="59"/>
  <c r="S42" i="59"/>
  <c r="R42" i="59"/>
  <c r="Q42" i="59"/>
  <c r="P42" i="59"/>
  <c r="O42" i="59"/>
  <c r="N42" i="59"/>
  <c r="M42" i="59"/>
  <c r="L42" i="59"/>
  <c r="K42" i="59"/>
  <c r="J42" i="59"/>
  <c r="I42" i="59"/>
  <c r="H42" i="59"/>
  <c r="G42" i="59"/>
  <c r="F42" i="59"/>
  <c r="E42" i="59"/>
  <c r="D42" i="59"/>
  <c r="B42" i="59"/>
  <c r="AI41" i="59"/>
  <c r="AH41" i="59"/>
  <c r="AI40" i="59"/>
  <c r="AH40" i="59"/>
  <c r="AI39" i="59"/>
  <c r="AH39" i="59"/>
  <c r="AG38" i="59"/>
  <c r="AF38" i="59"/>
  <c r="AE38" i="59"/>
  <c r="AD38" i="59"/>
  <c r="AC38" i="59"/>
  <c r="AB38" i="59"/>
  <c r="AA38" i="59"/>
  <c r="Z38" i="59"/>
  <c r="Y38" i="59"/>
  <c r="X38" i="59"/>
  <c r="W38" i="59"/>
  <c r="V38" i="59"/>
  <c r="V77" i="59" s="1"/>
  <c r="V79" i="59" s="1"/>
  <c r="U38" i="59"/>
  <c r="T38" i="59"/>
  <c r="S38" i="59"/>
  <c r="R38" i="59"/>
  <c r="Q38" i="59"/>
  <c r="P38" i="59"/>
  <c r="O38" i="59"/>
  <c r="N38" i="59"/>
  <c r="M38" i="59"/>
  <c r="L38" i="59"/>
  <c r="K38" i="59"/>
  <c r="J38" i="59"/>
  <c r="I38" i="59"/>
  <c r="H38" i="59"/>
  <c r="G38" i="59"/>
  <c r="F38" i="59"/>
  <c r="E38" i="59"/>
  <c r="D38" i="59"/>
  <c r="B38" i="59"/>
  <c r="B77" i="59" s="1"/>
  <c r="AI36" i="59"/>
  <c r="AH36" i="59"/>
  <c r="AI35" i="59"/>
  <c r="AH35" i="59"/>
  <c r="AI34" i="59"/>
  <c r="AH34" i="59"/>
  <c r="AI33" i="59"/>
  <c r="AH33" i="59"/>
  <c r="AI32" i="59"/>
  <c r="AH32" i="59"/>
  <c r="AI31" i="59"/>
  <c r="AH31" i="59"/>
  <c r="AI30" i="59"/>
  <c r="AH30" i="59"/>
  <c r="AI29" i="59"/>
  <c r="AH29" i="59"/>
  <c r="AI28" i="59"/>
  <c r="AH28" i="59"/>
  <c r="AI27" i="59"/>
  <c r="AH27" i="59"/>
  <c r="AI26" i="59"/>
  <c r="AH26" i="59"/>
  <c r="AI25" i="59"/>
  <c r="AH25" i="59"/>
  <c r="AI24" i="59"/>
  <c r="AH24" i="59"/>
  <c r="AI23" i="59"/>
  <c r="AH23" i="59"/>
  <c r="AI22" i="59"/>
  <c r="AH22" i="59"/>
  <c r="AI21" i="59"/>
  <c r="AH21" i="59"/>
  <c r="AI20" i="59"/>
  <c r="AH20" i="59"/>
  <c r="AI19" i="59"/>
  <c r="AH19" i="59"/>
  <c r="AI18" i="59"/>
  <c r="AH18" i="59"/>
  <c r="AI17" i="59"/>
  <c r="AH17" i="59"/>
  <c r="AI16" i="59"/>
  <c r="AH16" i="59"/>
  <c r="AI15" i="59"/>
  <c r="AH15" i="59"/>
  <c r="AI14" i="59"/>
  <c r="AH14" i="59"/>
  <c r="AI13" i="59"/>
  <c r="AH13" i="59"/>
  <c r="AI12" i="59"/>
  <c r="AH12" i="59"/>
  <c r="AI11" i="59"/>
  <c r="AH11" i="59"/>
  <c r="AF5" i="59"/>
  <c r="K5" i="59"/>
  <c r="K4" i="59"/>
  <c r="B4" i="59"/>
  <c r="AG2" i="59"/>
  <c r="E4" i="59"/>
  <c r="AF87" i="59" l="1"/>
  <c r="AE77" i="59"/>
  <c r="AE79" i="59" s="1"/>
  <c r="AW234" i="59" s="1"/>
  <c r="AD87" i="59"/>
  <c r="AD77" i="59"/>
  <c r="AD79" i="59" s="1"/>
  <c r="AC77" i="59"/>
  <c r="AC79" i="59" s="1"/>
  <c r="AC7" i="59" s="1"/>
  <c r="AB87" i="59"/>
  <c r="AB88" i="59" s="1"/>
  <c r="AA5" i="59"/>
  <c r="AB77" i="59"/>
  <c r="AB79" i="59" s="1"/>
  <c r="AT234" i="59" s="1"/>
  <c r="AA77" i="59"/>
  <c r="AA79" i="59" s="1"/>
  <c r="Z77" i="59"/>
  <c r="Z79" i="59" s="1"/>
  <c r="Y87" i="59"/>
  <c r="Y88" i="59" s="1"/>
  <c r="X5" i="59"/>
  <c r="Y77" i="59"/>
  <c r="Y79" i="59" s="1"/>
  <c r="Y7" i="59" s="1"/>
  <c r="X87" i="59"/>
  <c r="W87" i="59"/>
  <c r="W77" i="59"/>
  <c r="W79" i="59" s="1"/>
  <c r="W7" i="59" s="1"/>
  <c r="V87" i="59"/>
  <c r="U77" i="59"/>
  <c r="U79" i="59" s="1"/>
  <c r="S5" i="59"/>
  <c r="S77" i="59"/>
  <c r="S79" i="59" s="1"/>
  <c r="T77" i="59"/>
  <c r="T79" i="59" s="1"/>
  <c r="T7" i="59" s="1"/>
  <c r="R77" i="59"/>
  <c r="R79" i="59" s="1"/>
  <c r="Q87" i="59"/>
  <c r="Q88" i="59" s="1"/>
  <c r="P5" i="59"/>
  <c r="Q77" i="59"/>
  <c r="Q79" i="59" s="1"/>
  <c r="Q7" i="59" s="1"/>
  <c r="O87" i="59"/>
  <c r="O88" i="59" s="1"/>
  <c r="O77" i="59"/>
  <c r="O79" i="59" s="1"/>
  <c r="AG234" i="59" s="1"/>
  <c r="N87" i="59"/>
  <c r="N77" i="59"/>
  <c r="N79" i="59" s="1"/>
  <c r="L87" i="59"/>
  <c r="L88" i="59"/>
  <c r="L77" i="59"/>
  <c r="L79" i="59" s="1"/>
  <c r="L80" i="59" s="1"/>
  <c r="M77" i="59"/>
  <c r="M79" i="59" s="1"/>
  <c r="M7" i="59" s="1"/>
  <c r="K77" i="59"/>
  <c r="K79" i="59" s="1"/>
  <c r="AI42" i="59"/>
  <c r="J77" i="59"/>
  <c r="J79" i="59" s="1"/>
  <c r="J7" i="59" s="1"/>
  <c r="I87" i="59"/>
  <c r="I88" i="59" s="1"/>
  <c r="I77" i="59"/>
  <c r="I79" i="59" s="1"/>
  <c r="I80" i="59" s="1"/>
  <c r="AI56" i="59"/>
  <c r="H87" i="59"/>
  <c r="AH85" i="59"/>
  <c r="G87" i="59"/>
  <c r="G88" i="59" s="1"/>
  <c r="G77" i="59"/>
  <c r="G79" i="59" s="1"/>
  <c r="Y234" i="59" s="1"/>
  <c r="AH84" i="59"/>
  <c r="AI84" i="59"/>
  <c r="F87" i="59"/>
  <c r="F77" i="59"/>
  <c r="F79" i="59" s="1"/>
  <c r="F80" i="59" s="1"/>
  <c r="E77" i="59"/>
  <c r="E79" i="59" s="1"/>
  <c r="E7" i="59" s="1"/>
  <c r="D87" i="59"/>
  <c r="D88" i="59" s="1"/>
  <c r="D77" i="59"/>
  <c r="D79" i="59" s="1"/>
  <c r="D80" i="59" s="1"/>
  <c r="AI83" i="59"/>
  <c r="C77" i="59"/>
  <c r="C79" i="59" s="1"/>
  <c r="U234" i="59" s="1"/>
  <c r="H4" i="59"/>
  <c r="O7" i="59"/>
  <c r="AF234" i="59"/>
  <c r="N80" i="59"/>
  <c r="N7" i="59"/>
  <c r="AE80" i="59"/>
  <c r="AN234" i="59"/>
  <c r="V7" i="59"/>
  <c r="V80" i="59"/>
  <c r="AQ234" i="59"/>
  <c r="AA234" i="59"/>
  <c r="I7" i="59"/>
  <c r="R7" i="59"/>
  <c r="AJ234" i="59"/>
  <c r="AR234" i="59"/>
  <c r="Z7" i="59"/>
  <c r="AK234" i="59"/>
  <c r="S7" i="59"/>
  <c r="AV234" i="59"/>
  <c r="AD80" i="59"/>
  <c r="AD7" i="59"/>
  <c r="AC234" i="59"/>
  <c r="K7" i="59"/>
  <c r="AS234" i="59"/>
  <c r="AA7" i="59"/>
  <c r="U7" i="59"/>
  <c r="AM234" i="59"/>
  <c r="S231" i="59"/>
  <c r="D231" i="59"/>
  <c r="C87" i="59"/>
  <c r="C88" i="59" s="1"/>
  <c r="K87" i="59"/>
  <c r="K88" i="59" s="1"/>
  <c r="S87" i="59"/>
  <c r="S88" i="59" s="1"/>
  <c r="AA87" i="59"/>
  <c r="AA88" i="59" s="1"/>
  <c r="W5" i="59"/>
  <c r="X88" i="59"/>
  <c r="H77" i="59"/>
  <c r="H79" i="59" s="1"/>
  <c r="P77" i="59"/>
  <c r="P79" i="59" s="1"/>
  <c r="X77" i="59"/>
  <c r="X79" i="59" s="1"/>
  <c r="AF77" i="59"/>
  <c r="AF79" i="59" s="1"/>
  <c r="E87" i="59"/>
  <c r="E88" i="59" s="1"/>
  <c r="M87" i="59"/>
  <c r="M88" i="59" s="1"/>
  <c r="U87" i="59"/>
  <c r="U88" i="59" s="1"/>
  <c r="AC87" i="59"/>
  <c r="AC88" i="59" s="1"/>
  <c r="F219" i="59"/>
  <c r="O5" i="59"/>
  <c r="P88" i="59"/>
  <c r="AG77" i="59"/>
  <c r="AH42" i="59"/>
  <c r="AH72" i="59"/>
  <c r="W88" i="59"/>
  <c r="D220" i="59"/>
  <c r="E214" i="59"/>
  <c r="G5" i="59"/>
  <c r="H88" i="59"/>
  <c r="AI38" i="59"/>
  <c r="AI72" i="59"/>
  <c r="AI85" i="59"/>
  <c r="AE5" i="59"/>
  <c r="AF88" i="59"/>
  <c r="AH60" i="59"/>
  <c r="AE88" i="59"/>
  <c r="AI60" i="59"/>
  <c r="AH82" i="59"/>
  <c r="AH83" i="59"/>
  <c r="L7" i="59"/>
  <c r="AD234" i="59"/>
  <c r="H5" i="59"/>
  <c r="AH56" i="59"/>
  <c r="F88" i="59"/>
  <c r="N88" i="59"/>
  <c r="V88" i="59"/>
  <c r="AD88" i="59"/>
  <c r="B79" i="59"/>
  <c r="AI81" i="59"/>
  <c r="J87" i="59"/>
  <c r="J88" i="59" s="1"/>
  <c r="R87" i="59"/>
  <c r="R88" i="59" s="1"/>
  <c r="Z87" i="59"/>
  <c r="Z88" i="59" s="1"/>
  <c r="AI82" i="59"/>
  <c r="AH38" i="59"/>
  <c r="AH81" i="59"/>
  <c r="B87" i="59"/>
  <c r="W80" i="59" l="1"/>
  <c r="AU234" i="59"/>
  <c r="AE7" i="59"/>
  <c r="AB80" i="59"/>
  <c r="AC80" i="59"/>
  <c r="AB7" i="59"/>
  <c r="Y80" i="59"/>
  <c r="AO234" i="59"/>
  <c r="U80" i="59"/>
  <c r="AL234" i="59"/>
  <c r="T80" i="59"/>
  <c r="AI234" i="59"/>
  <c r="Q80" i="59"/>
  <c r="O80" i="59"/>
  <c r="AE234" i="59"/>
  <c r="J80" i="59"/>
  <c r="AB234" i="59"/>
  <c r="B229" i="59"/>
  <c r="G80" i="59"/>
  <c r="C229" i="59"/>
  <c r="K6" i="59" s="1"/>
  <c r="G7" i="59"/>
  <c r="F7" i="59"/>
  <c r="X234" i="59"/>
  <c r="W234" i="59"/>
  <c r="V234" i="59"/>
  <c r="D7" i="59"/>
  <c r="C7" i="59"/>
  <c r="B80" i="59"/>
  <c r="AI79" i="59"/>
  <c r="AH79" i="59"/>
  <c r="T234" i="59"/>
  <c r="B7" i="59"/>
  <c r="AH77" i="59"/>
  <c r="M80" i="59"/>
  <c r="AF80" i="59"/>
  <c r="AX234" i="59"/>
  <c r="AF7" i="59"/>
  <c r="AP234" i="59"/>
  <c r="X80" i="59"/>
  <c r="X7" i="59"/>
  <c r="C80" i="59"/>
  <c r="E80" i="59"/>
  <c r="Z80" i="59"/>
  <c r="AA80" i="59"/>
  <c r="E98" i="59"/>
  <c r="E220" i="59"/>
  <c r="F214" i="59"/>
  <c r="E255" i="59"/>
  <c r="G219" i="59"/>
  <c r="AI77" i="59"/>
  <c r="AH234" i="59"/>
  <c r="P80" i="59"/>
  <c r="P7" i="59"/>
  <c r="Z234" i="59"/>
  <c r="H7" i="59"/>
  <c r="H80" i="59"/>
  <c r="S80" i="59"/>
  <c r="R80" i="59"/>
  <c r="B88" i="59"/>
  <c r="AI87" i="59"/>
  <c r="AH87" i="59"/>
  <c r="K80" i="59"/>
  <c r="A7" i="59" l="1"/>
  <c r="F255" i="59"/>
  <c r="H219" i="59"/>
  <c r="AI88" i="59"/>
  <c r="AH88" i="59"/>
  <c r="F98" i="59"/>
  <c r="G214" i="59"/>
  <c r="F220" i="59"/>
  <c r="AH80" i="59"/>
  <c r="G98" i="59" l="1"/>
  <c r="H214" i="59"/>
  <c r="G220" i="59"/>
  <c r="G255" i="59"/>
  <c r="I219" i="59"/>
  <c r="H255" i="59" l="1"/>
  <c r="J219" i="59"/>
  <c r="I214" i="59"/>
  <c r="H220" i="59"/>
  <c r="H98" i="59"/>
  <c r="AC37" i="58"/>
  <c r="I220" i="59" l="1"/>
  <c r="I98" i="59"/>
  <c r="J214" i="59"/>
  <c r="K219" i="59"/>
  <c r="I255" i="59"/>
  <c r="J255" i="59" l="1"/>
  <c r="L219" i="59"/>
  <c r="J220" i="59"/>
  <c r="K214" i="59"/>
  <c r="J98" i="59"/>
  <c r="K220" i="59" l="1"/>
  <c r="K98" i="59"/>
  <c r="L214" i="59"/>
  <c r="M219" i="59"/>
  <c r="K255" i="59"/>
  <c r="L255" i="59" l="1"/>
  <c r="N219" i="59"/>
  <c r="L220" i="59"/>
  <c r="M214" i="59"/>
  <c r="L98" i="59"/>
  <c r="M98" i="59" l="1"/>
  <c r="M220" i="59"/>
  <c r="N214" i="59"/>
  <c r="M255" i="59"/>
  <c r="O219" i="59"/>
  <c r="N255" i="59" l="1"/>
  <c r="P219" i="59"/>
  <c r="O255" i="59" s="1"/>
  <c r="N98" i="59"/>
  <c r="O214" i="59"/>
  <c r="N220" i="59"/>
  <c r="O98" i="59" l="1"/>
  <c r="P214" i="59"/>
  <c r="O220" i="59"/>
  <c r="P220" i="59" l="1"/>
  <c r="P98" i="59"/>
  <c r="AH98" i="59" l="1"/>
  <c r="AI98" i="59"/>
  <c r="AB37" i="58" l="1"/>
  <c r="Z100" i="58" l="1"/>
  <c r="Z37" i="58"/>
  <c r="Y100" i="58"/>
  <c r="Y37" i="58"/>
  <c r="X100" i="58"/>
  <c r="X37" i="58"/>
  <c r="W100" i="58"/>
  <c r="W37" i="58"/>
  <c r="V100" i="58"/>
  <c r="V37" i="58"/>
  <c r="U100" i="58"/>
  <c r="U37" i="58"/>
  <c r="T100" i="58"/>
  <c r="T37" i="58"/>
  <c r="S100" i="58"/>
  <c r="S37" i="58"/>
  <c r="R37" i="58"/>
  <c r="Q100" i="58" l="1"/>
  <c r="Q99" i="58"/>
  <c r="Q37" i="58"/>
  <c r="P37" i="58"/>
  <c r="O37" i="58"/>
  <c r="N37" i="58"/>
  <c r="M37" i="58" l="1"/>
  <c r="L37" i="58"/>
  <c r="K37" i="58"/>
  <c r="J37" i="58"/>
  <c r="I37" i="58"/>
  <c r="H37" i="58"/>
  <c r="G37" i="58"/>
  <c r="F56" i="58"/>
  <c r="F37" i="58"/>
  <c r="E37" i="58"/>
  <c r="D37" i="58"/>
  <c r="C37" i="58"/>
  <c r="B85" i="58"/>
  <c r="B84" i="58"/>
  <c r="B83" i="58"/>
  <c r="B82" i="58"/>
  <c r="B81" i="58"/>
  <c r="B72" i="58"/>
  <c r="AF5" i="58" s="1"/>
  <c r="B60" i="58"/>
  <c r="B56" i="58"/>
  <c r="B42" i="58"/>
  <c r="B38" i="58"/>
  <c r="B37" i="58"/>
  <c r="AI37" i="58" s="1"/>
  <c r="AF37" i="57"/>
  <c r="AF259" i="58"/>
  <c r="AE259" i="58"/>
  <c r="AD259" i="58"/>
  <c r="AC259" i="58"/>
  <c r="AB259" i="58"/>
  <c r="AA259" i="58"/>
  <c r="Z259" i="58"/>
  <c r="Y259" i="58"/>
  <c r="X259" i="58"/>
  <c r="W259" i="58"/>
  <c r="V259" i="58"/>
  <c r="U259" i="58"/>
  <c r="T259" i="58"/>
  <c r="S259" i="58"/>
  <c r="R259" i="58"/>
  <c r="Q259" i="58"/>
  <c r="P259" i="58"/>
  <c r="O259" i="58"/>
  <c r="N259" i="58"/>
  <c r="M259" i="58"/>
  <c r="L259" i="58"/>
  <c r="K259" i="58"/>
  <c r="J259" i="58"/>
  <c r="I259" i="58"/>
  <c r="H259" i="58"/>
  <c r="G259" i="58"/>
  <c r="F259" i="58"/>
  <c r="E259" i="58"/>
  <c r="D259" i="58"/>
  <c r="C259" i="58"/>
  <c r="B259" i="58"/>
  <c r="A259" i="58"/>
  <c r="AF258" i="58"/>
  <c r="AE258" i="58"/>
  <c r="AD258" i="58"/>
  <c r="AC258" i="58"/>
  <c r="AB258" i="58"/>
  <c r="AA258" i="58"/>
  <c r="Z258" i="58"/>
  <c r="Y258" i="58"/>
  <c r="X258" i="58"/>
  <c r="W258" i="58"/>
  <c r="V258" i="58"/>
  <c r="U258" i="58"/>
  <c r="T258" i="58"/>
  <c r="S258" i="58"/>
  <c r="R258" i="58"/>
  <c r="Q258" i="58"/>
  <c r="P258" i="58"/>
  <c r="O258" i="58"/>
  <c r="N258" i="58"/>
  <c r="M258" i="58"/>
  <c r="L258" i="58"/>
  <c r="K258" i="58"/>
  <c r="J258" i="58"/>
  <c r="I258" i="58"/>
  <c r="H258" i="58"/>
  <c r="G258" i="58"/>
  <c r="F258" i="58"/>
  <c r="E258" i="58"/>
  <c r="D258" i="58"/>
  <c r="C258" i="58"/>
  <c r="B258" i="58"/>
  <c r="A258" i="58"/>
  <c r="AF257" i="58"/>
  <c r="AE257" i="58"/>
  <c r="AD257" i="58"/>
  <c r="AC257" i="58"/>
  <c r="AB257" i="58"/>
  <c r="AA257" i="58"/>
  <c r="Z257" i="58"/>
  <c r="Y257" i="58"/>
  <c r="X257" i="58"/>
  <c r="W257" i="58"/>
  <c r="V257" i="58"/>
  <c r="U257" i="58"/>
  <c r="T257" i="58"/>
  <c r="S257" i="58"/>
  <c r="R257" i="58"/>
  <c r="Q257" i="58"/>
  <c r="P257" i="58"/>
  <c r="O257" i="58"/>
  <c r="N257" i="58"/>
  <c r="M257" i="58"/>
  <c r="L257" i="58"/>
  <c r="K257" i="58"/>
  <c r="J257" i="58"/>
  <c r="I257" i="58"/>
  <c r="H257" i="58"/>
  <c r="G257" i="58"/>
  <c r="F257" i="58"/>
  <c r="E257" i="58"/>
  <c r="D257" i="58"/>
  <c r="C257" i="58"/>
  <c r="B257" i="58"/>
  <c r="A257" i="58"/>
  <c r="AF256" i="58"/>
  <c r="AE256" i="58"/>
  <c r="AD256" i="58"/>
  <c r="AC256" i="58"/>
  <c r="AB256" i="58"/>
  <c r="AA256" i="58"/>
  <c r="Z256" i="58"/>
  <c r="Y256" i="58"/>
  <c r="X256" i="58"/>
  <c r="W256" i="58"/>
  <c r="V256" i="58"/>
  <c r="U256" i="58"/>
  <c r="T256" i="58"/>
  <c r="S256" i="58"/>
  <c r="R256" i="58"/>
  <c r="Q256" i="58"/>
  <c r="P256" i="58"/>
  <c r="O256" i="58"/>
  <c r="N256" i="58"/>
  <c r="M256" i="58"/>
  <c r="L256" i="58"/>
  <c r="K256" i="58"/>
  <c r="J256" i="58"/>
  <c r="I256" i="58"/>
  <c r="H256" i="58"/>
  <c r="G256" i="58"/>
  <c r="F256" i="58"/>
  <c r="E256" i="58"/>
  <c r="D256" i="58"/>
  <c r="C256" i="58"/>
  <c r="B256" i="58"/>
  <c r="A256" i="58"/>
  <c r="AE255" i="58"/>
  <c r="AD255" i="58"/>
  <c r="AC255" i="58"/>
  <c r="AB255" i="58"/>
  <c r="AA255" i="58"/>
  <c r="Z255" i="58"/>
  <c r="Y255" i="58"/>
  <c r="X255" i="58"/>
  <c r="W255" i="58"/>
  <c r="V255" i="58"/>
  <c r="U255" i="58"/>
  <c r="T255" i="58"/>
  <c r="S255" i="58"/>
  <c r="R255" i="58"/>
  <c r="Q255" i="58"/>
  <c r="P255" i="58"/>
  <c r="C255" i="58"/>
  <c r="B255" i="58"/>
  <c r="S230" i="58"/>
  <c r="AG220" i="58"/>
  <c r="AF220" i="58"/>
  <c r="AE220" i="58"/>
  <c r="AD220" i="58"/>
  <c r="AC220" i="58"/>
  <c r="AB220" i="58"/>
  <c r="AA220" i="58"/>
  <c r="Z220" i="58"/>
  <c r="Y220" i="58"/>
  <c r="X220" i="58"/>
  <c r="W220" i="58"/>
  <c r="V220" i="58"/>
  <c r="U220" i="58"/>
  <c r="T220" i="58"/>
  <c r="S220" i="58"/>
  <c r="R220" i="58"/>
  <c r="Q220" i="58"/>
  <c r="C220" i="58"/>
  <c r="D219" i="58"/>
  <c r="E219" i="58" s="1"/>
  <c r="B219" i="58"/>
  <c r="AF255" i="58" s="1"/>
  <c r="D218" i="58"/>
  <c r="E218" i="58" s="1"/>
  <c r="F218" i="58" s="1"/>
  <c r="G218" i="58" s="1"/>
  <c r="H218" i="58" s="1"/>
  <c r="I218" i="58" s="1"/>
  <c r="J218" i="58" s="1"/>
  <c r="K218" i="58" s="1"/>
  <c r="L218" i="58" s="1"/>
  <c r="M218" i="58" s="1"/>
  <c r="N218" i="58" s="1"/>
  <c r="O218" i="58" s="1"/>
  <c r="P218" i="58" s="1"/>
  <c r="B218" i="58"/>
  <c r="D217" i="58"/>
  <c r="E217" i="58" s="1"/>
  <c r="F217" i="58" s="1"/>
  <c r="G217" i="58" s="1"/>
  <c r="H217" i="58" s="1"/>
  <c r="I217" i="58" s="1"/>
  <c r="J217" i="58" s="1"/>
  <c r="K217" i="58" s="1"/>
  <c r="L217" i="58" s="1"/>
  <c r="M217" i="58" s="1"/>
  <c r="N217" i="58" s="1"/>
  <c r="O217" i="58" s="1"/>
  <c r="P217" i="58" s="1"/>
  <c r="B217" i="58"/>
  <c r="E216" i="58"/>
  <c r="F216" i="58" s="1"/>
  <c r="G216" i="58" s="1"/>
  <c r="H216" i="58" s="1"/>
  <c r="I216" i="58" s="1"/>
  <c r="J216" i="58" s="1"/>
  <c r="K216" i="58" s="1"/>
  <c r="L216" i="58" s="1"/>
  <c r="M216" i="58" s="1"/>
  <c r="N216" i="58" s="1"/>
  <c r="O216" i="58" s="1"/>
  <c r="P216" i="58" s="1"/>
  <c r="D216" i="58"/>
  <c r="B216" i="58"/>
  <c r="D215" i="58"/>
  <c r="E215" i="58" s="1"/>
  <c r="F215" i="58" s="1"/>
  <c r="G215" i="58" s="1"/>
  <c r="H215" i="58" s="1"/>
  <c r="I215" i="58" s="1"/>
  <c r="J215" i="58" s="1"/>
  <c r="K215" i="58" s="1"/>
  <c r="L215" i="58" s="1"/>
  <c r="M215" i="58" s="1"/>
  <c r="N215" i="58" s="1"/>
  <c r="O215" i="58" s="1"/>
  <c r="P215" i="58" s="1"/>
  <c r="B215" i="58"/>
  <c r="D214" i="58"/>
  <c r="D220" i="58" s="1"/>
  <c r="B214" i="58"/>
  <c r="B220" i="58" s="1"/>
  <c r="AG212" i="58"/>
  <c r="AF212" i="58"/>
  <c r="AE212" i="58"/>
  <c r="AD212" i="58"/>
  <c r="AC212" i="58"/>
  <c r="AB212" i="58"/>
  <c r="AA212" i="58"/>
  <c r="Z212" i="58"/>
  <c r="Y212" i="58"/>
  <c r="X212" i="58"/>
  <c r="W212" i="58"/>
  <c r="V212" i="58"/>
  <c r="U212" i="58"/>
  <c r="T212" i="58"/>
  <c r="S212" i="58"/>
  <c r="R212" i="58"/>
  <c r="Q212" i="58"/>
  <c r="P212" i="58"/>
  <c r="O212" i="58"/>
  <c r="N212" i="58"/>
  <c r="M212" i="58"/>
  <c r="L212" i="58"/>
  <c r="K212" i="58"/>
  <c r="J212" i="58"/>
  <c r="I212" i="58"/>
  <c r="H212" i="58"/>
  <c r="G212" i="58"/>
  <c r="F212" i="58"/>
  <c r="E212" i="58"/>
  <c r="D212" i="58"/>
  <c r="C212" i="58"/>
  <c r="B212" i="58"/>
  <c r="AH105" i="58"/>
  <c r="AI105" i="58" s="1"/>
  <c r="AH104" i="58"/>
  <c r="AI104" i="58" s="1"/>
  <c r="AH103" i="58"/>
  <c r="AI103" i="58" s="1"/>
  <c r="AH102" i="58"/>
  <c r="AI102" i="58" s="1"/>
  <c r="AH101" i="58"/>
  <c r="AI101" i="58" s="1"/>
  <c r="AH100" i="58"/>
  <c r="AI100" i="58" s="1"/>
  <c r="AH99" i="58"/>
  <c r="AI99" i="58" s="1"/>
  <c r="AF98" i="58"/>
  <c r="AE98" i="58"/>
  <c r="AD98" i="58"/>
  <c r="AC98" i="58"/>
  <c r="AB98" i="58"/>
  <c r="AA98" i="58"/>
  <c r="Z98" i="58"/>
  <c r="Y98" i="58"/>
  <c r="X98" i="58"/>
  <c r="W98" i="58"/>
  <c r="V98" i="58"/>
  <c r="U98" i="58"/>
  <c r="T98" i="58"/>
  <c r="S98" i="58"/>
  <c r="R98" i="58"/>
  <c r="Q98" i="58"/>
  <c r="D98" i="58"/>
  <c r="C98" i="58"/>
  <c r="B98" i="58"/>
  <c r="AI97" i="58"/>
  <c r="AH97" i="58"/>
  <c r="AI96" i="58"/>
  <c r="AH96" i="58"/>
  <c r="AI95" i="58"/>
  <c r="AH95" i="58"/>
  <c r="AI94" i="58"/>
  <c r="AH94" i="58"/>
  <c r="AI93" i="58"/>
  <c r="AH93" i="58"/>
  <c r="AI92" i="58"/>
  <c r="AH92" i="58"/>
  <c r="AI91" i="58"/>
  <c r="AH91" i="58"/>
  <c r="AI90" i="58"/>
  <c r="AH90" i="58"/>
  <c r="AI89" i="58"/>
  <c r="AH89" i="58"/>
  <c r="AI86" i="58"/>
  <c r="AH86" i="58"/>
  <c r="AF85" i="58"/>
  <c r="AE85" i="58"/>
  <c r="AD85" i="58"/>
  <c r="AC85" i="58"/>
  <c r="AB85" i="58"/>
  <c r="AA85" i="58"/>
  <c r="Z85" i="58"/>
  <c r="Y85" i="58"/>
  <c r="X85" i="58"/>
  <c r="W85" i="58"/>
  <c r="V85" i="58"/>
  <c r="U85" i="58"/>
  <c r="T85" i="58"/>
  <c r="S85" i="58"/>
  <c r="R85" i="58"/>
  <c r="Q85" i="58"/>
  <c r="P85" i="58"/>
  <c r="O85" i="58"/>
  <c r="N85" i="58"/>
  <c r="M85" i="58"/>
  <c r="L85" i="58"/>
  <c r="K85" i="58"/>
  <c r="J85" i="58"/>
  <c r="I85" i="58"/>
  <c r="H85" i="58"/>
  <c r="G85" i="58"/>
  <c r="F85" i="58"/>
  <c r="E85" i="58"/>
  <c r="D85" i="58"/>
  <c r="C85" i="58"/>
  <c r="AF84" i="58"/>
  <c r="AE84" i="58"/>
  <c r="AD84" i="58"/>
  <c r="AC84" i="58"/>
  <c r="AB84" i="58"/>
  <c r="AA84" i="58"/>
  <c r="Z84" i="58"/>
  <c r="Y84" i="58"/>
  <c r="X84" i="58"/>
  <c r="W84" i="58"/>
  <c r="V84" i="58"/>
  <c r="U84" i="58"/>
  <c r="T84" i="58"/>
  <c r="S84" i="58"/>
  <c r="R84" i="58"/>
  <c r="Q84" i="58"/>
  <c r="P84" i="58"/>
  <c r="O84" i="58"/>
  <c r="N84" i="58"/>
  <c r="M84" i="58"/>
  <c r="L84" i="58"/>
  <c r="K84" i="58"/>
  <c r="J84" i="58"/>
  <c r="I84" i="58"/>
  <c r="H84" i="58"/>
  <c r="G84" i="58"/>
  <c r="F84" i="58"/>
  <c r="E84" i="58"/>
  <c r="D84" i="58"/>
  <c r="C84" i="58"/>
  <c r="AF83" i="58"/>
  <c r="AE83" i="58"/>
  <c r="AD83" i="58"/>
  <c r="AC83" i="58"/>
  <c r="AB83" i="58"/>
  <c r="AA83" i="58"/>
  <c r="AA87" i="58" s="1"/>
  <c r="Z83" i="58"/>
  <c r="Y83" i="58"/>
  <c r="X83" i="58"/>
  <c r="W83" i="58"/>
  <c r="V83" i="58"/>
  <c r="U83" i="58"/>
  <c r="T83" i="58"/>
  <c r="S83" i="58"/>
  <c r="S87" i="58" s="1"/>
  <c r="R83" i="58"/>
  <c r="Q83" i="58"/>
  <c r="P83" i="58"/>
  <c r="O83" i="58"/>
  <c r="N83" i="58"/>
  <c r="M83" i="58"/>
  <c r="L83" i="58"/>
  <c r="K83" i="58"/>
  <c r="J83" i="58"/>
  <c r="I83" i="58"/>
  <c r="H83" i="58"/>
  <c r="G83" i="58"/>
  <c r="F83" i="58"/>
  <c r="E83" i="58"/>
  <c r="D83" i="58"/>
  <c r="C83" i="58"/>
  <c r="C87" i="58" s="1"/>
  <c r="AF82" i="58"/>
  <c r="AE82" i="58"/>
  <c r="AD82" i="58"/>
  <c r="AC82" i="58"/>
  <c r="AB82" i="58"/>
  <c r="AA82" i="58"/>
  <c r="Z82" i="58"/>
  <c r="Y82" i="58"/>
  <c r="X82" i="58"/>
  <c r="W82" i="58"/>
  <c r="V82" i="58"/>
  <c r="U82" i="58"/>
  <c r="T82" i="58"/>
  <c r="S82" i="58"/>
  <c r="R82" i="58"/>
  <c r="Q82" i="58"/>
  <c r="P82" i="58"/>
  <c r="O82" i="58"/>
  <c r="N82" i="58"/>
  <c r="N87" i="58" s="1"/>
  <c r="M82" i="58"/>
  <c r="L82" i="58"/>
  <c r="K82" i="58"/>
  <c r="J82" i="58"/>
  <c r="I82" i="58"/>
  <c r="H82" i="58"/>
  <c r="G82" i="58"/>
  <c r="F82" i="58"/>
  <c r="F87" i="58" s="1"/>
  <c r="E82" i="58"/>
  <c r="D82" i="58"/>
  <c r="C82" i="58"/>
  <c r="AF81" i="58"/>
  <c r="AE81" i="58"/>
  <c r="AE87" i="58" s="1"/>
  <c r="AD81" i="58"/>
  <c r="AC81" i="58"/>
  <c r="AB81" i="58"/>
  <c r="AA81" i="58"/>
  <c r="Z81" i="58"/>
  <c r="Y81" i="58"/>
  <c r="X81" i="58"/>
  <c r="X87" i="58" s="1"/>
  <c r="W81" i="58"/>
  <c r="V81" i="58"/>
  <c r="U81" i="58"/>
  <c r="T81" i="58"/>
  <c r="S81" i="58"/>
  <c r="R81" i="58"/>
  <c r="Q81" i="58"/>
  <c r="P81" i="58"/>
  <c r="O81" i="58"/>
  <c r="N81" i="58"/>
  <c r="M81" i="58"/>
  <c r="L81" i="58"/>
  <c r="K81" i="58"/>
  <c r="J81" i="58"/>
  <c r="I81" i="58"/>
  <c r="H81" i="58"/>
  <c r="G81" i="58"/>
  <c r="F81" i="58"/>
  <c r="E81" i="58"/>
  <c r="D81" i="58"/>
  <c r="D87" i="58" s="1"/>
  <c r="C81" i="58"/>
  <c r="AI78" i="58"/>
  <c r="AH78" i="58"/>
  <c r="AI76" i="58"/>
  <c r="AH76" i="58"/>
  <c r="AG76" i="58"/>
  <c r="AI75" i="58"/>
  <c r="AH75" i="58"/>
  <c r="AI74" i="58"/>
  <c r="AH74" i="58"/>
  <c r="AI73" i="58"/>
  <c r="AH73" i="58"/>
  <c r="AG72" i="58"/>
  <c r="AF72" i="58"/>
  <c r="AE72" i="58"/>
  <c r="AD5" i="58" s="1"/>
  <c r="AD72" i="58"/>
  <c r="AC5" i="58" s="1"/>
  <c r="AC72" i="58"/>
  <c r="AB5" i="58" s="1"/>
  <c r="AB72" i="58"/>
  <c r="AA72" i="58"/>
  <c r="Z5" i="58" s="1"/>
  <c r="Z72" i="58"/>
  <c r="Y72" i="58"/>
  <c r="X72" i="58"/>
  <c r="W5" i="58" s="1"/>
  <c r="W72" i="58"/>
  <c r="V5" i="58" s="1"/>
  <c r="V72" i="58"/>
  <c r="U5" i="58" s="1"/>
  <c r="U72" i="58"/>
  <c r="T5" i="58" s="1"/>
  <c r="T72" i="58"/>
  <c r="S5" i="58" s="1"/>
  <c r="S72" i="58"/>
  <c r="S88" i="58" s="1"/>
  <c r="R72" i="58"/>
  <c r="Q72" i="58"/>
  <c r="P72" i="58"/>
  <c r="O72" i="58"/>
  <c r="N72" i="58"/>
  <c r="M5" i="58" s="1"/>
  <c r="M72" i="58"/>
  <c r="L5" i="58" s="1"/>
  <c r="L72" i="58"/>
  <c r="K72" i="58"/>
  <c r="J72" i="58"/>
  <c r="I72" i="58"/>
  <c r="H72" i="58"/>
  <c r="G72" i="58"/>
  <c r="F72" i="58"/>
  <c r="E5" i="58" s="1"/>
  <c r="E72" i="58"/>
  <c r="D5" i="58" s="1"/>
  <c r="D72" i="58"/>
  <c r="D88" i="58" s="1"/>
  <c r="C72" i="58"/>
  <c r="C88" i="58" s="1"/>
  <c r="AI71" i="58"/>
  <c r="AH71" i="58"/>
  <c r="AI70" i="58"/>
  <c r="AH70" i="58"/>
  <c r="AI69" i="58"/>
  <c r="AH69" i="58"/>
  <c r="AI68" i="58"/>
  <c r="AH68" i="58"/>
  <c r="AI67" i="58"/>
  <c r="AH67" i="58"/>
  <c r="AI66" i="58"/>
  <c r="AH66" i="58"/>
  <c r="AI65" i="58"/>
  <c r="AH65" i="58"/>
  <c r="AI64" i="58"/>
  <c r="AH64" i="58"/>
  <c r="AI63" i="58"/>
  <c r="AH63" i="58"/>
  <c r="AI62" i="58"/>
  <c r="AH62" i="58"/>
  <c r="AI61" i="58"/>
  <c r="AH61" i="58"/>
  <c r="AG60" i="58"/>
  <c r="AF60" i="58"/>
  <c r="AE60" i="58"/>
  <c r="AD60" i="58"/>
  <c r="AC60" i="58"/>
  <c r="AB60" i="58"/>
  <c r="AA60" i="58"/>
  <c r="Z60" i="58"/>
  <c r="Y60" i="58"/>
  <c r="X60" i="58"/>
  <c r="W60" i="58"/>
  <c r="V60" i="58"/>
  <c r="U60" i="58"/>
  <c r="T60" i="58"/>
  <c r="S60" i="58"/>
  <c r="R60" i="58"/>
  <c r="Q60" i="58"/>
  <c r="P60" i="58"/>
  <c r="O60" i="58"/>
  <c r="N60" i="58"/>
  <c r="M60" i="58"/>
  <c r="L60" i="58"/>
  <c r="K60" i="58"/>
  <c r="J60" i="58"/>
  <c r="I60" i="58"/>
  <c r="H60" i="58"/>
  <c r="G60" i="58"/>
  <c r="F60" i="58"/>
  <c r="E60" i="58"/>
  <c r="D60" i="58"/>
  <c r="C60" i="58"/>
  <c r="AI59" i="58"/>
  <c r="AH59" i="58"/>
  <c r="AI58" i="58"/>
  <c r="AH58" i="58"/>
  <c r="AI57" i="58"/>
  <c r="AH57" i="58"/>
  <c r="AF56" i="58"/>
  <c r="AE56" i="58"/>
  <c r="AD56" i="58"/>
  <c r="AC56" i="58"/>
  <c r="AB56" i="58"/>
  <c r="AA56" i="58"/>
  <c r="Z56" i="58"/>
  <c r="Y56" i="58"/>
  <c r="X56" i="58"/>
  <c r="W56" i="58"/>
  <c r="V56" i="58"/>
  <c r="U56" i="58"/>
  <c r="T56" i="58"/>
  <c r="S56" i="58"/>
  <c r="R56" i="58"/>
  <c r="Q56" i="58"/>
  <c r="P56" i="58"/>
  <c r="O56" i="58"/>
  <c r="N56" i="58"/>
  <c r="M56" i="58"/>
  <c r="L56" i="58"/>
  <c r="K56" i="58"/>
  <c r="J56" i="58"/>
  <c r="I56" i="58"/>
  <c r="H56" i="58"/>
  <c r="G56" i="58"/>
  <c r="E56" i="58"/>
  <c r="D56" i="58"/>
  <c r="C56" i="58"/>
  <c r="AI55" i="58"/>
  <c r="AH55" i="58"/>
  <c r="AG55" i="58"/>
  <c r="AG56" i="58" s="1"/>
  <c r="AI54" i="58"/>
  <c r="AH54" i="58"/>
  <c r="AI53" i="58"/>
  <c r="AH53" i="58"/>
  <c r="AI52" i="58"/>
  <c r="AH52" i="58"/>
  <c r="AI51" i="58"/>
  <c r="AH51" i="58"/>
  <c r="AI50" i="58"/>
  <c r="AH50" i="58"/>
  <c r="AI49" i="58"/>
  <c r="AH49" i="58"/>
  <c r="AI48" i="58"/>
  <c r="AH48" i="58"/>
  <c r="AI47" i="58"/>
  <c r="AH47" i="58"/>
  <c r="AI46" i="58"/>
  <c r="AH46" i="58"/>
  <c r="AI45" i="58"/>
  <c r="AH45" i="58"/>
  <c r="AI44" i="58"/>
  <c r="AH44" i="58"/>
  <c r="AI43" i="58"/>
  <c r="AH43" i="58"/>
  <c r="AG42" i="58"/>
  <c r="AF42" i="58"/>
  <c r="AE42" i="58"/>
  <c r="AD42" i="58"/>
  <c r="AC42" i="58"/>
  <c r="AB42" i="58"/>
  <c r="AA42" i="58"/>
  <c r="Z42" i="58"/>
  <c r="Y42" i="58"/>
  <c r="X42" i="58"/>
  <c r="W42" i="58"/>
  <c r="V42" i="58"/>
  <c r="U42" i="58"/>
  <c r="T42" i="58"/>
  <c r="S42" i="58"/>
  <c r="R42" i="58"/>
  <c r="Q42" i="58"/>
  <c r="P42" i="58"/>
  <c r="O42" i="58"/>
  <c r="N42" i="58"/>
  <c r="M42" i="58"/>
  <c r="L42" i="58"/>
  <c r="K42" i="58"/>
  <c r="J42" i="58"/>
  <c r="I42" i="58"/>
  <c r="H42" i="58"/>
  <c r="G42" i="58"/>
  <c r="F42" i="58"/>
  <c r="E42" i="58"/>
  <c r="D42" i="58"/>
  <c r="C42" i="58"/>
  <c r="AI41" i="58"/>
  <c r="AH41" i="58"/>
  <c r="AI40" i="58"/>
  <c r="AH40" i="58"/>
  <c r="AI39" i="58"/>
  <c r="AH39" i="58"/>
  <c r="AG38" i="58"/>
  <c r="AF38" i="58"/>
  <c r="AE38" i="58"/>
  <c r="AD38" i="58"/>
  <c r="AC38" i="58"/>
  <c r="AB38" i="58"/>
  <c r="AA38" i="58"/>
  <c r="Z38" i="58"/>
  <c r="Y38" i="58"/>
  <c r="X38" i="58"/>
  <c r="X77" i="58" s="1"/>
  <c r="X79" i="58" s="1"/>
  <c r="W38" i="58"/>
  <c r="V38" i="58"/>
  <c r="U38" i="58"/>
  <c r="T38" i="58"/>
  <c r="S38" i="58"/>
  <c r="R38" i="58"/>
  <c r="Q38" i="58"/>
  <c r="P38" i="58"/>
  <c r="O38" i="58"/>
  <c r="N38" i="58"/>
  <c r="M38" i="58"/>
  <c r="L38" i="58"/>
  <c r="K38" i="58"/>
  <c r="J38" i="58"/>
  <c r="I38" i="58"/>
  <c r="H38" i="58"/>
  <c r="G38" i="58"/>
  <c r="F38" i="58"/>
  <c r="E38" i="58"/>
  <c r="D38" i="58"/>
  <c r="C38" i="58"/>
  <c r="AI36" i="58"/>
  <c r="AH36" i="58"/>
  <c r="AI35" i="58"/>
  <c r="AH35" i="58"/>
  <c r="AI34" i="58"/>
  <c r="AH34" i="58"/>
  <c r="AI33" i="58"/>
  <c r="AH33" i="58"/>
  <c r="AI32" i="58"/>
  <c r="AH32" i="58"/>
  <c r="AI31" i="58"/>
  <c r="AH31" i="58"/>
  <c r="AI30" i="58"/>
  <c r="AH30" i="58"/>
  <c r="AI29" i="58"/>
  <c r="AH29" i="58"/>
  <c r="AI28" i="58"/>
  <c r="AH28" i="58"/>
  <c r="AI27" i="58"/>
  <c r="AH27" i="58"/>
  <c r="AI26" i="58"/>
  <c r="AH26" i="58"/>
  <c r="AI25" i="58"/>
  <c r="AH25" i="58"/>
  <c r="AI24" i="58"/>
  <c r="AH24" i="58"/>
  <c r="AI23" i="58"/>
  <c r="AH23" i="58"/>
  <c r="AI22" i="58"/>
  <c r="AH22" i="58"/>
  <c r="AI21" i="58"/>
  <c r="AH21" i="58"/>
  <c r="AI20" i="58"/>
  <c r="AH20" i="58"/>
  <c r="AI19" i="58"/>
  <c r="AH19" i="58"/>
  <c r="AI18" i="58"/>
  <c r="AH18" i="58"/>
  <c r="AI17" i="58"/>
  <c r="AH17" i="58"/>
  <c r="AI16" i="58"/>
  <c r="AH16" i="58"/>
  <c r="AI15" i="58"/>
  <c r="AH15" i="58"/>
  <c r="AI14" i="58"/>
  <c r="AH14" i="58"/>
  <c r="AI13" i="58"/>
  <c r="AH13" i="58"/>
  <c r="AI12" i="58"/>
  <c r="AH12" i="58"/>
  <c r="AI11" i="58"/>
  <c r="AH11" i="58"/>
  <c r="AG4" i="58"/>
  <c r="K4" i="58"/>
  <c r="B4" i="58"/>
  <c r="S231" i="58" s="1"/>
  <c r="AG2" i="58"/>
  <c r="AE37" i="57"/>
  <c r="AD37" i="57"/>
  <c r="AC37" i="57"/>
  <c r="AB37" i="57"/>
  <c r="E4" i="58"/>
  <c r="AF87" i="58" l="1"/>
  <c r="AF88" i="58"/>
  <c r="AF77" i="58"/>
  <c r="AF79" i="58" s="1"/>
  <c r="AE5" i="58"/>
  <c r="AE77" i="58"/>
  <c r="AE79" i="58" s="1"/>
  <c r="AE88" i="58"/>
  <c r="AD87" i="58"/>
  <c r="AC87" i="58"/>
  <c r="AC88" i="58" s="1"/>
  <c r="AC77" i="58"/>
  <c r="AC79" i="58" s="1"/>
  <c r="AD77" i="58"/>
  <c r="AD79" i="58" s="1"/>
  <c r="AB87" i="58"/>
  <c r="AB88" i="58" s="1"/>
  <c r="AA5" i="58"/>
  <c r="AB77" i="58"/>
  <c r="AB79" i="58" s="1"/>
  <c r="AB80" i="58" s="1"/>
  <c r="AA88" i="58"/>
  <c r="AA77" i="58"/>
  <c r="AA79" i="58" s="1"/>
  <c r="AA7" i="58" s="1"/>
  <c r="Y5" i="58"/>
  <c r="Z87" i="58"/>
  <c r="Z88" i="58" s="1"/>
  <c r="Z77" i="58"/>
  <c r="Z79" i="58" s="1"/>
  <c r="Z7" i="58" s="1"/>
  <c r="X5" i="58"/>
  <c r="Y87" i="58"/>
  <c r="Y88" i="58" s="1"/>
  <c r="Y77" i="58"/>
  <c r="Y79" i="58" s="1"/>
  <c r="X88" i="58"/>
  <c r="W87" i="58"/>
  <c r="AI85" i="58"/>
  <c r="W88" i="58"/>
  <c r="W77" i="58"/>
  <c r="W79" i="58" s="1"/>
  <c r="AO234" i="58" s="1"/>
  <c r="V87" i="58"/>
  <c r="V77" i="58"/>
  <c r="V79" i="58" s="1"/>
  <c r="V80" i="58" s="1"/>
  <c r="U87" i="58"/>
  <c r="U77" i="58"/>
  <c r="U79" i="58" s="1"/>
  <c r="U7" i="58" s="1"/>
  <c r="T87" i="58"/>
  <c r="T88" i="58" s="1"/>
  <c r="T77" i="58"/>
  <c r="T79" i="58" s="1"/>
  <c r="T80" i="58" s="1"/>
  <c r="R5" i="58"/>
  <c r="S77" i="58"/>
  <c r="S79" i="58" s="1"/>
  <c r="S80" i="58" s="1"/>
  <c r="R87" i="58"/>
  <c r="R88" i="58" s="1"/>
  <c r="Q5" i="58"/>
  <c r="R77" i="58"/>
  <c r="R79" i="58" s="1"/>
  <c r="R80" i="58" s="1"/>
  <c r="Q87" i="58"/>
  <c r="Q88" i="58" s="1"/>
  <c r="Q77" i="58"/>
  <c r="Q79" i="58" s="1"/>
  <c r="AI234" i="58" s="1"/>
  <c r="P5" i="58"/>
  <c r="P87" i="58"/>
  <c r="P88" i="58"/>
  <c r="O5" i="58"/>
  <c r="P77" i="58"/>
  <c r="P79" i="58" s="1"/>
  <c r="AH234" i="58" s="1"/>
  <c r="O87" i="58"/>
  <c r="O88" i="58" s="1"/>
  <c r="N5" i="58"/>
  <c r="O77" i="58"/>
  <c r="O79" i="58" s="1"/>
  <c r="AG234" i="58" s="1"/>
  <c r="AI84" i="58"/>
  <c r="N77" i="58"/>
  <c r="N79" i="58" s="1"/>
  <c r="M87" i="58"/>
  <c r="M77" i="58"/>
  <c r="M79" i="58" s="1"/>
  <c r="M7" i="58" s="1"/>
  <c r="L87" i="58"/>
  <c r="L88" i="58" s="1"/>
  <c r="K5" i="58"/>
  <c r="L77" i="58"/>
  <c r="L79" i="58" s="1"/>
  <c r="L7" i="58" s="1"/>
  <c r="K87" i="58"/>
  <c r="K88" i="58" s="1"/>
  <c r="J5" i="58"/>
  <c r="K77" i="58"/>
  <c r="K79" i="58" s="1"/>
  <c r="AC234" i="58" s="1"/>
  <c r="J87" i="58"/>
  <c r="J88" i="58" s="1"/>
  <c r="I5" i="58"/>
  <c r="J77" i="58"/>
  <c r="J79" i="58" s="1"/>
  <c r="J80" i="58" s="1"/>
  <c r="AI81" i="58"/>
  <c r="H5" i="58"/>
  <c r="I87" i="58"/>
  <c r="I88" i="58" s="1"/>
  <c r="AH85" i="58"/>
  <c r="AH60" i="58"/>
  <c r="I77" i="58"/>
  <c r="I79" i="58" s="1"/>
  <c r="I80" i="58" s="1"/>
  <c r="H87" i="58"/>
  <c r="H88" i="58" s="1"/>
  <c r="G5" i="58"/>
  <c r="AI42" i="58"/>
  <c r="H77" i="58"/>
  <c r="H79" i="58" s="1"/>
  <c r="H80" i="58" s="1"/>
  <c r="G87" i="58"/>
  <c r="G88" i="58" s="1"/>
  <c r="F5" i="58"/>
  <c r="G77" i="58"/>
  <c r="G79" i="58" s="1"/>
  <c r="G7" i="58" s="1"/>
  <c r="F77" i="58"/>
  <c r="F79" i="58" s="1"/>
  <c r="E87" i="58"/>
  <c r="AH82" i="58"/>
  <c r="AI56" i="58"/>
  <c r="E77" i="58"/>
  <c r="E79" i="58" s="1"/>
  <c r="E7" i="58" s="1"/>
  <c r="AI82" i="58"/>
  <c r="C5" i="58"/>
  <c r="AI60" i="58"/>
  <c r="D77" i="58"/>
  <c r="D79" i="58" s="1"/>
  <c r="D7" i="58" s="1"/>
  <c r="AI83" i="58"/>
  <c r="B5" i="58"/>
  <c r="AH56" i="58"/>
  <c r="C77" i="58"/>
  <c r="C79" i="58" s="1"/>
  <c r="C80" i="58" s="1"/>
  <c r="AH42" i="58"/>
  <c r="B77" i="58"/>
  <c r="B79" i="58" s="1"/>
  <c r="AH37" i="58"/>
  <c r="H4" i="58"/>
  <c r="T7" i="58"/>
  <c r="AL234" i="58"/>
  <c r="C7" i="58"/>
  <c r="S7" i="58"/>
  <c r="AK234" i="58"/>
  <c r="AS234" i="58"/>
  <c r="AA80" i="58"/>
  <c r="M80" i="58"/>
  <c r="AC7" i="58"/>
  <c r="AU234" i="58"/>
  <c r="AC80" i="58"/>
  <c r="D255" i="58"/>
  <c r="F219" i="58"/>
  <c r="AB7" i="58"/>
  <c r="AT234" i="58"/>
  <c r="X234" i="58"/>
  <c r="F80" i="58"/>
  <c r="F7" i="58"/>
  <c r="AF234" i="58"/>
  <c r="N80" i="58"/>
  <c r="N7" i="58"/>
  <c r="AN234" i="58"/>
  <c r="V7" i="58"/>
  <c r="AV234" i="58"/>
  <c r="AD80" i="58"/>
  <c r="AD7" i="58"/>
  <c r="AW234" i="58"/>
  <c r="AE80" i="58"/>
  <c r="AE7" i="58"/>
  <c r="X80" i="58"/>
  <c r="X7" i="58"/>
  <c r="AP234" i="58"/>
  <c r="AF80" i="58"/>
  <c r="AF7" i="58"/>
  <c r="AX234" i="58"/>
  <c r="AG79" i="58"/>
  <c r="AG3" i="58"/>
  <c r="AG6" i="58" s="1"/>
  <c r="Q80" i="58"/>
  <c r="Q7" i="58"/>
  <c r="Y80" i="58"/>
  <c r="Y7" i="58"/>
  <c r="AQ234" i="58"/>
  <c r="AG77" i="58"/>
  <c r="E88" i="58"/>
  <c r="M88" i="58"/>
  <c r="U88" i="58"/>
  <c r="Z80" i="58"/>
  <c r="F88" i="58"/>
  <c r="N88" i="58"/>
  <c r="V88" i="58"/>
  <c r="AD88" i="58"/>
  <c r="AH83" i="58"/>
  <c r="D231" i="58"/>
  <c r="AH38" i="58"/>
  <c r="AH84" i="58"/>
  <c r="AI38" i="58"/>
  <c r="E214" i="58"/>
  <c r="AH72" i="58"/>
  <c r="AH81" i="58"/>
  <c r="B87" i="58"/>
  <c r="AI72" i="58"/>
  <c r="AA37" i="57"/>
  <c r="Z37" i="57"/>
  <c r="Y37" i="57"/>
  <c r="X37" i="57"/>
  <c r="W37" i="57"/>
  <c r="V98" i="57"/>
  <c r="V37" i="57"/>
  <c r="U37" i="57"/>
  <c r="T37" i="57"/>
  <c r="S37" i="57"/>
  <c r="AR234" i="58" l="1"/>
  <c r="W7" i="58"/>
  <c r="W80" i="58"/>
  <c r="U80" i="58"/>
  <c r="AM234" i="58"/>
  <c r="AJ234" i="58"/>
  <c r="R7" i="58"/>
  <c r="P7" i="58"/>
  <c r="P80" i="58"/>
  <c r="O7" i="58"/>
  <c r="O80" i="58"/>
  <c r="AE234" i="58"/>
  <c r="L80" i="58"/>
  <c r="AD234" i="58"/>
  <c r="K7" i="58"/>
  <c r="K80" i="58"/>
  <c r="Y234" i="58"/>
  <c r="G80" i="58"/>
  <c r="J7" i="58"/>
  <c r="AB234" i="58"/>
  <c r="AA234" i="58"/>
  <c r="I7" i="58"/>
  <c r="Z234" i="58"/>
  <c r="H7" i="58"/>
  <c r="B229" i="58"/>
  <c r="C229" i="58"/>
  <c r="K6" i="58" s="1"/>
  <c r="B80" i="58"/>
  <c r="E80" i="58"/>
  <c r="W234" i="58"/>
  <c r="D80" i="58"/>
  <c r="AH80" i="58" s="1"/>
  <c r="V234" i="58"/>
  <c r="AH77" i="58"/>
  <c r="AI77" i="58"/>
  <c r="U234" i="58"/>
  <c r="AI87" i="58"/>
  <c r="AH87" i="58"/>
  <c r="B7" i="58"/>
  <c r="AI79" i="58"/>
  <c r="AH79" i="58"/>
  <c r="T234" i="58"/>
  <c r="E98" i="58"/>
  <c r="F214" i="58"/>
  <c r="E220" i="58"/>
  <c r="B88" i="58"/>
  <c r="E255" i="58"/>
  <c r="G219" i="58"/>
  <c r="R37" i="57"/>
  <c r="A7" i="58" l="1"/>
  <c r="F255" i="58"/>
  <c r="H219" i="58"/>
  <c r="AI88" i="58"/>
  <c r="AH88" i="58"/>
  <c r="F98" i="58"/>
  <c r="G214" i="58"/>
  <c r="F220" i="58"/>
  <c r="G98" i="58" l="1"/>
  <c r="H214" i="58"/>
  <c r="G220" i="58"/>
  <c r="G255" i="58"/>
  <c r="I219" i="58"/>
  <c r="P37" i="57"/>
  <c r="O37" i="57"/>
  <c r="N37" i="57"/>
  <c r="M37" i="57"/>
  <c r="J100" i="57"/>
  <c r="K100" i="57"/>
  <c r="J37" i="57"/>
  <c r="AI37" i="57" s="1"/>
  <c r="K37" i="57"/>
  <c r="I37" i="57"/>
  <c r="E100" i="57"/>
  <c r="F100" i="57"/>
  <c r="G100" i="57"/>
  <c r="H37" i="57"/>
  <c r="F37" i="57"/>
  <c r="G37" i="57"/>
  <c r="E37" i="57"/>
  <c r="AF259" i="57"/>
  <c r="AE259" i="57"/>
  <c r="AD259" i="57"/>
  <c r="AC259" i="57"/>
  <c r="AB259" i="57"/>
  <c r="AA259" i="57"/>
  <c r="Z259" i="57"/>
  <c r="Y259" i="57"/>
  <c r="X259" i="57"/>
  <c r="W259" i="57"/>
  <c r="V259" i="57"/>
  <c r="U259" i="57"/>
  <c r="T259" i="57"/>
  <c r="S259" i="57"/>
  <c r="R259" i="57"/>
  <c r="Q259" i="57"/>
  <c r="P259" i="57"/>
  <c r="O259" i="57"/>
  <c r="N259" i="57"/>
  <c r="M259" i="57"/>
  <c r="L259" i="57"/>
  <c r="K259" i="57"/>
  <c r="J259" i="57"/>
  <c r="I259" i="57"/>
  <c r="H259" i="57"/>
  <c r="G259" i="57"/>
  <c r="F259" i="57"/>
  <c r="E259" i="57"/>
  <c r="D259" i="57"/>
  <c r="C259" i="57"/>
  <c r="B259" i="57"/>
  <c r="A259" i="57"/>
  <c r="AF258" i="57"/>
  <c r="AE258" i="57"/>
  <c r="AD258" i="57"/>
  <c r="AC258" i="57"/>
  <c r="AB258" i="57"/>
  <c r="AA258" i="57"/>
  <c r="Z258" i="57"/>
  <c r="Y258" i="57"/>
  <c r="X258" i="57"/>
  <c r="W258" i="57"/>
  <c r="V258" i="57"/>
  <c r="U258" i="57"/>
  <c r="T258" i="57"/>
  <c r="S258" i="57"/>
  <c r="R258" i="57"/>
  <c r="Q258" i="57"/>
  <c r="P258" i="57"/>
  <c r="O258" i="57"/>
  <c r="N258" i="57"/>
  <c r="M258" i="57"/>
  <c r="L258" i="57"/>
  <c r="K258" i="57"/>
  <c r="J258" i="57"/>
  <c r="I258" i="57"/>
  <c r="H258" i="57"/>
  <c r="G258" i="57"/>
  <c r="F258" i="57"/>
  <c r="E258" i="57"/>
  <c r="D258" i="57"/>
  <c r="C258" i="57"/>
  <c r="B258" i="57"/>
  <c r="A258" i="57"/>
  <c r="AF257" i="57"/>
  <c r="AE257" i="57"/>
  <c r="AD257" i="57"/>
  <c r="AC257" i="57"/>
  <c r="AB257" i="57"/>
  <c r="AA257" i="57"/>
  <c r="Z257" i="57"/>
  <c r="Y257" i="57"/>
  <c r="X257" i="57"/>
  <c r="W257" i="57"/>
  <c r="V257" i="57"/>
  <c r="U257" i="57"/>
  <c r="T257" i="57"/>
  <c r="S257" i="57"/>
  <c r="R257" i="57"/>
  <c r="Q257" i="57"/>
  <c r="P257" i="57"/>
  <c r="O257" i="57"/>
  <c r="N257" i="57"/>
  <c r="M257" i="57"/>
  <c r="L257" i="57"/>
  <c r="K257" i="57"/>
  <c r="J257" i="57"/>
  <c r="I257" i="57"/>
  <c r="H257" i="57"/>
  <c r="G257" i="57"/>
  <c r="F257" i="57"/>
  <c r="E257" i="57"/>
  <c r="D257" i="57"/>
  <c r="C257" i="57"/>
  <c r="B257" i="57"/>
  <c r="A257" i="57"/>
  <c r="AF256" i="57"/>
  <c r="AE256" i="57"/>
  <c r="AD256" i="57"/>
  <c r="AC256" i="57"/>
  <c r="AB256" i="57"/>
  <c r="AA256" i="57"/>
  <c r="Z256" i="57"/>
  <c r="Y256" i="57"/>
  <c r="X256" i="57"/>
  <c r="W256" i="57"/>
  <c r="V256" i="57"/>
  <c r="U256" i="57"/>
  <c r="T256" i="57"/>
  <c r="S256" i="57"/>
  <c r="R256" i="57"/>
  <c r="Q256" i="57"/>
  <c r="P256" i="57"/>
  <c r="O256" i="57"/>
  <c r="N256" i="57"/>
  <c r="M256" i="57"/>
  <c r="L256" i="57"/>
  <c r="K256" i="57"/>
  <c r="J256" i="57"/>
  <c r="I256" i="57"/>
  <c r="H256" i="57"/>
  <c r="G256" i="57"/>
  <c r="F256" i="57"/>
  <c r="E256" i="57"/>
  <c r="D256" i="57"/>
  <c r="C256" i="57"/>
  <c r="B256" i="57"/>
  <c r="A256" i="57"/>
  <c r="AE255" i="57"/>
  <c r="AD255" i="57"/>
  <c r="AC255" i="57"/>
  <c r="AB255" i="57"/>
  <c r="AA255" i="57"/>
  <c r="Z255" i="57"/>
  <c r="Y255" i="57"/>
  <c r="X255" i="57"/>
  <c r="W255" i="57"/>
  <c r="V255" i="57"/>
  <c r="U255" i="57"/>
  <c r="T255" i="57"/>
  <c r="S255" i="57"/>
  <c r="R255" i="57"/>
  <c r="Q255" i="57"/>
  <c r="P255" i="57"/>
  <c r="C255" i="57"/>
  <c r="B255" i="57"/>
  <c r="S230" i="57"/>
  <c r="AG220" i="57"/>
  <c r="AG55" i="57" s="1"/>
  <c r="AG56" i="57" s="1"/>
  <c r="AF220" i="57"/>
  <c r="AE220" i="57"/>
  <c r="AD220" i="57"/>
  <c r="AC220" i="57"/>
  <c r="AB220" i="57"/>
  <c r="AA220" i="57"/>
  <c r="Z220" i="57"/>
  <c r="Y220" i="57"/>
  <c r="X220" i="57"/>
  <c r="W220" i="57"/>
  <c r="V220" i="57"/>
  <c r="U220" i="57"/>
  <c r="T220" i="57"/>
  <c r="S220" i="57"/>
  <c r="R220" i="57"/>
  <c r="Q220" i="57"/>
  <c r="C220" i="57"/>
  <c r="E219" i="57"/>
  <c r="D255" i="57" s="1"/>
  <c r="D219" i="57"/>
  <c r="B219" i="57"/>
  <c r="AF255" i="57" s="1"/>
  <c r="F218" i="57"/>
  <c r="G218" i="57" s="1"/>
  <c r="H218" i="57" s="1"/>
  <c r="I218" i="57" s="1"/>
  <c r="J218" i="57" s="1"/>
  <c r="K218" i="57" s="1"/>
  <c r="L218" i="57" s="1"/>
  <c r="M218" i="57" s="1"/>
  <c r="N218" i="57" s="1"/>
  <c r="O218" i="57" s="1"/>
  <c r="P218" i="57" s="1"/>
  <c r="E218" i="57"/>
  <c r="D218" i="57"/>
  <c r="B218" i="57"/>
  <c r="D217" i="57"/>
  <c r="D220" i="57" s="1"/>
  <c r="B217" i="57"/>
  <c r="E216" i="57"/>
  <c r="F216" i="57" s="1"/>
  <c r="G216" i="57" s="1"/>
  <c r="H216" i="57" s="1"/>
  <c r="I216" i="57" s="1"/>
  <c r="J216" i="57" s="1"/>
  <c r="K216" i="57" s="1"/>
  <c r="L216" i="57" s="1"/>
  <c r="M216" i="57" s="1"/>
  <c r="N216" i="57" s="1"/>
  <c r="O216" i="57" s="1"/>
  <c r="P216" i="57" s="1"/>
  <c r="D216" i="57"/>
  <c r="B216" i="57"/>
  <c r="E215" i="57"/>
  <c r="F215" i="57" s="1"/>
  <c r="G215" i="57" s="1"/>
  <c r="H215" i="57" s="1"/>
  <c r="I215" i="57" s="1"/>
  <c r="J215" i="57" s="1"/>
  <c r="K215" i="57" s="1"/>
  <c r="L215" i="57" s="1"/>
  <c r="M215" i="57" s="1"/>
  <c r="N215" i="57" s="1"/>
  <c r="O215" i="57" s="1"/>
  <c r="P215" i="57" s="1"/>
  <c r="D215" i="57"/>
  <c r="B215" i="57"/>
  <c r="F214" i="57"/>
  <c r="E214" i="57"/>
  <c r="D214" i="57"/>
  <c r="B214" i="57"/>
  <c r="B220" i="57" s="1"/>
  <c r="AG212" i="57"/>
  <c r="AF212" i="57"/>
  <c r="AE212" i="57"/>
  <c r="AD212" i="57"/>
  <c r="AC212" i="57"/>
  <c r="AB212" i="57"/>
  <c r="AA212" i="57"/>
  <c r="Z212" i="57"/>
  <c r="Y212" i="57"/>
  <c r="X212" i="57"/>
  <c r="W212" i="57"/>
  <c r="V212" i="57"/>
  <c r="U212" i="57"/>
  <c r="T212" i="57"/>
  <c r="S212" i="57"/>
  <c r="R212" i="57"/>
  <c r="Q212" i="57"/>
  <c r="P212" i="57"/>
  <c r="O212" i="57"/>
  <c r="N212" i="57"/>
  <c r="M212" i="57"/>
  <c r="L212" i="57"/>
  <c r="K212" i="57"/>
  <c r="J212" i="57"/>
  <c r="I212" i="57"/>
  <c r="H212" i="57"/>
  <c r="G212" i="57"/>
  <c r="F212" i="57"/>
  <c r="E212" i="57"/>
  <c r="D212" i="57"/>
  <c r="C212" i="57"/>
  <c r="B212" i="57"/>
  <c r="AH105" i="57"/>
  <c r="AI105" i="57" s="1"/>
  <c r="AH104" i="57"/>
  <c r="AI104" i="57" s="1"/>
  <c r="AH103" i="57"/>
  <c r="AI103" i="57" s="1"/>
  <c r="AH102" i="57"/>
  <c r="AI102" i="57" s="1"/>
  <c r="AH101" i="57"/>
  <c r="AI101" i="57" s="1"/>
  <c r="AH100" i="57"/>
  <c r="AI100" i="57" s="1"/>
  <c r="AH99" i="57"/>
  <c r="AI99" i="57" s="1"/>
  <c r="AF98" i="57"/>
  <c r="AE98" i="57"/>
  <c r="AD98" i="57"/>
  <c r="AC98" i="57"/>
  <c r="AB98" i="57"/>
  <c r="AA98" i="57"/>
  <c r="Z98" i="57"/>
  <c r="Y98" i="57"/>
  <c r="X98" i="57"/>
  <c r="W98" i="57"/>
  <c r="U98" i="57"/>
  <c r="T98" i="57"/>
  <c r="S98" i="57"/>
  <c r="R98" i="57"/>
  <c r="Q98" i="57"/>
  <c r="E98" i="57"/>
  <c r="D98" i="57"/>
  <c r="C98" i="57"/>
  <c r="AI97" i="57"/>
  <c r="AH97" i="57"/>
  <c r="AI96" i="57"/>
  <c r="AH96" i="57"/>
  <c r="AI95" i="57"/>
  <c r="AH95" i="57"/>
  <c r="AI94" i="57"/>
  <c r="AH94" i="57"/>
  <c r="AI93" i="57"/>
  <c r="AH93" i="57"/>
  <c r="AI92" i="57"/>
  <c r="AH92" i="57"/>
  <c r="AI91" i="57"/>
  <c r="AH91" i="57"/>
  <c r="AI90" i="57"/>
  <c r="AH90" i="57"/>
  <c r="AI89" i="57"/>
  <c r="AH89" i="57"/>
  <c r="AI86" i="57"/>
  <c r="AH86" i="57"/>
  <c r="AF85" i="57"/>
  <c r="AE85" i="57"/>
  <c r="AD85" i="57"/>
  <c r="AC85" i="57"/>
  <c r="AB85" i="57"/>
  <c r="AA85" i="57"/>
  <c r="Z85" i="57"/>
  <c r="Y85" i="57"/>
  <c r="X85" i="57"/>
  <c r="W85" i="57"/>
  <c r="V85" i="57"/>
  <c r="U85" i="57"/>
  <c r="T85" i="57"/>
  <c r="S85" i="57"/>
  <c r="R85" i="57"/>
  <c r="Q85" i="57"/>
  <c r="P85" i="57"/>
  <c r="O85" i="57"/>
  <c r="N85" i="57"/>
  <c r="M85" i="57"/>
  <c r="L85" i="57"/>
  <c r="K85" i="57"/>
  <c r="J85" i="57"/>
  <c r="I85" i="57"/>
  <c r="H85" i="57"/>
  <c r="G85" i="57"/>
  <c r="F85" i="57"/>
  <c r="E85" i="57"/>
  <c r="D85" i="57"/>
  <c r="C85" i="57"/>
  <c r="B85" i="57"/>
  <c r="AF84" i="57"/>
  <c r="AE84" i="57"/>
  <c r="AD84" i="57"/>
  <c r="AC84" i="57"/>
  <c r="AB84" i="57"/>
  <c r="AA84" i="57"/>
  <c r="Z84" i="57"/>
  <c r="Y84" i="57"/>
  <c r="X84" i="57"/>
  <c r="W84" i="57"/>
  <c r="V84" i="57"/>
  <c r="U84" i="57"/>
  <c r="T84" i="57"/>
  <c r="S84" i="57"/>
  <c r="R84" i="57"/>
  <c r="Q84" i="57"/>
  <c r="P84" i="57"/>
  <c r="O84" i="57"/>
  <c r="N84" i="57"/>
  <c r="M84" i="57"/>
  <c r="L84" i="57"/>
  <c r="K84" i="57"/>
  <c r="J84" i="57"/>
  <c r="I84" i="57"/>
  <c r="H84" i="57"/>
  <c r="G84" i="57"/>
  <c r="F84" i="57"/>
  <c r="E84" i="57"/>
  <c r="D84" i="57"/>
  <c r="C84" i="57"/>
  <c r="B84" i="57"/>
  <c r="AF83" i="57"/>
  <c r="AE83" i="57"/>
  <c r="AD83" i="57"/>
  <c r="AC83" i="57"/>
  <c r="AB83" i="57"/>
  <c r="AA83" i="57"/>
  <c r="Z83" i="57"/>
  <c r="Y83" i="57"/>
  <c r="X83" i="57"/>
  <c r="W83" i="57"/>
  <c r="V83" i="57"/>
  <c r="U83" i="57"/>
  <c r="T83" i="57"/>
  <c r="S83" i="57"/>
  <c r="R83" i="57"/>
  <c r="Q83" i="57"/>
  <c r="P83" i="57"/>
  <c r="O83" i="57"/>
  <c r="N83" i="57"/>
  <c r="M83" i="57"/>
  <c r="L83" i="57"/>
  <c r="K83" i="57"/>
  <c r="J83" i="57"/>
  <c r="I83" i="57"/>
  <c r="H83" i="57"/>
  <c r="G83" i="57"/>
  <c r="F83" i="57"/>
  <c r="E83" i="57"/>
  <c r="D83" i="57"/>
  <c r="C83" i="57"/>
  <c r="B83" i="57"/>
  <c r="AF82" i="57"/>
  <c r="AE82" i="57"/>
  <c r="AD82" i="57"/>
  <c r="AC82" i="57"/>
  <c r="AB82" i="57"/>
  <c r="AA82" i="57"/>
  <c r="Z82" i="57"/>
  <c r="Y82" i="57"/>
  <c r="X82" i="57"/>
  <c r="W82" i="57"/>
  <c r="V82" i="57"/>
  <c r="U82" i="57"/>
  <c r="T82" i="57"/>
  <c r="S82" i="57"/>
  <c r="R82" i="57"/>
  <c r="Q82" i="57"/>
  <c r="P82" i="57"/>
  <c r="O82" i="57"/>
  <c r="N82" i="57"/>
  <c r="M82" i="57"/>
  <c r="L82" i="57"/>
  <c r="K82" i="57"/>
  <c r="J82" i="57"/>
  <c r="I82" i="57"/>
  <c r="H82" i="57"/>
  <c r="G82" i="57"/>
  <c r="F82" i="57"/>
  <c r="E82" i="57"/>
  <c r="D82" i="57"/>
  <c r="C82" i="57"/>
  <c r="B82" i="57"/>
  <c r="AF81" i="57"/>
  <c r="AE81" i="57"/>
  <c r="AE87" i="57" s="1"/>
  <c r="AD81" i="57"/>
  <c r="AC81" i="57"/>
  <c r="AB81" i="57"/>
  <c r="AB87" i="57" s="1"/>
  <c r="AA81" i="57"/>
  <c r="Z81" i="57"/>
  <c r="Y81" i="57"/>
  <c r="Y87" i="57" s="1"/>
  <c r="X81" i="57"/>
  <c r="X87" i="57" s="1"/>
  <c r="W81" i="57"/>
  <c r="V81" i="57"/>
  <c r="V87" i="57" s="1"/>
  <c r="U81" i="57"/>
  <c r="T81" i="57"/>
  <c r="S81" i="57"/>
  <c r="R81" i="57"/>
  <c r="R87" i="57" s="1"/>
  <c r="Q81" i="57"/>
  <c r="P81" i="57"/>
  <c r="O81" i="57"/>
  <c r="N81" i="57"/>
  <c r="M81" i="57"/>
  <c r="L81" i="57"/>
  <c r="K81" i="57"/>
  <c r="J81" i="57"/>
  <c r="I81" i="57"/>
  <c r="H81" i="57"/>
  <c r="G81" i="57"/>
  <c r="F81" i="57"/>
  <c r="E81" i="57"/>
  <c r="D81" i="57"/>
  <c r="C81" i="57"/>
  <c r="B81" i="57"/>
  <c r="AI78" i="57"/>
  <c r="AH78" i="57"/>
  <c r="AI76" i="57"/>
  <c r="AH76" i="57"/>
  <c r="AG76" i="57"/>
  <c r="AI75" i="57"/>
  <c r="AH75" i="57"/>
  <c r="AI74" i="57"/>
  <c r="AH74" i="57"/>
  <c r="AI73" i="57"/>
  <c r="AH73" i="57"/>
  <c r="AG72" i="57"/>
  <c r="AF72" i="57"/>
  <c r="AE5" i="57" s="1"/>
  <c r="AE72" i="57"/>
  <c r="AD5" i="57" s="1"/>
  <c r="AD72" i="57"/>
  <c r="AC5" i="57" s="1"/>
  <c r="AC72" i="57"/>
  <c r="AB5" i="57" s="1"/>
  <c r="AB72" i="57"/>
  <c r="AA5" i="57" s="1"/>
  <c r="AA72" i="57"/>
  <c r="Z5" i="57" s="1"/>
  <c r="Z72" i="57"/>
  <c r="Y5" i="57" s="1"/>
  <c r="Y72" i="57"/>
  <c r="X72" i="57"/>
  <c r="W5" i="57" s="1"/>
  <c r="W72" i="57"/>
  <c r="V5" i="57" s="1"/>
  <c r="V72" i="57"/>
  <c r="U72" i="57"/>
  <c r="T5" i="57" s="1"/>
  <c r="T72" i="57"/>
  <c r="S5" i="57" s="1"/>
  <c r="S72" i="57"/>
  <c r="R5" i="57" s="1"/>
  <c r="R72" i="57"/>
  <c r="Q72" i="57"/>
  <c r="P72" i="57"/>
  <c r="O5" i="57" s="1"/>
  <c r="O72" i="57"/>
  <c r="N5" i="57" s="1"/>
  <c r="N72" i="57"/>
  <c r="M5" i="57" s="1"/>
  <c r="M72" i="57"/>
  <c r="L5" i="57" s="1"/>
  <c r="L72" i="57"/>
  <c r="K5" i="57" s="1"/>
  <c r="K72" i="57"/>
  <c r="J5" i="57" s="1"/>
  <c r="J72" i="57"/>
  <c r="I5" i="57" s="1"/>
  <c r="I72" i="57"/>
  <c r="H72" i="57"/>
  <c r="G5" i="57" s="1"/>
  <c r="G72" i="57"/>
  <c r="F5" i="57" s="1"/>
  <c r="F72" i="57"/>
  <c r="E5" i="57" s="1"/>
  <c r="E72" i="57"/>
  <c r="D5" i="57" s="1"/>
  <c r="D72" i="57"/>
  <c r="C5" i="57" s="1"/>
  <c r="C72" i="57"/>
  <c r="B5" i="57" s="1"/>
  <c r="B72" i="57"/>
  <c r="AF5" i="57" s="1"/>
  <c r="AI71" i="57"/>
  <c r="AH71" i="57"/>
  <c r="AI70" i="57"/>
  <c r="AH70" i="57"/>
  <c r="AI69" i="57"/>
  <c r="AH69" i="57"/>
  <c r="AI68" i="57"/>
  <c r="AH68" i="57"/>
  <c r="AI67" i="57"/>
  <c r="AH67" i="57"/>
  <c r="AI66" i="57"/>
  <c r="AH66" i="57"/>
  <c r="AI65" i="57"/>
  <c r="AH65" i="57"/>
  <c r="AI64" i="57"/>
  <c r="AH64" i="57"/>
  <c r="AI63" i="57"/>
  <c r="AH63" i="57"/>
  <c r="AI62" i="57"/>
  <c r="AH62" i="57"/>
  <c r="AI61" i="57"/>
  <c r="AH61" i="57"/>
  <c r="AG60" i="57"/>
  <c r="AF60" i="57"/>
  <c r="AE60" i="57"/>
  <c r="AD60" i="57"/>
  <c r="AC60" i="57"/>
  <c r="AB60" i="57"/>
  <c r="AA60" i="57"/>
  <c r="Z60" i="57"/>
  <c r="Y60" i="57"/>
  <c r="X60" i="57"/>
  <c r="W60" i="57"/>
  <c r="V60" i="57"/>
  <c r="U60" i="57"/>
  <c r="T60" i="57"/>
  <c r="S60" i="57"/>
  <c r="R60" i="57"/>
  <c r="Q60" i="57"/>
  <c r="P60" i="57"/>
  <c r="O60" i="57"/>
  <c r="N60" i="57"/>
  <c r="M60" i="57"/>
  <c r="L60" i="57"/>
  <c r="K60" i="57"/>
  <c r="J60" i="57"/>
  <c r="I60" i="57"/>
  <c r="H60" i="57"/>
  <c r="G60" i="57"/>
  <c r="F60" i="57"/>
  <c r="E60" i="57"/>
  <c r="D60" i="57"/>
  <c r="C60" i="57"/>
  <c r="B60" i="57"/>
  <c r="AI59" i="57"/>
  <c r="AH59" i="57"/>
  <c r="AI58" i="57"/>
  <c r="AH58" i="57"/>
  <c r="AI57" i="57"/>
  <c r="AH57" i="57"/>
  <c r="AF56" i="57"/>
  <c r="AE56" i="57"/>
  <c r="AD56" i="57"/>
  <c r="AC56" i="57"/>
  <c r="AB56" i="57"/>
  <c r="AA56" i="57"/>
  <c r="Z56" i="57"/>
  <c r="Y56" i="57"/>
  <c r="X56" i="57"/>
  <c r="W56" i="57"/>
  <c r="V56" i="57"/>
  <c r="U56" i="57"/>
  <c r="T56" i="57"/>
  <c r="S56" i="57"/>
  <c r="R56" i="57"/>
  <c r="Q56" i="57"/>
  <c r="P56" i="57"/>
  <c r="O56" i="57"/>
  <c r="N56" i="57"/>
  <c r="M56" i="57"/>
  <c r="L56" i="57"/>
  <c r="K56" i="57"/>
  <c r="J56" i="57"/>
  <c r="I56" i="57"/>
  <c r="H56" i="57"/>
  <c r="G56" i="57"/>
  <c r="F56" i="57"/>
  <c r="E56" i="57"/>
  <c r="D56" i="57"/>
  <c r="C56" i="57"/>
  <c r="B56" i="57"/>
  <c r="AI55" i="57"/>
  <c r="AH55" i="57"/>
  <c r="AI54" i="57"/>
  <c r="AH54" i="57"/>
  <c r="AI53" i="57"/>
  <c r="AH53" i="57"/>
  <c r="AI52" i="57"/>
  <c r="AH52" i="57"/>
  <c r="AI51" i="57"/>
  <c r="AH51" i="57"/>
  <c r="AI50" i="57"/>
  <c r="AH50" i="57"/>
  <c r="AI49" i="57"/>
  <c r="AH49" i="57"/>
  <c r="AI48" i="57"/>
  <c r="AH48" i="57"/>
  <c r="AI47" i="57"/>
  <c r="AH47" i="57"/>
  <c r="AI46" i="57"/>
  <c r="AH46" i="57"/>
  <c r="AI45" i="57"/>
  <c r="AH45" i="57"/>
  <c r="AI44" i="57"/>
  <c r="AH44" i="57"/>
  <c r="AI43" i="57"/>
  <c r="AH43" i="57"/>
  <c r="AG42" i="57"/>
  <c r="AF42" i="57"/>
  <c r="AE42" i="57"/>
  <c r="AD42" i="57"/>
  <c r="AC42" i="57"/>
  <c r="AB42" i="57"/>
  <c r="AA42" i="57"/>
  <c r="Z42" i="57"/>
  <c r="Y42" i="57"/>
  <c r="X42" i="57"/>
  <c r="W42" i="57"/>
  <c r="V42" i="57"/>
  <c r="U42" i="57"/>
  <c r="T42" i="57"/>
  <c r="S42" i="57"/>
  <c r="R42" i="57"/>
  <c r="Q42" i="57"/>
  <c r="P42" i="57"/>
  <c r="O42" i="57"/>
  <c r="N42" i="57"/>
  <c r="M42" i="57"/>
  <c r="L42" i="57"/>
  <c r="K42" i="57"/>
  <c r="J42" i="57"/>
  <c r="I42" i="57"/>
  <c r="H42" i="57"/>
  <c r="G42" i="57"/>
  <c r="F42" i="57"/>
  <c r="E42" i="57"/>
  <c r="D42" i="57"/>
  <c r="C42" i="57"/>
  <c r="B42" i="57"/>
  <c r="AI41" i="57"/>
  <c r="AH41" i="57"/>
  <c r="AI40" i="57"/>
  <c r="AH40" i="57"/>
  <c r="AI39" i="57"/>
  <c r="AH39" i="57"/>
  <c r="AG38" i="57"/>
  <c r="AG77" i="57" s="1"/>
  <c r="AF38" i="57"/>
  <c r="AE38" i="57"/>
  <c r="AD38" i="57"/>
  <c r="AC38" i="57"/>
  <c r="AB38" i="57"/>
  <c r="AA38" i="57"/>
  <c r="Z38" i="57"/>
  <c r="Y38" i="57"/>
  <c r="X38" i="57"/>
  <c r="W38" i="57"/>
  <c r="V38" i="57"/>
  <c r="U38" i="57"/>
  <c r="T38" i="57"/>
  <c r="T77" i="57" s="1"/>
  <c r="T79" i="57" s="1"/>
  <c r="S38" i="57"/>
  <c r="R38" i="57"/>
  <c r="Q38" i="57"/>
  <c r="P38" i="57"/>
  <c r="O38" i="57"/>
  <c r="N38" i="57"/>
  <c r="M38" i="57"/>
  <c r="L38" i="57"/>
  <c r="K38" i="57"/>
  <c r="J38" i="57"/>
  <c r="I38" i="57"/>
  <c r="H38" i="57"/>
  <c r="H77" i="57" s="1"/>
  <c r="H79" i="57" s="1"/>
  <c r="G38" i="57"/>
  <c r="F38" i="57"/>
  <c r="E38" i="57"/>
  <c r="D38" i="57"/>
  <c r="C38" i="57"/>
  <c r="B38" i="57"/>
  <c r="AH37" i="57"/>
  <c r="AI36" i="57"/>
  <c r="AH36" i="57"/>
  <c r="AI35" i="57"/>
  <c r="AH35" i="57"/>
  <c r="AI34" i="57"/>
  <c r="AH34" i="57"/>
  <c r="AI33" i="57"/>
  <c r="AH33" i="57"/>
  <c r="AI32" i="57"/>
  <c r="AH32" i="57"/>
  <c r="AI31" i="57"/>
  <c r="AH31" i="57"/>
  <c r="AI30" i="57"/>
  <c r="AH30" i="57"/>
  <c r="AI29" i="57"/>
  <c r="AH29" i="57"/>
  <c r="AI28" i="57"/>
  <c r="AH28" i="57"/>
  <c r="AI27" i="57"/>
  <c r="AH27" i="57"/>
  <c r="AI26" i="57"/>
  <c r="AH26" i="57"/>
  <c r="AI25" i="57"/>
  <c r="AH25" i="57"/>
  <c r="AI24" i="57"/>
  <c r="AH24" i="57"/>
  <c r="AI23" i="57"/>
  <c r="AH23" i="57"/>
  <c r="AI22" i="57"/>
  <c r="AH22" i="57"/>
  <c r="AI21" i="57"/>
  <c r="AH21" i="57"/>
  <c r="AI20" i="57"/>
  <c r="AH20" i="57"/>
  <c r="AI19" i="57"/>
  <c r="AH19" i="57"/>
  <c r="AI18" i="57"/>
  <c r="AH18" i="57"/>
  <c r="AI17" i="57"/>
  <c r="AH17" i="57"/>
  <c r="AI16" i="57"/>
  <c r="AH16" i="57"/>
  <c r="AI15" i="57"/>
  <c r="AH15" i="57"/>
  <c r="AI14" i="57"/>
  <c r="AH14" i="57"/>
  <c r="AI13" i="57"/>
  <c r="AH13" i="57"/>
  <c r="AI12" i="57"/>
  <c r="AH12" i="57"/>
  <c r="AI11" i="57"/>
  <c r="AH11" i="57"/>
  <c r="X5" i="57"/>
  <c r="U5" i="57"/>
  <c r="Q5" i="57"/>
  <c r="AG4" i="57"/>
  <c r="K4" i="57"/>
  <c r="B4" i="57"/>
  <c r="S231" i="57" s="1"/>
  <c r="AG2" i="57"/>
  <c r="AC100" i="56"/>
  <c r="AC37" i="56"/>
  <c r="AA37" i="56"/>
  <c r="Z37" i="56"/>
  <c r="Y37" i="56"/>
  <c r="X37" i="56"/>
  <c r="W37" i="56"/>
  <c r="V37" i="56"/>
  <c r="U37" i="56"/>
  <c r="E4" i="57"/>
  <c r="AF87" i="57" l="1"/>
  <c r="AF77" i="57"/>
  <c r="AF79" i="57" s="1"/>
  <c r="H255" i="58"/>
  <c r="J219" i="58"/>
  <c r="I214" i="58"/>
  <c r="H220" i="58"/>
  <c r="H98" i="58"/>
  <c r="AE88" i="57"/>
  <c r="AE77" i="57"/>
  <c r="AE79" i="57" s="1"/>
  <c r="AD87" i="57"/>
  <c r="AD77" i="57"/>
  <c r="AD79" i="57" s="1"/>
  <c r="AC87" i="57"/>
  <c r="AC77" i="57"/>
  <c r="AC79" i="57" s="1"/>
  <c r="AB77" i="57"/>
  <c r="AB79" i="57" s="1"/>
  <c r="AA87" i="57"/>
  <c r="Z87" i="57"/>
  <c r="Z88" i="57" s="1"/>
  <c r="Z77" i="57"/>
  <c r="Z79" i="57" s="1"/>
  <c r="Y88" i="57"/>
  <c r="Y77" i="57"/>
  <c r="Y79" i="57" s="1"/>
  <c r="X77" i="57"/>
  <c r="X79" i="57" s="1"/>
  <c r="W87" i="57"/>
  <c r="W88" i="57" s="1"/>
  <c r="V77" i="57"/>
  <c r="V79" i="57" s="1"/>
  <c r="U87" i="57"/>
  <c r="U77" i="57"/>
  <c r="U79" i="57" s="1"/>
  <c r="T87" i="57"/>
  <c r="AA77" i="57"/>
  <c r="AA79" i="57" s="1"/>
  <c r="W77" i="57"/>
  <c r="W79" i="57" s="1"/>
  <c r="AO234" i="57" s="1"/>
  <c r="S87" i="57"/>
  <c r="S77" i="57"/>
  <c r="S79" i="57" s="1"/>
  <c r="Q87" i="57"/>
  <c r="Q88" i="57" s="1"/>
  <c r="P5" i="57"/>
  <c r="R88" i="57"/>
  <c r="Q77" i="57"/>
  <c r="Q79" i="57" s="1"/>
  <c r="R77" i="57"/>
  <c r="R79" i="57" s="1"/>
  <c r="R7" i="57" s="1"/>
  <c r="P87" i="57"/>
  <c r="P77" i="57"/>
  <c r="P79" i="57" s="1"/>
  <c r="O87" i="57"/>
  <c r="O88" i="57" s="1"/>
  <c r="O77" i="57"/>
  <c r="O79" i="57" s="1"/>
  <c r="N87" i="57"/>
  <c r="N77" i="57"/>
  <c r="N79" i="57" s="1"/>
  <c r="M87" i="57"/>
  <c r="M77" i="57"/>
  <c r="M79" i="57" s="1"/>
  <c r="AE234" i="57" s="1"/>
  <c r="L87" i="57"/>
  <c r="L77" i="57"/>
  <c r="L79" i="57" s="1"/>
  <c r="L7" i="57" s="1"/>
  <c r="J77" i="57"/>
  <c r="J79" i="57" s="1"/>
  <c r="I87" i="57"/>
  <c r="I88" i="57" s="1"/>
  <c r="H5" i="57"/>
  <c r="I77" i="57"/>
  <c r="I79" i="57" s="1"/>
  <c r="I7" i="57" s="1"/>
  <c r="AI42" i="57"/>
  <c r="E87" i="57"/>
  <c r="AI84" i="57"/>
  <c r="F77" i="57"/>
  <c r="F79" i="57" s="1"/>
  <c r="H87" i="57"/>
  <c r="H80" i="57" s="1"/>
  <c r="D87" i="57"/>
  <c r="D77" i="57"/>
  <c r="D79" i="57" s="1"/>
  <c r="D7" i="57" s="1"/>
  <c r="E77" i="57"/>
  <c r="E79" i="57" s="1"/>
  <c r="E7" i="57" s="1"/>
  <c r="AH82" i="57"/>
  <c r="AI82" i="57"/>
  <c r="AI85" i="57"/>
  <c r="AH60" i="57"/>
  <c r="AI56" i="57"/>
  <c r="AI38" i="57"/>
  <c r="C77" i="57"/>
  <c r="C79" i="57" s="1"/>
  <c r="U234" i="57" s="1"/>
  <c r="K77" i="57"/>
  <c r="K79" i="57" s="1"/>
  <c r="AC234" i="57" s="1"/>
  <c r="F87" i="57"/>
  <c r="F80" i="57" s="1"/>
  <c r="G87" i="57"/>
  <c r="G88" i="57" s="1"/>
  <c r="C87" i="57"/>
  <c r="K87" i="57"/>
  <c r="K88" i="57" s="1"/>
  <c r="AI83" i="57"/>
  <c r="G77" i="57"/>
  <c r="G79" i="57" s="1"/>
  <c r="G7" i="57" s="1"/>
  <c r="AI81" i="57"/>
  <c r="J87" i="57"/>
  <c r="J88" i="57" s="1"/>
  <c r="AI72" i="57"/>
  <c r="AI60" i="57"/>
  <c r="H4" i="57"/>
  <c r="U7" i="57"/>
  <c r="AM234" i="57"/>
  <c r="U80" i="57"/>
  <c r="AA234" i="57"/>
  <c r="Q80" i="57"/>
  <c r="Q7" i="57"/>
  <c r="AI234" i="57"/>
  <c r="Y80" i="57"/>
  <c r="Y7" i="57"/>
  <c r="AQ234" i="57"/>
  <c r="F88" i="57"/>
  <c r="N88" i="57"/>
  <c r="V88" i="57"/>
  <c r="AD88" i="57"/>
  <c r="K7" i="57"/>
  <c r="S7" i="57"/>
  <c r="AK234" i="57"/>
  <c r="S80" i="57"/>
  <c r="AA7" i="57"/>
  <c r="AS234" i="57"/>
  <c r="AA80" i="57"/>
  <c r="AJ234" i="57"/>
  <c r="D80" i="57"/>
  <c r="L80" i="57"/>
  <c r="T7" i="57"/>
  <c r="AL234" i="57"/>
  <c r="T80" i="57"/>
  <c r="AB7" i="57"/>
  <c r="AT234" i="57"/>
  <c r="AB80" i="57"/>
  <c r="Z80" i="57"/>
  <c r="Z7" i="57"/>
  <c r="AR234" i="57"/>
  <c r="AC7" i="57"/>
  <c r="AU234" i="57"/>
  <c r="AC80" i="57"/>
  <c r="AG3" i="57"/>
  <c r="AG6" i="57" s="1"/>
  <c r="AG79" i="57"/>
  <c r="J7" i="57"/>
  <c r="AB234" i="57"/>
  <c r="X234" i="57"/>
  <c r="F7" i="57"/>
  <c r="AF234" i="57"/>
  <c r="N80" i="57"/>
  <c r="N7" i="57"/>
  <c r="AN234" i="57"/>
  <c r="V80" i="57"/>
  <c r="V7" i="57"/>
  <c r="AV234" i="57"/>
  <c r="AD80" i="57"/>
  <c r="AD7" i="57"/>
  <c r="S88" i="57"/>
  <c r="AA88" i="57"/>
  <c r="AG234" i="57"/>
  <c r="O80" i="57"/>
  <c r="O7" i="57"/>
  <c r="AW234" i="57"/>
  <c r="AE80" i="57"/>
  <c r="AE7" i="57"/>
  <c r="D88" i="57"/>
  <c r="L88" i="57"/>
  <c r="T88" i="57"/>
  <c r="AB88" i="57"/>
  <c r="H7" i="57"/>
  <c r="Z234" i="57"/>
  <c r="P80" i="57"/>
  <c r="P7" i="57"/>
  <c r="AH234" i="57"/>
  <c r="X80" i="57"/>
  <c r="X7" i="57"/>
  <c r="AP234" i="57"/>
  <c r="AF80" i="57"/>
  <c r="AF7" i="57"/>
  <c r="AX234" i="57"/>
  <c r="E88" i="57"/>
  <c r="M88" i="57"/>
  <c r="U88" i="57"/>
  <c r="AC88" i="57"/>
  <c r="AH83" i="57"/>
  <c r="C88" i="57"/>
  <c r="D231" i="57"/>
  <c r="AH38" i="57"/>
  <c r="AH42" i="57"/>
  <c r="B77" i="57"/>
  <c r="AH84" i="57"/>
  <c r="AH85" i="57"/>
  <c r="B98" i="57"/>
  <c r="F219" i="57"/>
  <c r="F98" i="57" s="1"/>
  <c r="H88" i="57"/>
  <c r="P88" i="57"/>
  <c r="X88" i="57"/>
  <c r="AF88" i="57"/>
  <c r="G214" i="57"/>
  <c r="E217" i="57"/>
  <c r="F217" i="57" s="1"/>
  <c r="G217" i="57" s="1"/>
  <c r="H217" i="57" s="1"/>
  <c r="I217" i="57" s="1"/>
  <c r="J217" i="57" s="1"/>
  <c r="K217" i="57" s="1"/>
  <c r="L217" i="57" s="1"/>
  <c r="M217" i="57" s="1"/>
  <c r="N217" i="57" s="1"/>
  <c r="O217" i="57" s="1"/>
  <c r="P217" i="57" s="1"/>
  <c r="AH56" i="57"/>
  <c r="AH72" i="57"/>
  <c r="AH81" i="57"/>
  <c r="B87" i="57"/>
  <c r="I220" i="58" l="1"/>
  <c r="I98" i="58"/>
  <c r="J214" i="58"/>
  <c r="K219" i="58"/>
  <c r="I255" i="58"/>
  <c r="W7" i="57"/>
  <c r="W80" i="57"/>
  <c r="R80" i="57"/>
  <c r="M7" i="57"/>
  <c r="M80" i="57"/>
  <c r="AD234" i="57"/>
  <c r="J80" i="57"/>
  <c r="I80" i="57"/>
  <c r="B229" i="57"/>
  <c r="C229" i="57"/>
  <c r="Y234" i="57"/>
  <c r="E80" i="57"/>
  <c r="W234" i="57"/>
  <c r="V234" i="57"/>
  <c r="C80" i="57"/>
  <c r="C7" i="57"/>
  <c r="K80" i="57"/>
  <c r="G80" i="57"/>
  <c r="AI87" i="57"/>
  <c r="AH87" i="57"/>
  <c r="E220" i="57"/>
  <c r="B88" i="57"/>
  <c r="G98" i="57"/>
  <c r="H214" i="57"/>
  <c r="F220" i="57"/>
  <c r="B79" i="57"/>
  <c r="AI77" i="57"/>
  <c r="AH77" i="57"/>
  <c r="G219" i="57"/>
  <c r="E255" i="57"/>
  <c r="J255" i="58" l="1"/>
  <c r="L219" i="58"/>
  <c r="J220" i="58"/>
  <c r="J98" i="58"/>
  <c r="K214" i="58"/>
  <c r="K6" i="57"/>
  <c r="AI88" i="57"/>
  <c r="AH88" i="57"/>
  <c r="F255" i="57"/>
  <c r="H219" i="57"/>
  <c r="I214" i="57"/>
  <c r="H220" i="57"/>
  <c r="H98" i="57"/>
  <c r="B80" i="57"/>
  <c r="AH80" i="57" s="1"/>
  <c r="AI79" i="57"/>
  <c r="B7" i="57"/>
  <c r="A7" i="57" s="1"/>
  <c r="AH79" i="57"/>
  <c r="T234" i="57"/>
  <c r="G220" i="57"/>
  <c r="K220" i="58" l="1"/>
  <c r="K98" i="58"/>
  <c r="L214" i="58"/>
  <c r="K255" i="58"/>
  <c r="M219" i="58"/>
  <c r="J214" i="57"/>
  <c r="G255" i="57"/>
  <c r="I219" i="57"/>
  <c r="I220" i="57" s="1"/>
  <c r="L255" i="58" l="1"/>
  <c r="N219" i="58"/>
  <c r="L220" i="58"/>
  <c r="L98" i="58"/>
  <c r="M214" i="58"/>
  <c r="K214" i="57"/>
  <c r="I98" i="57"/>
  <c r="H255" i="57"/>
  <c r="J219" i="57"/>
  <c r="M255" i="58" l="1"/>
  <c r="O219" i="58"/>
  <c r="M98" i="58"/>
  <c r="N214" i="58"/>
  <c r="M220" i="58"/>
  <c r="K98" i="57"/>
  <c r="L214" i="57"/>
  <c r="K219" i="57"/>
  <c r="I255" i="57"/>
  <c r="J98" i="57"/>
  <c r="J220" i="57"/>
  <c r="N255" i="58" l="1"/>
  <c r="P219" i="58"/>
  <c r="O255" i="58" s="1"/>
  <c r="N98" i="58"/>
  <c r="O214" i="58"/>
  <c r="N220" i="58"/>
  <c r="J255" i="57"/>
  <c r="L219" i="57"/>
  <c r="L220" i="57"/>
  <c r="L98" i="57"/>
  <c r="M214" i="57"/>
  <c r="K220" i="57"/>
  <c r="O98" i="58" l="1"/>
  <c r="P214" i="58"/>
  <c r="O220" i="58"/>
  <c r="N214" i="57"/>
  <c r="M98" i="57"/>
  <c r="K255" i="57"/>
  <c r="M219" i="57"/>
  <c r="P220" i="58" l="1"/>
  <c r="P98" i="58"/>
  <c r="L255" i="57"/>
  <c r="N219" i="57"/>
  <c r="M220" i="57"/>
  <c r="N98" i="57"/>
  <c r="O214" i="57"/>
  <c r="N220" i="57"/>
  <c r="AH98" i="58" l="1"/>
  <c r="AI98" i="58"/>
  <c r="P214" i="57"/>
  <c r="O220" i="57"/>
  <c r="M255" i="57"/>
  <c r="O219" i="57"/>
  <c r="P219" i="57" l="1"/>
  <c r="O255" i="57" s="1"/>
  <c r="N255" i="57"/>
  <c r="P220" i="57"/>
  <c r="P98" i="57"/>
  <c r="O98" i="57"/>
  <c r="AI98" i="57" l="1"/>
  <c r="AH98" i="57"/>
  <c r="T60" i="56" l="1"/>
  <c r="T37" i="56"/>
  <c r="S37" i="56"/>
  <c r="R37" i="56"/>
  <c r="Q37" i="56" l="1"/>
  <c r="P37" i="56"/>
  <c r="O37" i="56"/>
  <c r="B72" i="55"/>
  <c r="B77" i="55" s="1"/>
  <c r="B79" i="55" s="1"/>
  <c r="C72" i="55"/>
  <c r="C77" i="55" s="1"/>
  <c r="C79" i="55" s="1"/>
  <c r="B81" i="55"/>
  <c r="B87" i="55" s="1"/>
  <c r="C81" i="55"/>
  <c r="C87" i="55" s="1"/>
  <c r="C88" i="55" s="1"/>
  <c r="B82" i="55"/>
  <c r="C82" i="55"/>
  <c r="B83" i="55"/>
  <c r="C83" i="55"/>
  <c r="B84" i="55"/>
  <c r="C84" i="55"/>
  <c r="B85" i="55"/>
  <c r="C85" i="55"/>
  <c r="B98" i="55"/>
  <c r="C98" i="55"/>
  <c r="B99" i="55"/>
  <c r="C99" i="55"/>
  <c r="B100" i="55"/>
  <c r="C100" i="55"/>
  <c r="N37" i="56"/>
  <c r="M37" i="56"/>
  <c r="L100" i="56"/>
  <c r="L37" i="56"/>
  <c r="K100" i="56"/>
  <c r="K37" i="56"/>
  <c r="J100" i="56"/>
  <c r="J37" i="56"/>
  <c r="I100" i="56"/>
  <c r="I37" i="56"/>
  <c r="H100" i="56"/>
  <c r="H37" i="56"/>
  <c r="G100" i="56"/>
  <c r="G37" i="56"/>
  <c r="F100" i="56"/>
  <c r="F37" i="56"/>
  <c r="E100" i="56"/>
  <c r="E37" i="56"/>
  <c r="C80" i="55" l="1"/>
  <c r="B80" i="55"/>
  <c r="B88" i="55"/>
  <c r="D100" i="56" l="1"/>
  <c r="D37" i="56"/>
  <c r="C100" i="56"/>
  <c r="C37" i="56"/>
  <c r="B100" i="56"/>
  <c r="AF259" i="56"/>
  <c r="AE259" i="56"/>
  <c r="AD259" i="56"/>
  <c r="AC259" i="56"/>
  <c r="AB259" i="56"/>
  <c r="AA259" i="56"/>
  <c r="Z259" i="56"/>
  <c r="Y259" i="56"/>
  <c r="X259" i="56"/>
  <c r="W259" i="56"/>
  <c r="V259" i="56"/>
  <c r="U259" i="56"/>
  <c r="T259" i="56"/>
  <c r="S259" i="56"/>
  <c r="R259" i="56"/>
  <c r="Q259" i="56"/>
  <c r="P259" i="56"/>
  <c r="O259" i="56"/>
  <c r="N259" i="56"/>
  <c r="M259" i="56"/>
  <c r="L259" i="56"/>
  <c r="K259" i="56"/>
  <c r="J259" i="56"/>
  <c r="I259" i="56"/>
  <c r="H259" i="56"/>
  <c r="G259" i="56"/>
  <c r="F259" i="56"/>
  <c r="E259" i="56"/>
  <c r="D259" i="56"/>
  <c r="C259" i="56"/>
  <c r="B259" i="56"/>
  <c r="A259" i="56"/>
  <c r="AF258" i="56"/>
  <c r="AE258" i="56"/>
  <c r="AD258" i="56"/>
  <c r="AC258" i="56"/>
  <c r="AB258" i="56"/>
  <c r="AA258" i="56"/>
  <c r="Z258" i="56"/>
  <c r="Y258" i="56"/>
  <c r="X258" i="56"/>
  <c r="W258" i="56"/>
  <c r="V258" i="56"/>
  <c r="U258" i="56"/>
  <c r="T258" i="56"/>
  <c r="S258" i="56"/>
  <c r="R258" i="56"/>
  <c r="Q258" i="56"/>
  <c r="P258" i="56"/>
  <c r="O258" i="56"/>
  <c r="N258" i="56"/>
  <c r="M258" i="56"/>
  <c r="L258" i="56"/>
  <c r="K258" i="56"/>
  <c r="J258" i="56"/>
  <c r="I258" i="56"/>
  <c r="H258" i="56"/>
  <c r="G258" i="56"/>
  <c r="F258" i="56"/>
  <c r="E258" i="56"/>
  <c r="D258" i="56"/>
  <c r="C258" i="56"/>
  <c r="B258" i="56"/>
  <c r="A258" i="56"/>
  <c r="AF257" i="56"/>
  <c r="AE257" i="56"/>
  <c r="AD257" i="56"/>
  <c r="AC257" i="56"/>
  <c r="AB257" i="56"/>
  <c r="AA257" i="56"/>
  <c r="Z257" i="56"/>
  <c r="Y257" i="56"/>
  <c r="X257" i="56"/>
  <c r="W257" i="56"/>
  <c r="V257" i="56"/>
  <c r="U257" i="56"/>
  <c r="T257" i="56"/>
  <c r="S257" i="56"/>
  <c r="R257" i="56"/>
  <c r="Q257" i="56"/>
  <c r="P257" i="56"/>
  <c r="O257" i="56"/>
  <c r="N257" i="56"/>
  <c r="M257" i="56"/>
  <c r="L257" i="56"/>
  <c r="K257" i="56"/>
  <c r="J257" i="56"/>
  <c r="I257" i="56"/>
  <c r="H257" i="56"/>
  <c r="G257" i="56"/>
  <c r="F257" i="56"/>
  <c r="E257" i="56"/>
  <c r="D257" i="56"/>
  <c r="C257" i="56"/>
  <c r="B257" i="56"/>
  <c r="A257" i="56"/>
  <c r="AF256" i="56"/>
  <c r="AE256" i="56"/>
  <c r="AD256" i="56"/>
  <c r="AC256" i="56"/>
  <c r="AB256" i="56"/>
  <c r="AA256" i="56"/>
  <c r="Z256" i="56"/>
  <c r="Y256" i="56"/>
  <c r="X256" i="56"/>
  <c r="W256" i="56"/>
  <c r="V256" i="56"/>
  <c r="U256" i="56"/>
  <c r="T256" i="56"/>
  <c r="S256" i="56"/>
  <c r="R256" i="56"/>
  <c r="Q256" i="56"/>
  <c r="P256" i="56"/>
  <c r="O256" i="56"/>
  <c r="N256" i="56"/>
  <c r="M256" i="56"/>
  <c r="L256" i="56"/>
  <c r="K256" i="56"/>
  <c r="J256" i="56"/>
  <c r="I256" i="56"/>
  <c r="H256" i="56"/>
  <c r="G256" i="56"/>
  <c r="F256" i="56"/>
  <c r="E256" i="56"/>
  <c r="D256" i="56"/>
  <c r="C256" i="56"/>
  <c r="B256" i="56"/>
  <c r="A256" i="56"/>
  <c r="AE255" i="56"/>
  <c r="AD255" i="56"/>
  <c r="AC255" i="56"/>
  <c r="AB255" i="56"/>
  <c r="AA255" i="56"/>
  <c r="Z255" i="56"/>
  <c r="Y255" i="56"/>
  <c r="X255" i="56"/>
  <c r="W255" i="56"/>
  <c r="V255" i="56"/>
  <c r="U255" i="56"/>
  <c r="T255" i="56"/>
  <c r="S255" i="56"/>
  <c r="R255" i="56"/>
  <c r="Q255" i="56"/>
  <c r="P255" i="56"/>
  <c r="C255" i="56"/>
  <c r="B255" i="56"/>
  <c r="S230" i="56"/>
  <c r="AG220" i="56"/>
  <c r="AF220" i="56"/>
  <c r="AE220" i="56"/>
  <c r="AD220" i="56"/>
  <c r="AC220" i="56"/>
  <c r="AB220" i="56"/>
  <c r="AA220" i="56"/>
  <c r="Z220" i="56"/>
  <c r="Y220" i="56"/>
  <c r="X220" i="56"/>
  <c r="W220" i="56"/>
  <c r="V220" i="56"/>
  <c r="U220" i="56"/>
  <c r="T220" i="56"/>
  <c r="S220" i="56"/>
  <c r="R220" i="56"/>
  <c r="Q220" i="56"/>
  <c r="C220" i="56"/>
  <c r="E219" i="56"/>
  <c r="F219" i="56" s="1"/>
  <c r="D219" i="56"/>
  <c r="B219" i="56"/>
  <c r="AF255" i="56" s="1"/>
  <c r="D218" i="56"/>
  <c r="E218" i="56" s="1"/>
  <c r="F218" i="56" s="1"/>
  <c r="G218" i="56" s="1"/>
  <c r="H218" i="56" s="1"/>
  <c r="I218" i="56" s="1"/>
  <c r="J218" i="56" s="1"/>
  <c r="K218" i="56" s="1"/>
  <c r="L218" i="56" s="1"/>
  <c r="M218" i="56" s="1"/>
  <c r="N218" i="56" s="1"/>
  <c r="O218" i="56" s="1"/>
  <c r="P218" i="56" s="1"/>
  <c r="B218" i="56"/>
  <c r="I217" i="56"/>
  <c r="J217" i="56" s="1"/>
  <c r="K217" i="56" s="1"/>
  <c r="L217" i="56" s="1"/>
  <c r="M217" i="56" s="1"/>
  <c r="N217" i="56" s="1"/>
  <c r="O217" i="56" s="1"/>
  <c r="P217" i="56" s="1"/>
  <c r="D217" i="56"/>
  <c r="E217" i="56" s="1"/>
  <c r="F217" i="56" s="1"/>
  <c r="G217" i="56" s="1"/>
  <c r="H217" i="56" s="1"/>
  <c r="B217" i="56"/>
  <c r="G216" i="56"/>
  <c r="H216" i="56" s="1"/>
  <c r="I216" i="56" s="1"/>
  <c r="J216" i="56" s="1"/>
  <c r="K216" i="56" s="1"/>
  <c r="L216" i="56" s="1"/>
  <c r="M216" i="56" s="1"/>
  <c r="N216" i="56" s="1"/>
  <c r="O216" i="56" s="1"/>
  <c r="P216" i="56" s="1"/>
  <c r="E216" i="56"/>
  <c r="F216" i="56" s="1"/>
  <c r="D216" i="56"/>
  <c r="B216" i="56"/>
  <c r="E215" i="56"/>
  <c r="F215" i="56" s="1"/>
  <c r="G215" i="56" s="1"/>
  <c r="H215" i="56" s="1"/>
  <c r="I215" i="56" s="1"/>
  <c r="J215" i="56" s="1"/>
  <c r="K215" i="56" s="1"/>
  <c r="L215" i="56" s="1"/>
  <c r="M215" i="56" s="1"/>
  <c r="N215" i="56" s="1"/>
  <c r="O215" i="56" s="1"/>
  <c r="P215" i="56" s="1"/>
  <c r="D215" i="56"/>
  <c r="B215" i="56"/>
  <c r="D214" i="56"/>
  <c r="B214" i="56"/>
  <c r="AG212" i="56"/>
  <c r="AF212" i="56"/>
  <c r="AE212" i="56"/>
  <c r="AD212" i="56"/>
  <c r="AC212" i="56"/>
  <c r="AB212" i="56"/>
  <c r="AA212" i="56"/>
  <c r="Z212" i="56"/>
  <c r="Y212" i="56"/>
  <c r="X212" i="56"/>
  <c r="W212" i="56"/>
  <c r="V212" i="56"/>
  <c r="U212" i="56"/>
  <c r="T212" i="56"/>
  <c r="S212" i="56"/>
  <c r="R212" i="56"/>
  <c r="Q212" i="56"/>
  <c r="P212" i="56"/>
  <c r="O212" i="56"/>
  <c r="N212" i="56"/>
  <c r="M212" i="56"/>
  <c r="L212" i="56"/>
  <c r="K212" i="56"/>
  <c r="J212" i="56"/>
  <c r="I212" i="56"/>
  <c r="H212" i="56"/>
  <c r="G212" i="56"/>
  <c r="F212" i="56"/>
  <c r="E212" i="56"/>
  <c r="D212" i="56"/>
  <c r="C212" i="56"/>
  <c r="B212" i="56"/>
  <c r="AH105" i="56"/>
  <c r="AI105" i="56" s="1"/>
  <c r="AH104" i="56"/>
  <c r="AI104" i="56" s="1"/>
  <c r="AH103" i="56"/>
  <c r="AI103" i="56" s="1"/>
  <c r="AH102" i="56"/>
  <c r="AI102" i="56" s="1"/>
  <c r="AH101" i="56"/>
  <c r="AI101" i="56" s="1"/>
  <c r="AH100" i="56"/>
  <c r="AI100" i="56" s="1"/>
  <c r="AH99" i="56"/>
  <c r="AI99" i="56" s="1"/>
  <c r="AF98" i="56"/>
  <c r="AE98" i="56"/>
  <c r="AD98" i="56"/>
  <c r="AC98" i="56"/>
  <c r="AB98" i="56"/>
  <c r="AA98" i="56"/>
  <c r="Z98" i="56"/>
  <c r="Y98" i="56"/>
  <c r="X98" i="56"/>
  <c r="W98" i="56"/>
  <c r="V98" i="56"/>
  <c r="U98" i="56"/>
  <c r="T98" i="56"/>
  <c r="S98" i="56"/>
  <c r="R98" i="56"/>
  <c r="Q98" i="56"/>
  <c r="D98" i="56"/>
  <c r="C98" i="56"/>
  <c r="B98" i="56"/>
  <c r="AI97" i="56"/>
  <c r="AH97" i="56"/>
  <c r="AI96" i="56"/>
  <c r="AH96" i="56"/>
  <c r="AI95" i="56"/>
  <c r="AH95" i="56"/>
  <c r="AI94" i="56"/>
  <c r="AH94" i="56"/>
  <c r="AI93" i="56"/>
  <c r="AH93" i="56"/>
  <c r="AI92" i="56"/>
  <c r="AH92" i="56"/>
  <c r="AI91" i="56"/>
  <c r="AH91" i="56"/>
  <c r="AI90" i="56"/>
  <c r="AH90" i="56"/>
  <c r="AI89" i="56"/>
  <c r="AH89" i="56"/>
  <c r="AI86" i="56"/>
  <c r="AH86" i="56"/>
  <c r="AF85" i="56"/>
  <c r="AE85" i="56"/>
  <c r="AD85" i="56"/>
  <c r="AC85" i="56"/>
  <c r="AB85" i="56"/>
  <c r="AA85" i="56"/>
  <c r="Z85" i="56"/>
  <c r="Y85" i="56"/>
  <c r="X85" i="56"/>
  <c r="W85" i="56"/>
  <c r="V85" i="56"/>
  <c r="U85" i="56"/>
  <c r="T85" i="56"/>
  <c r="S85" i="56"/>
  <c r="R85" i="56"/>
  <c r="Q85" i="56"/>
  <c r="P85" i="56"/>
  <c r="O85" i="56"/>
  <c r="N85" i="56"/>
  <c r="M85" i="56"/>
  <c r="L85" i="56"/>
  <c r="K85" i="56"/>
  <c r="J85" i="56"/>
  <c r="I85" i="56"/>
  <c r="H85" i="56"/>
  <c r="G85" i="56"/>
  <c r="F85" i="56"/>
  <c r="E85" i="56"/>
  <c r="D85" i="56"/>
  <c r="C85" i="56"/>
  <c r="B85" i="56"/>
  <c r="AF84" i="56"/>
  <c r="AE84" i="56"/>
  <c r="AD84" i="56"/>
  <c r="AC84" i="56"/>
  <c r="AB84" i="56"/>
  <c r="AA84" i="56"/>
  <c r="Z84" i="56"/>
  <c r="Y84" i="56"/>
  <c r="X84" i="56"/>
  <c r="W84" i="56"/>
  <c r="V84" i="56"/>
  <c r="U84" i="56"/>
  <c r="T84" i="56"/>
  <c r="S84" i="56"/>
  <c r="R84" i="56"/>
  <c r="Q84" i="56"/>
  <c r="P84" i="56"/>
  <c r="O84" i="56"/>
  <c r="N84" i="56"/>
  <c r="M84" i="56"/>
  <c r="L84" i="56"/>
  <c r="K84" i="56"/>
  <c r="J84" i="56"/>
  <c r="I84" i="56"/>
  <c r="H84" i="56"/>
  <c r="G84" i="56"/>
  <c r="F84" i="56"/>
  <c r="E84" i="56"/>
  <c r="D84" i="56"/>
  <c r="C84" i="56"/>
  <c r="B84" i="56"/>
  <c r="AF83" i="56"/>
  <c r="AE83" i="56"/>
  <c r="AD83" i="56"/>
  <c r="AC83" i="56"/>
  <c r="AB83" i="56"/>
  <c r="AA83" i="56"/>
  <c r="Z83" i="56"/>
  <c r="Y83" i="56"/>
  <c r="X83" i="56"/>
  <c r="W83" i="56"/>
  <c r="V83" i="56"/>
  <c r="U83" i="56"/>
  <c r="T83" i="56"/>
  <c r="S83" i="56"/>
  <c r="R83" i="56"/>
  <c r="Q83" i="56"/>
  <c r="P83" i="56"/>
  <c r="O83" i="56"/>
  <c r="N83" i="56"/>
  <c r="M83" i="56"/>
  <c r="L83" i="56"/>
  <c r="K83" i="56"/>
  <c r="J83" i="56"/>
  <c r="I83" i="56"/>
  <c r="H83" i="56"/>
  <c r="G83" i="56"/>
  <c r="F83" i="56"/>
  <c r="E83" i="56"/>
  <c r="D83" i="56"/>
  <c r="C83" i="56"/>
  <c r="B83" i="56"/>
  <c r="AF82" i="56"/>
  <c r="AE82" i="56"/>
  <c r="AD82" i="56"/>
  <c r="AC82" i="56"/>
  <c r="AB82" i="56"/>
  <c r="AA82" i="56"/>
  <c r="Z82" i="56"/>
  <c r="Y82" i="56"/>
  <c r="X82" i="56"/>
  <c r="W82" i="56"/>
  <c r="V82" i="56"/>
  <c r="U82" i="56"/>
  <c r="T82" i="56"/>
  <c r="S82" i="56"/>
  <c r="R82" i="56"/>
  <c r="Q82" i="56"/>
  <c r="P82" i="56"/>
  <c r="O82" i="56"/>
  <c r="N82" i="56"/>
  <c r="M82" i="56"/>
  <c r="L82" i="56"/>
  <c r="K82" i="56"/>
  <c r="J82" i="56"/>
  <c r="I82" i="56"/>
  <c r="H82" i="56"/>
  <c r="G82" i="56"/>
  <c r="F82" i="56"/>
  <c r="E82" i="56"/>
  <c r="D82" i="56"/>
  <c r="C82" i="56"/>
  <c r="B82" i="56"/>
  <c r="AF81" i="56"/>
  <c r="AE81" i="56"/>
  <c r="AD81" i="56"/>
  <c r="AC81" i="56"/>
  <c r="AB81" i="56"/>
  <c r="AA81" i="56"/>
  <c r="Z81" i="56"/>
  <c r="Y81" i="56"/>
  <c r="X81" i="56"/>
  <c r="W81" i="56"/>
  <c r="V81" i="56"/>
  <c r="U81" i="56"/>
  <c r="T81" i="56"/>
  <c r="S81" i="56"/>
  <c r="R81" i="56"/>
  <c r="Q81" i="56"/>
  <c r="P81" i="56"/>
  <c r="O81" i="56"/>
  <c r="O87" i="56" s="1"/>
  <c r="N81" i="56"/>
  <c r="N87" i="56" s="1"/>
  <c r="M81" i="56"/>
  <c r="M87" i="56" s="1"/>
  <c r="L81" i="56"/>
  <c r="K81" i="56"/>
  <c r="J81" i="56"/>
  <c r="I81" i="56"/>
  <c r="H81" i="56"/>
  <c r="G81" i="56"/>
  <c r="G87" i="56" s="1"/>
  <c r="F81" i="56"/>
  <c r="E81" i="56"/>
  <c r="D81" i="56"/>
  <c r="C81" i="56"/>
  <c r="B81" i="56"/>
  <c r="AI78" i="56"/>
  <c r="AH78" i="56"/>
  <c r="AI76" i="56"/>
  <c r="AH76" i="56"/>
  <c r="AG76" i="56"/>
  <c r="AI75" i="56"/>
  <c r="AH75" i="56"/>
  <c r="AI74" i="56"/>
  <c r="AH74" i="56"/>
  <c r="AI73" i="56"/>
  <c r="AH73" i="56"/>
  <c r="AG72" i="56"/>
  <c r="AF72" i="56"/>
  <c r="AE72" i="56"/>
  <c r="AD5" i="56" s="1"/>
  <c r="AD72" i="56"/>
  <c r="AC5" i="56" s="1"/>
  <c r="AC72" i="56"/>
  <c r="AB5" i="56" s="1"/>
  <c r="AB72" i="56"/>
  <c r="AA5" i="56" s="1"/>
  <c r="AA72" i="56"/>
  <c r="Z5" i="56" s="1"/>
  <c r="Z72" i="56"/>
  <c r="Y5" i="56" s="1"/>
  <c r="Y72" i="56"/>
  <c r="X72" i="56"/>
  <c r="W72" i="56"/>
  <c r="V5" i="56" s="1"/>
  <c r="V72" i="56"/>
  <c r="U72" i="56"/>
  <c r="T5" i="56" s="1"/>
  <c r="T72" i="56"/>
  <c r="S5" i="56" s="1"/>
  <c r="S72" i="56"/>
  <c r="R5" i="56" s="1"/>
  <c r="R72" i="56"/>
  <c r="Q5" i="56" s="1"/>
  <c r="Q72" i="56"/>
  <c r="P72" i="56"/>
  <c r="O72" i="56"/>
  <c r="N5" i="56" s="1"/>
  <c r="N72" i="56"/>
  <c r="N88" i="56" s="1"/>
  <c r="M72" i="56"/>
  <c r="L5" i="56" s="1"/>
  <c r="L72" i="56"/>
  <c r="K5" i="56" s="1"/>
  <c r="K72" i="56"/>
  <c r="J5" i="56" s="1"/>
  <c r="J72" i="56"/>
  <c r="I5" i="56" s="1"/>
  <c r="I72" i="56"/>
  <c r="H72" i="56"/>
  <c r="G72" i="56"/>
  <c r="F5" i="56" s="1"/>
  <c r="F72" i="56"/>
  <c r="E5" i="56" s="1"/>
  <c r="E72" i="56"/>
  <c r="D5" i="56" s="1"/>
  <c r="D72" i="56"/>
  <c r="C5" i="56" s="1"/>
  <c r="C72" i="56"/>
  <c r="B5" i="56" s="1"/>
  <c r="B72" i="56"/>
  <c r="AF5" i="56" s="1"/>
  <c r="AI71" i="56"/>
  <c r="AH71" i="56"/>
  <c r="AI70" i="56"/>
  <c r="AH70" i="56"/>
  <c r="AI69" i="56"/>
  <c r="AH69" i="56"/>
  <c r="AI68" i="56"/>
  <c r="AH68" i="56"/>
  <c r="AI67" i="56"/>
  <c r="AH67" i="56"/>
  <c r="AI66" i="56"/>
  <c r="AH66" i="56"/>
  <c r="AI65" i="56"/>
  <c r="AH65" i="56"/>
  <c r="AI64" i="56"/>
  <c r="AH64" i="56"/>
  <c r="AI63" i="56"/>
  <c r="AH63" i="56"/>
  <c r="AI62" i="56"/>
  <c r="AH62" i="56"/>
  <c r="AI61" i="56"/>
  <c r="AH61" i="56"/>
  <c r="AG60" i="56"/>
  <c r="AF60" i="56"/>
  <c r="AE60" i="56"/>
  <c r="AD60" i="56"/>
  <c r="AC60" i="56"/>
  <c r="AB60" i="56"/>
  <c r="AA60" i="56"/>
  <c r="Z60" i="56"/>
  <c r="Y60" i="56"/>
  <c r="X60" i="56"/>
  <c r="W60" i="56"/>
  <c r="V60" i="56"/>
  <c r="U60" i="56"/>
  <c r="S60" i="56"/>
  <c r="R60" i="56"/>
  <c r="Q60" i="56"/>
  <c r="P60" i="56"/>
  <c r="O60" i="56"/>
  <c r="N60" i="56"/>
  <c r="M60" i="56"/>
  <c r="L60" i="56"/>
  <c r="K60" i="56"/>
  <c r="J60" i="56"/>
  <c r="I60" i="56"/>
  <c r="H60" i="56"/>
  <c r="G60" i="56"/>
  <c r="F60" i="56"/>
  <c r="E60" i="56"/>
  <c r="D60" i="56"/>
  <c r="C60" i="56"/>
  <c r="B60" i="56"/>
  <c r="AI59" i="56"/>
  <c r="AH59" i="56"/>
  <c r="AI58" i="56"/>
  <c r="AH58" i="56"/>
  <c r="AI57" i="56"/>
  <c r="AH57" i="56"/>
  <c r="AF56" i="56"/>
  <c r="AE56" i="56"/>
  <c r="AD56" i="56"/>
  <c r="AC56" i="56"/>
  <c r="AB56" i="56"/>
  <c r="AA56" i="56"/>
  <c r="Z56" i="56"/>
  <c r="Y56" i="56"/>
  <c r="X56" i="56"/>
  <c r="W56" i="56"/>
  <c r="V56" i="56"/>
  <c r="U56" i="56"/>
  <c r="T56" i="56"/>
  <c r="S56" i="56"/>
  <c r="R56" i="56"/>
  <c r="Q56" i="56"/>
  <c r="P56" i="56"/>
  <c r="O56" i="56"/>
  <c r="N56" i="56"/>
  <c r="M56" i="56"/>
  <c r="L56" i="56"/>
  <c r="K56" i="56"/>
  <c r="J56" i="56"/>
  <c r="I56" i="56"/>
  <c r="H56" i="56"/>
  <c r="G56" i="56"/>
  <c r="F56" i="56"/>
  <c r="E56" i="56"/>
  <c r="D56" i="56"/>
  <c r="C56" i="56"/>
  <c r="B56" i="56"/>
  <c r="AI55" i="56"/>
  <c r="AH55" i="56"/>
  <c r="AG55" i="56"/>
  <c r="AG56" i="56" s="1"/>
  <c r="AI54" i="56"/>
  <c r="AH54" i="56"/>
  <c r="AI53" i="56"/>
  <c r="AH53" i="56"/>
  <c r="AI52" i="56"/>
  <c r="AH52" i="56"/>
  <c r="AI51" i="56"/>
  <c r="AH51" i="56"/>
  <c r="AI50" i="56"/>
  <c r="AH50" i="56"/>
  <c r="AI49" i="56"/>
  <c r="AH49" i="56"/>
  <c r="AI48" i="56"/>
  <c r="AH48" i="56"/>
  <c r="AI47" i="56"/>
  <c r="AH47" i="56"/>
  <c r="AI46" i="56"/>
  <c r="AH46" i="56"/>
  <c r="AI45" i="56"/>
  <c r="AH45" i="56"/>
  <c r="AI44" i="56"/>
  <c r="AH44" i="56"/>
  <c r="AI43" i="56"/>
  <c r="AH43" i="56"/>
  <c r="AG42" i="56"/>
  <c r="AF42" i="56"/>
  <c r="AE42" i="56"/>
  <c r="AD42" i="56"/>
  <c r="AC42" i="56"/>
  <c r="AB42" i="56"/>
  <c r="AA42" i="56"/>
  <c r="Z42" i="56"/>
  <c r="Y42" i="56"/>
  <c r="X42" i="56"/>
  <c r="W42" i="56"/>
  <c r="V42" i="56"/>
  <c r="U42" i="56"/>
  <c r="T42" i="56"/>
  <c r="S42" i="56"/>
  <c r="R42" i="56"/>
  <c r="Q42" i="56"/>
  <c r="P42" i="56"/>
  <c r="O42" i="56"/>
  <c r="N42" i="56"/>
  <c r="M42" i="56"/>
  <c r="L42" i="56"/>
  <c r="K42" i="56"/>
  <c r="J42" i="56"/>
  <c r="I42" i="56"/>
  <c r="H42" i="56"/>
  <c r="G42" i="56"/>
  <c r="F42" i="56"/>
  <c r="E42" i="56"/>
  <c r="D42" i="56"/>
  <c r="C42" i="56"/>
  <c r="B42" i="56"/>
  <c r="AI41" i="56"/>
  <c r="AH41" i="56"/>
  <c r="AI40" i="56"/>
  <c r="AH40" i="56"/>
  <c r="AI39" i="56"/>
  <c r="AH39" i="56"/>
  <c r="AG38" i="56"/>
  <c r="AF38" i="56"/>
  <c r="AE38" i="56"/>
  <c r="AD38" i="56"/>
  <c r="AC38" i="56"/>
  <c r="AB38" i="56"/>
  <c r="AA38" i="56"/>
  <c r="Z38" i="56"/>
  <c r="Y38" i="56"/>
  <c r="X38" i="56"/>
  <c r="W38" i="56"/>
  <c r="V38" i="56"/>
  <c r="U38" i="56"/>
  <c r="T38" i="56"/>
  <c r="S38" i="56"/>
  <c r="R38" i="56"/>
  <c r="Q38" i="56"/>
  <c r="P38" i="56"/>
  <c r="O38" i="56"/>
  <c r="N38" i="56"/>
  <c r="M38" i="56"/>
  <c r="L38" i="56"/>
  <c r="K38" i="56"/>
  <c r="J38" i="56"/>
  <c r="I38" i="56"/>
  <c r="H38" i="56"/>
  <c r="G38" i="56"/>
  <c r="F38" i="56"/>
  <c r="E38" i="56"/>
  <c r="D38" i="56"/>
  <c r="C38" i="56"/>
  <c r="B38" i="56"/>
  <c r="AI37" i="56"/>
  <c r="AH37" i="56"/>
  <c r="AI36" i="56"/>
  <c r="AH36" i="56"/>
  <c r="AI35" i="56"/>
  <c r="AH35" i="56"/>
  <c r="AI34" i="56"/>
  <c r="AH34" i="56"/>
  <c r="AI33" i="56"/>
  <c r="AH33" i="56"/>
  <c r="AI32" i="56"/>
  <c r="AH32" i="56"/>
  <c r="AI31" i="56"/>
  <c r="AH31" i="56"/>
  <c r="AI30" i="56"/>
  <c r="AH30" i="56"/>
  <c r="AI29" i="56"/>
  <c r="AH29" i="56"/>
  <c r="AI28" i="56"/>
  <c r="AH28" i="56"/>
  <c r="AI27" i="56"/>
  <c r="AH27" i="56"/>
  <c r="AI26" i="56"/>
  <c r="AH26" i="56"/>
  <c r="AI25" i="56"/>
  <c r="AH25" i="56"/>
  <c r="AI24" i="56"/>
  <c r="AH24" i="56"/>
  <c r="AI23" i="56"/>
  <c r="AH23" i="56"/>
  <c r="AI22" i="56"/>
  <c r="AH22" i="56"/>
  <c r="AI21" i="56"/>
  <c r="AH21" i="56"/>
  <c r="AI20" i="56"/>
  <c r="AH20" i="56"/>
  <c r="AI19" i="56"/>
  <c r="AH19" i="56"/>
  <c r="AI18" i="56"/>
  <c r="AH18" i="56"/>
  <c r="AI17" i="56"/>
  <c r="AH17" i="56"/>
  <c r="AI16" i="56"/>
  <c r="AH16" i="56"/>
  <c r="AI15" i="56"/>
  <c r="AH15" i="56"/>
  <c r="AI14" i="56"/>
  <c r="AH14" i="56"/>
  <c r="AI13" i="56"/>
  <c r="AH13" i="56"/>
  <c r="AI12" i="56"/>
  <c r="AH12" i="56"/>
  <c r="AI11" i="56"/>
  <c r="AH11" i="56"/>
  <c r="AG4" i="56"/>
  <c r="K4" i="56"/>
  <c r="B4" i="56"/>
  <c r="D231" i="56" s="1"/>
  <c r="AG2" i="56"/>
  <c r="AF100" i="55"/>
  <c r="AF37" i="55"/>
  <c r="AE100" i="55"/>
  <c r="AE37" i="55"/>
  <c r="AD100" i="55"/>
  <c r="AD37" i="55"/>
  <c r="AC100" i="55"/>
  <c r="AC37" i="55"/>
  <c r="AB37" i="55"/>
  <c r="AB100" i="55"/>
  <c r="E4" i="56"/>
  <c r="AE87" i="56" l="1"/>
  <c r="AF77" i="56"/>
  <c r="AF79" i="56" s="1"/>
  <c r="AX234" i="56" s="1"/>
  <c r="AC87" i="56"/>
  <c r="AC88" i="56"/>
  <c r="AC77" i="56"/>
  <c r="AC79" i="56" s="1"/>
  <c r="AC7" i="56" s="1"/>
  <c r="AA77" i="56"/>
  <c r="AA79" i="56" s="1"/>
  <c r="AA7" i="56" s="1"/>
  <c r="D255" i="56"/>
  <c r="AF87" i="56"/>
  <c r="AF80" i="56" s="1"/>
  <c r="AB77" i="56"/>
  <c r="AB79" i="56" s="1"/>
  <c r="AB7" i="56" s="1"/>
  <c r="AD87" i="56"/>
  <c r="D220" i="56"/>
  <c r="AE77" i="56"/>
  <c r="AE79" i="56" s="1"/>
  <c r="AE80" i="56" s="1"/>
  <c r="Z77" i="56"/>
  <c r="Z79" i="56" s="1"/>
  <c r="AR234" i="56" s="1"/>
  <c r="Y77" i="56"/>
  <c r="Y79" i="56" s="1"/>
  <c r="AQ234" i="56" s="1"/>
  <c r="Y87" i="56"/>
  <c r="X87" i="56"/>
  <c r="X77" i="56"/>
  <c r="X79" i="56" s="1"/>
  <c r="AP234" i="56" s="1"/>
  <c r="W87" i="56"/>
  <c r="W88" i="56" s="1"/>
  <c r="W77" i="56"/>
  <c r="W79" i="56" s="1"/>
  <c r="V87" i="56"/>
  <c r="V88" i="56" s="1"/>
  <c r="U5" i="56"/>
  <c r="V77" i="56"/>
  <c r="V79" i="56" s="1"/>
  <c r="V80" i="56" s="1"/>
  <c r="U77" i="56"/>
  <c r="U79" i="56" s="1"/>
  <c r="U7" i="56" s="1"/>
  <c r="U87" i="56"/>
  <c r="U88" i="56"/>
  <c r="T77" i="56"/>
  <c r="T79" i="56" s="1"/>
  <c r="T7" i="56" s="1"/>
  <c r="S77" i="56"/>
  <c r="S79" i="56" s="1"/>
  <c r="R77" i="56"/>
  <c r="R79" i="56" s="1"/>
  <c r="Q87" i="56"/>
  <c r="Q77" i="56"/>
  <c r="Q79" i="56" s="1"/>
  <c r="Q80" i="56" s="1"/>
  <c r="P87" i="56"/>
  <c r="P77" i="56"/>
  <c r="P79" i="56" s="1"/>
  <c r="O77" i="56"/>
  <c r="O79" i="56" s="1"/>
  <c r="AG234" i="56" s="1"/>
  <c r="N77" i="56"/>
  <c r="N79" i="56" s="1"/>
  <c r="N80" i="56" s="1"/>
  <c r="M88" i="56"/>
  <c r="M77" i="56"/>
  <c r="M79" i="56" s="1"/>
  <c r="M7" i="56" s="1"/>
  <c r="L77" i="56"/>
  <c r="L79" i="56" s="1"/>
  <c r="L7" i="56" s="1"/>
  <c r="K77" i="56"/>
  <c r="K79" i="56" s="1"/>
  <c r="AC234" i="56" s="1"/>
  <c r="J77" i="56"/>
  <c r="J79" i="56" s="1"/>
  <c r="AB234" i="56" s="1"/>
  <c r="I87" i="56"/>
  <c r="I77" i="56"/>
  <c r="I79" i="56" s="1"/>
  <c r="I80" i="56" s="1"/>
  <c r="H77" i="56"/>
  <c r="H79" i="56" s="1"/>
  <c r="Z234" i="56" s="1"/>
  <c r="G77" i="56"/>
  <c r="G79" i="56" s="1"/>
  <c r="F87" i="56"/>
  <c r="E77" i="56"/>
  <c r="E79" i="56" s="1"/>
  <c r="E87" i="56"/>
  <c r="E88" i="56" s="1"/>
  <c r="AH85" i="56"/>
  <c r="AI85" i="56"/>
  <c r="D77" i="56"/>
  <c r="D79" i="56" s="1"/>
  <c r="D7" i="56" s="1"/>
  <c r="AI84" i="56"/>
  <c r="AI83" i="56"/>
  <c r="C77" i="56"/>
  <c r="C79" i="56" s="1"/>
  <c r="U234" i="56" s="1"/>
  <c r="AH56" i="56"/>
  <c r="AH42" i="56"/>
  <c r="AI56" i="56"/>
  <c r="B77" i="56"/>
  <c r="B79" i="56" s="1"/>
  <c r="AI42" i="56"/>
  <c r="H4" i="56"/>
  <c r="R7" i="56"/>
  <c r="AJ234" i="56"/>
  <c r="AH234" i="56"/>
  <c r="P80" i="56"/>
  <c r="P7" i="56"/>
  <c r="X80" i="56"/>
  <c r="V7" i="56"/>
  <c r="AG3" i="56"/>
  <c r="AG6" i="56" s="1"/>
  <c r="AG79" i="56"/>
  <c r="AU234" i="56"/>
  <c r="AO234" i="56"/>
  <c r="W7" i="56"/>
  <c r="J80" i="56"/>
  <c r="J7" i="56"/>
  <c r="E255" i="56"/>
  <c r="G219" i="56"/>
  <c r="AH84" i="56"/>
  <c r="H87" i="56"/>
  <c r="H88" i="56" s="1"/>
  <c r="G88" i="56"/>
  <c r="O5" i="56"/>
  <c r="P88" i="56"/>
  <c r="AH83" i="56"/>
  <c r="AH38" i="56"/>
  <c r="I88" i="56"/>
  <c r="H5" i="56"/>
  <c r="Q88" i="56"/>
  <c r="P5" i="56"/>
  <c r="Y88" i="56"/>
  <c r="X5" i="56"/>
  <c r="AH82" i="56"/>
  <c r="B220" i="56"/>
  <c r="E7" i="56"/>
  <c r="W234" i="56"/>
  <c r="W5" i="56"/>
  <c r="X88" i="56"/>
  <c r="M5" i="56"/>
  <c r="J87" i="56"/>
  <c r="J88" i="56" s="1"/>
  <c r="Z87" i="56"/>
  <c r="Z88" i="56" s="1"/>
  <c r="AD88" i="56"/>
  <c r="AD77" i="56"/>
  <c r="AD79" i="56" s="1"/>
  <c r="F88" i="56"/>
  <c r="S231" i="56"/>
  <c r="F77" i="56"/>
  <c r="F79" i="56" s="1"/>
  <c r="G5" i="56"/>
  <c r="AI38" i="56"/>
  <c r="AI72" i="56"/>
  <c r="C87" i="56"/>
  <c r="C80" i="56" s="1"/>
  <c r="K87" i="56"/>
  <c r="K88" i="56" s="1"/>
  <c r="S87" i="56"/>
  <c r="S80" i="56" s="1"/>
  <c r="AA87" i="56"/>
  <c r="O88" i="56"/>
  <c r="AE88" i="56"/>
  <c r="E214" i="56"/>
  <c r="AG77" i="56"/>
  <c r="AH60" i="56"/>
  <c r="D87" i="56"/>
  <c r="D88" i="56" s="1"/>
  <c r="L87" i="56"/>
  <c r="L88" i="56" s="1"/>
  <c r="T87" i="56"/>
  <c r="T88" i="56" s="1"/>
  <c r="AB87" i="56"/>
  <c r="AB88" i="56" s="1"/>
  <c r="AE5" i="56"/>
  <c r="AK234" i="56"/>
  <c r="AH72" i="56"/>
  <c r="AI81" i="56"/>
  <c r="R87" i="56"/>
  <c r="R88" i="56" s="1"/>
  <c r="S7" i="56"/>
  <c r="AI60" i="56"/>
  <c r="AI82" i="56"/>
  <c r="AH81" i="56"/>
  <c r="B87" i="56"/>
  <c r="AM234" i="56" l="1"/>
  <c r="AF7" i="56"/>
  <c r="AF88" i="56"/>
  <c r="AS234" i="56"/>
  <c r="AA80" i="56"/>
  <c r="AC80" i="56"/>
  <c r="AW234" i="56"/>
  <c r="AE7" i="56"/>
  <c r="AT234" i="56"/>
  <c r="AN234" i="56"/>
  <c r="AI234" i="56"/>
  <c r="Y7" i="56"/>
  <c r="Q7" i="56"/>
  <c r="Y80" i="56"/>
  <c r="AA88" i="56"/>
  <c r="K7" i="56"/>
  <c r="Z7" i="56"/>
  <c r="L80" i="56"/>
  <c r="AB80" i="56"/>
  <c r="U80" i="56"/>
  <c r="V234" i="56"/>
  <c r="X7" i="56"/>
  <c r="W80" i="56"/>
  <c r="AL234" i="56"/>
  <c r="T80" i="56"/>
  <c r="O7" i="56"/>
  <c r="O80" i="56"/>
  <c r="AF234" i="56"/>
  <c r="R80" i="56"/>
  <c r="N7" i="56"/>
  <c r="I7" i="56"/>
  <c r="AA234" i="56"/>
  <c r="C7" i="56"/>
  <c r="M80" i="56"/>
  <c r="AE234" i="56"/>
  <c r="AD234" i="56"/>
  <c r="H7" i="56"/>
  <c r="H80" i="56"/>
  <c r="B229" i="56"/>
  <c r="Y234" i="56"/>
  <c r="C229" i="56"/>
  <c r="K6" i="56" s="1"/>
  <c r="G80" i="56"/>
  <c r="G7" i="56"/>
  <c r="AH77" i="56"/>
  <c r="E80" i="56"/>
  <c r="D80" i="56"/>
  <c r="C88" i="56"/>
  <c r="B80" i="56"/>
  <c r="AI79" i="56"/>
  <c r="B7" i="56"/>
  <c r="T234" i="56"/>
  <c r="AH79" i="56"/>
  <c r="AI77" i="56"/>
  <c r="E98" i="56"/>
  <c r="E220" i="56"/>
  <c r="F214" i="56"/>
  <c r="S88" i="56"/>
  <c r="K80" i="56"/>
  <c r="X234" i="56"/>
  <c r="F7" i="56"/>
  <c r="F80" i="56"/>
  <c r="F255" i="56"/>
  <c r="H219" i="56"/>
  <c r="Z80" i="56"/>
  <c r="B88" i="56"/>
  <c r="AI87" i="56"/>
  <c r="AH87" i="56"/>
  <c r="AV234" i="56"/>
  <c r="AD7" i="56"/>
  <c r="AD80" i="56"/>
  <c r="G255" i="56" l="1"/>
  <c r="I219" i="56"/>
  <c r="A7" i="56"/>
  <c r="AI88" i="56"/>
  <c r="AH88" i="56"/>
  <c r="F98" i="56"/>
  <c r="G214" i="56"/>
  <c r="F220" i="56"/>
  <c r="AH80" i="56"/>
  <c r="H255" i="56" l="1"/>
  <c r="J219" i="56"/>
  <c r="G98" i="56"/>
  <c r="H214" i="56"/>
  <c r="G220" i="56"/>
  <c r="I214" i="56" l="1"/>
  <c r="H98" i="56"/>
  <c r="H220" i="56"/>
  <c r="K219" i="56"/>
  <c r="I255" i="56"/>
  <c r="L219" i="56" l="1"/>
  <c r="J255" i="56"/>
  <c r="J214" i="56"/>
  <c r="I220" i="56"/>
  <c r="I98" i="56"/>
  <c r="J220" i="56" l="1"/>
  <c r="K214" i="56"/>
  <c r="J98" i="56"/>
  <c r="K255" i="56"/>
  <c r="M219" i="56"/>
  <c r="L255" i="56" l="1"/>
  <c r="N219" i="56"/>
  <c r="K220" i="56"/>
  <c r="K98" i="56"/>
  <c r="L214" i="56"/>
  <c r="L220" i="56" l="1"/>
  <c r="L98" i="56"/>
  <c r="M214" i="56"/>
  <c r="M255" i="56"/>
  <c r="O219" i="56"/>
  <c r="N255" i="56" l="1"/>
  <c r="P219" i="56"/>
  <c r="O255" i="56" s="1"/>
  <c r="M98" i="56"/>
  <c r="M220" i="56"/>
  <c r="N214" i="56"/>
  <c r="N98" i="56" l="1"/>
  <c r="O214" i="56"/>
  <c r="N220" i="56"/>
  <c r="O98" i="56" l="1"/>
  <c r="P214" i="56"/>
  <c r="O220" i="56"/>
  <c r="P98" i="56" l="1"/>
  <c r="P220" i="56"/>
  <c r="AI98" i="56" l="1"/>
  <c r="AH98" i="56"/>
  <c r="AA100" i="55" l="1"/>
  <c r="AA37" i="55"/>
  <c r="Z100" i="55"/>
  <c r="X100" i="55"/>
  <c r="X37" i="55"/>
  <c r="W100" i="55"/>
  <c r="W37" i="55"/>
  <c r="V100" i="55"/>
  <c r="V37" i="55"/>
  <c r="U100" i="55"/>
  <c r="S100" i="55" l="1"/>
  <c r="S37" i="55"/>
  <c r="R37" i="55"/>
  <c r="Q37" i="55"/>
  <c r="P37" i="55"/>
  <c r="O37" i="55"/>
  <c r="N37" i="55"/>
  <c r="M37" i="55"/>
  <c r="L37" i="55"/>
  <c r="K37" i="55"/>
  <c r="J37" i="55"/>
  <c r="I37" i="55"/>
  <c r="H37" i="55"/>
  <c r="G37" i="55"/>
  <c r="F37" i="55"/>
  <c r="E37" i="55"/>
  <c r="D100" i="55"/>
  <c r="D99" i="55"/>
  <c r="D37" i="55"/>
  <c r="C37" i="55"/>
  <c r="B37" i="55"/>
  <c r="AF5" i="55"/>
  <c r="B60" i="55"/>
  <c r="B56" i="55"/>
  <c r="B42" i="55"/>
  <c r="B38" i="55"/>
  <c r="AF259" i="55"/>
  <c r="AE259" i="55"/>
  <c r="AD259" i="55"/>
  <c r="AC259" i="55"/>
  <c r="AB259" i="55"/>
  <c r="AA259" i="55"/>
  <c r="Z259" i="55"/>
  <c r="Y259" i="55"/>
  <c r="X259" i="55"/>
  <c r="W259" i="55"/>
  <c r="V259" i="55"/>
  <c r="U259" i="55"/>
  <c r="T259" i="55"/>
  <c r="S259" i="55"/>
  <c r="R259" i="55"/>
  <c r="Q259" i="55"/>
  <c r="P259" i="55"/>
  <c r="O259" i="55"/>
  <c r="N259" i="55"/>
  <c r="M259" i="55"/>
  <c r="L259" i="55"/>
  <c r="K259" i="55"/>
  <c r="J259" i="55"/>
  <c r="I259" i="55"/>
  <c r="H259" i="55"/>
  <c r="G259" i="55"/>
  <c r="F259" i="55"/>
  <c r="E259" i="55"/>
  <c r="D259" i="55"/>
  <c r="C259" i="55"/>
  <c r="B259" i="55"/>
  <c r="A259" i="55"/>
  <c r="AF258" i="55"/>
  <c r="AE258" i="55"/>
  <c r="AD258" i="55"/>
  <c r="AC258" i="55"/>
  <c r="AB258" i="55"/>
  <c r="AA258" i="55"/>
  <c r="Z258" i="55"/>
  <c r="Y258" i="55"/>
  <c r="X258" i="55"/>
  <c r="W258" i="55"/>
  <c r="V258" i="55"/>
  <c r="U258" i="55"/>
  <c r="T258" i="55"/>
  <c r="S258" i="55"/>
  <c r="R258" i="55"/>
  <c r="Q258" i="55"/>
  <c r="P258" i="55"/>
  <c r="O258" i="55"/>
  <c r="N258" i="55"/>
  <c r="M258" i="55"/>
  <c r="L258" i="55"/>
  <c r="K258" i="55"/>
  <c r="J258" i="55"/>
  <c r="I258" i="55"/>
  <c r="H258" i="55"/>
  <c r="G258" i="55"/>
  <c r="F258" i="55"/>
  <c r="E258" i="55"/>
  <c r="D258" i="55"/>
  <c r="C258" i="55"/>
  <c r="B258" i="55"/>
  <c r="A258" i="55"/>
  <c r="AF257" i="55"/>
  <c r="AE257" i="55"/>
  <c r="AD257" i="55"/>
  <c r="AC257" i="55"/>
  <c r="AB257" i="55"/>
  <c r="AA257" i="55"/>
  <c r="Z257" i="55"/>
  <c r="Y257" i="55"/>
  <c r="X257" i="55"/>
  <c r="W257" i="55"/>
  <c r="V257" i="55"/>
  <c r="U257" i="55"/>
  <c r="T257" i="55"/>
  <c r="S257" i="55"/>
  <c r="R257" i="55"/>
  <c r="Q257" i="55"/>
  <c r="P257" i="55"/>
  <c r="O257" i="55"/>
  <c r="N257" i="55"/>
  <c r="M257" i="55"/>
  <c r="L257" i="55"/>
  <c r="K257" i="55"/>
  <c r="J257" i="55"/>
  <c r="I257" i="55"/>
  <c r="H257" i="55"/>
  <c r="G257" i="55"/>
  <c r="F257" i="55"/>
  <c r="E257" i="55"/>
  <c r="D257" i="55"/>
  <c r="C257" i="55"/>
  <c r="B257" i="55"/>
  <c r="A257" i="55"/>
  <c r="AF256" i="55"/>
  <c r="AE256" i="55"/>
  <c r="AD256" i="55"/>
  <c r="AC256" i="55"/>
  <c r="AB256" i="55"/>
  <c r="AA256" i="55"/>
  <c r="Z256" i="55"/>
  <c r="Y256" i="55"/>
  <c r="X256" i="55"/>
  <c r="W256" i="55"/>
  <c r="V256" i="55"/>
  <c r="U256" i="55"/>
  <c r="T256" i="55"/>
  <c r="S256" i="55"/>
  <c r="R256" i="55"/>
  <c r="Q256" i="55"/>
  <c r="P256" i="55"/>
  <c r="O256" i="55"/>
  <c r="N256" i="55"/>
  <c r="M256" i="55"/>
  <c r="L256" i="55"/>
  <c r="K256" i="55"/>
  <c r="J256" i="55"/>
  <c r="I256" i="55"/>
  <c r="H256" i="55"/>
  <c r="G256" i="55"/>
  <c r="F256" i="55"/>
  <c r="E256" i="55"/>
  <c r="D256" i="55"/>
  <c r="C256" i="55"/>
  <c r="B256" i="55"/>
  <c r="A256" i="55"/>
  <c r="AE255" i="55"/>
  <c r="AD255" i="55"/>
  <c r="AC255" i="55"/>
  <c r="AB255" i="55"/>
  <c r="AA255" i="55"/>
  <c r="Z255" i="55"/>
  <c r="Y255" i="55"/>
  <c r="X255" i="55"/>
  <c r="W255" i="55"/>
  <c r="V255" i="55"/>
  <c r="U255" i="55"/>
  <c r="T255" i="55"/>
  <c r="S255" i="55"/>
  <c r="R255" i="55"/>
  <c r="Q255" i="55"/>
  <c r="P255" i="55"/>
  <c r="C255" i="55"/>
  <c r="B255" i="55"/>
  <c r="S230" i="55"/>
  <c r="AG220" i="55"/>
  <c r="AF220" i="55"/>
  <c r="AE220" i="55"/>
  <c r="AD220" i="55"/>
  <c r="AC220" i="55"/>
  <c r="AB220" i="55"/>
  <c r="AA220" i="55"/>
  <c r="Z220" i="55"/>
  <c r="Y220" i="55"/>
  <c r="X220" i="55"/>
  <c r="W220" i="55"/>
  <c r="V220" i="55"/>
  <c r="U220" i="55"/>
  <c r="T220" i="55"/>
  <c r="S220" i="55"/>
  <c r="R220" i="55"/>
  <c r="Q220" i="55"/>
  <c r="C220" i="55"/>
  <c r="F219" i="55"/>
  <c r="E255" i="55" s="1"/>
  <c r="E219" i="55"/>
  <c r="D255" i="55" s="1"/>
  <c r="D219" i="55"/>
  <c r="B219" i="55"/>
  <c r="AF255" i="55" s="1"/>
  <c r="D218" i="55"/>
  <c r="E218" i="55" s="1"/>
  <c r="F218" i="55" s="1"/>
  <c r="G218" i="55" s="1"/>
  <c r="H218" i="55" s="1"/>
  <c r="I218" i="55" s="1"/>
  <c r="J218" i="55" s="1"/>
  <c r="K218" i="55" s="1"/>
  <c r="L218" i="55" s="1"/>
  <c r="M218" i="55" s="1"/>
  <c r="N218" i="55" s="1"/>
  <c r="O218" i="55" s="1"/>
  <c r="P218" i="55" s="1"/>
  <c r="B218" i="55"/>
  <c r="D217" i="55"/>
  <c r="E217" i="55" s="1"/>
  <c r="F217" i="55" s="1"/>
  <c r="G217" i="55" s="1"/>
  <c r="H217" i="55" s="1"/>
  <c r="I217" i="55" s="1"/>
  <c r="J217" i="55" s="1"/>
  <c r="K217" i="55" s="1"/>
  <c r="L217" i="55" s="1"/>
  <c r="M217" i="55" s="1"/>
  <c r="N217" i="55" s="1"/>
  <c r="O217" i="55" s="1"/>
  <c r="P217" i="55" s="1"/>
  <c r="B217" i="55"/>
  <c r="H216" i="55"/>
  <c r="I216" i="55" s="1"/>
  <c r="J216" i="55" s="1"/>
  <c r="K216" i="55" s="1"/>
  <c r="L216" i="55" s="1"/>
  <c r="M216" i="55" s="1"/>
  <c r="N216" i="55" s="1"/>
  <c r="O216" i="55" s="1"/>
  <c r="P216" i="55" s="1"/>
  <c r="G216" i="55"/>
  <c r="F216" i="55"/>
  <c r="E216" i="55"/>
  <c r="D216" i="55"/>
  <c r="B216" i="55"/>
  <c r="F215" i="55"/>
  <c r="G215" i="55" s="1"/>
  <c r="H215" i="55" s="1"/>
  <c r="I215" i="55" s="1"/>
  <c r="J215" i="55" s="1"/>
  <c r="K215" i="55" s="1"/>
  <c r="L215" i="55" s="1"/>
  <c r="M215" i="55" s="1"/>
  <c r="N215" i="55" s="1"/>
  <c r="O215" i="55" s="1"/>
  <c r="P215" i="55" s="1"/>
  <c r="E215" i="55"/>
  <c r="D215" i="55"/>
  <c r="B215" i="55"/>
  <c r="D214" i="55"/>
  <c r="D220" i="55" s="1"/>
  <c r="B214" i="55"/>
  <c r="B220" i="55" s="1"/>
  <c r="AG212" i="55"/>
  <c r="AF212" i="55"/>
  <c r="AE212" i="55"/>
  <c r="AD212" i="55"/>
  <c r="AC212" i="55"/>
  <c r="AB212" i="55"/>
  <c r="AA212" i="55"/>
  <c r="Z212" i="55"/>
  <c r="Y212" i="55"/>
  <c r="X212" i="55"/>
  <c r="W212" i="55"/>
  <c r="V212" i="55"/>
  <c r="U212" i="55"/>
  <c r="T212" i="55"/>
  <c r="S212" i="55"/>
  <c r="R212" i="55"/>
  <c r="Q212" i="55"/>
  <c r="P212" i="55"/>
  <c r="O212" i="55"/>
  <c r="N212" i="55"/>
  <c r="M212" i="55"/>
  <c r="L212" i="55"/>
  <c r="K212" i="55"/>
  <c r="J212" i="55"/>
  <c r="I212" i="55"/>
  <c r="H212" i="55"/>
  <c r="G212" i="55"/>
  <c r="F212" i="55"/>
  <c r="E212" i="55"/>
  <c r="D212" i="55"/>
  <c r="C212" i="55"/>
  <c r="B212" i="55"/>
  <c r="AH105" i="55"/>
  <c r="AI105" i="55" s="1"/>
  <c r="AH104" i="55"/>
  <c r="AI104" i="55" s="1"/>
  <c r="AH103" i="55"/>
  <c r="AI103" i="55" s="1"/>
  <c r="AH102" i="55"/>
  <c r="AI102" i="55" s="1"/>
  <c r="AH101" i="55"/>
  <c r="AI101" i="55" s="1"/>
  <c r="AH100" i="55"/>
  <c r="AI100" i="55" s="1"/>
  <c r="AH99" i="55"/>
  <c r="AI99" i="55" s="1"/>
  <c r="AF98" i="55"/>
  <c r="AE98" i="55"/>
  <c r="AD98" i="55"/>
  <c r="AC98" i="55"/>
  <c r="AB98" i="55"/>
  <c r="AA98" i="55"/>
  <c r="Z98" i="55"/>
  <c r="Y98" i="55"/>
  <c r="X98" i="55"/>
  <c r="W98" i="55"/>
  <c r="V98" i="55"/>
  <c r="U98" i="55"/>
  <c r="T98" i="55"/>
  <c r="S98" i="55"/>
  <c r="R98" i="55"/>
  <c r="Q98" i="55"/>
  <c r="AI97" i="55"/>
  <c r="AH97" i="55"/>
  <c r="AI96" i="55"/>
  <c r="AH96" i="55"/>
  <c r="AI95" i="55"/>
  <c r="AH95" i="55"/>
  <c r="AI94" i="55"/>
  <c r="AH94" i="55"/>
  <c r="AI93" i="55"/>
  <c r="AH93" i="55"/>
  <c r="AI92" i="55"/>
  <c r="AH92" i="55"/>
  <c r="AI91" i="55"/>
  <c r="AH91" i="55"/>
  <c r="AI90" i="55"/>
  <c r="AH90" i="55"/>
  <c r="AI89" i="55"/>
  <c r="AH89" i="55"/>
  <c r="AI86" i="55"/>
  <c r="AH86" i="55"/>
  <c r="AF85" i="55"/>
  <c r="AE85" i="55"/>
  <c r="AD85" i="55"/>
  <c r="AC85" i="55"/>
  <c r="AB85" i="55"/>
  <c r="AA85" i="55"/>
  <c r="Z85" i="55"/>
  <c r="Y85" i="55"/>
  <c r="X85" i="55"/>
  <c r="W85" i="55"/>
  <c r="V85" i="55"/>
  <c r="U85" i="55"/>
  <c r="T85" i="55"/>
  <c r="S85" i="55"/>
  <c r="R85" i="55"/>
  <c r="Q85" i="55"/>
  <c r="P85" i="55"/>
  <c r="O85" i="55"/>
  <c r="N85" i="55"/>
  <c r="M85" i="55"/>
  <c r="L85" i="55"/>
  <c r="K85" i="55"/>
  <c r="J85" i="55"/>
  <c r="I85" i="55"/>
  <c r="H85" i="55"/>
  <c r="G85" i="55"/>
  <c r="F85" i="55"/>
  <c r="E85" i="55"/>
  <c r="D85" i="55"/>
  <c r="AF84" i="55"/>
  <c r="AE84" i="55"/>
  <c r="AD84" i="55"/>
  <c r="AC84" i="55"/>
  <c r="AB84" i="55"/>
  <c r="AA84" i="55"/>
  <c r="Z84" i="55"/>
  <c r="Y84" i="55"/>
  <c r="X84" i="55"/>
  <c r="W84" i="55"/>
  <c r="V84" i="55"/>
  <c r="U84" i="55"/>
  <c r="T84" i="55"/>
  <c r="S84" i="55"/>
  <c r="R84" i="55"/>
  <c r="Q84" i="55"/>
  <c r="P84" i="55"/>
  <c r="O84" i="55"/>
  <c r="N84" i="55"/>
  <c r="M84" i="55"/>
  <c r="L84" i="55"/>
  <c r="K84" i="55"/>
  <c r="J84" i="55"/>
  <c r="I84" i="55"/>
  <c r="H84" i="55"/>
  <c r="G84" i="55"/>
  <c r="F84" i="55"/>
  <c r="E84" i="55"/>
  <c r="D84" i="55"/>
  <c r="AF83" i="55"/>
  <c r="AE83" i="55"/>
  <c r="AD83" i="55"/>
  <c r="AC83" i="55"/>
  <c r="AB83" i="55"/>
  <c r="AA83" i="55"/>
  <c r="Z83" i="55"/>
  <c r="Y83" i="55"/>
  <c r="X83" i="55"/>
  <c r="W83" i="55"/>
  <c r="V83" i="55"/>
  <c r="U83" i="55"/>
  <c r="T83" i="55"/>
  <c r="S83" i="55"/>
  <c r="R83" i="55"/>
  <c r="Q83" i="55"/>
  <c r="Q87" i="55" s="1"/>
  <c r="P83" i="55"/>
  <c r="O83" i="55"/>
  <c r="N83" i="55"/>
  <c r="M83" i="55"/>
  <c r="L83" i="55"/>
  <c r="K83" i="55"/>
  <c r="J83" i="55"/>
  <c r="I83" i="55"/>
  <c r="H83" i="55"/>
  <c r="G83" i="55"/>
  <c r="F83" i="55"/>
  <c r="E83" i="55"/>
  <c r="D83" i="55"/>
  <c r="AF82" i="55"/>
  <c r="AE82" i="55"/>
  <c r="AD82" i="55"/>
  <c r="AD87" i="55" s="1"/>
  <c r="AC82" i="55"/>
  <c r="AB82" i="55"/>
  <c r="AA82" i="55"/>
  <c r="Z82" i="55"/>
  <c r="Y82" i="55"/>
  <c r="X82" i="55"/>
  <c r="W82" i="55"/>
  <c r="V82" i="55"/>
  <c r="U82" i="55"/>
  <c r="T82" i="55"/>
  <c r="S82" i="55"/>
  <c r="R82" i="55"/>
  <c r="Q82" i="55"/>
  <c r="P82" i="55"/>
  <c r="O82" i="55"/>
  <c r="N82" i="55"/>
  <c r="M82" i="55"/>
  <c r="L82" i="55"/>
  <c r="K82" i="55"/>
  <c r="J82" i="55"/>
  <c r="I82" i="55"/>
  <c r="H82" i="55"/>
  <c r="G82" i="55"/>
  <c r="F82" i="55"/>
  <c r="E82" i="55"/>
  <c r="D82" i="55"/>
  <c r="AF81" i="55"/>
  <c r="AE81" i="55"/>
  <c r="AD81" i="55"/>
  <c r="AC81" i="55"/>
  <c r="AB81" i="55"/>
  <c r="AB87" i="55" s="1"/>
  <c r="AA81" i="55"/>
  <c r="Z81" i="55"/>
  <c r="Y81" i="55"/>
  <c r="X81" i="55"/>
  <c r="W81" i="55"/>
  <c r="V81" i="55"/>
  <c r="V87" i="55" s="1"/>
  <c r="U81" i="55"/>
  <c r="U87" i="55" s="1"/>
  <c r="T81" i="55"/>
  <c r="S81" i="55"/>
  <c r="R81" i="55"/>
  <c r="Q81" i="55"/>
  <c r="P81" i="55"/>
  <c r="O81" i="55"/>
  <c r="N81" i="55"/>
  <c r="M81" i="55"/>
  <c r="L81" i="55"/>
  <c r="K81" i="55"/>
  <c r="J81" i="55"/>
  <c r="I81" i="55"/>
  <c r="H81" i="55"/>
  <c r="G81" i="55"/>
  <c r="G87" i="55" s="1"/>
  <c r="F81" i="55"/>
  <c r="E81" i="55"/>
  <c r="D81" i="55"/>
  <c r="AI78" i="55"/>
  <c r="AH78" i="55"/>
  <c r="AI76" i="55"/>
  <c r="AH76" i="55"/>
  <c r="AG76" i="55"/>
  <c r="AI75" i="55"/>
  <c r="AH75" i="55"/>
  <c r="AI74" i="55"/>
  <c r="AH74" i="55"/>
  <c r="AI73" i="55"/>
  <c r="AH73" i="55"/>
  <c r="AG72" i="55"/>
  <c r="AG79" i="55" s="1"/>
  <c r="AF72" i="55"/>
  <c r="AE72" i="55"/>
  <c r="AD72" i="55"/>
  <c r="AC5" i="55" s="1"/>
  <c r="AC72" i="55"/>
  <c r="AB5" i="55" s="1"/>
  <c r="AB72" i="55"/>
  <c r="AA5" i="55" s="1"/>
  <c r="AA72" i="55"/>
  <c r="Z5" i="55" s="1"/>
  <c r="Z72" i="55"/>
  <c r="Y72" i="55"/>
  <c r="X5" i="55" s="1"/>
  <c r="X72" i="55"/>
  <c r="W72" i="55"/>
  <c r="V72" i="55"/>
  <c r="U5" i="55" s="1"/>
  <c r="U72" i="55"/>
  <c r="T5" i="55" s="1"/>
  <c r="T72" i="55"/>
  <c r="S5" i="55" s="1"/>
  <c r="S72" i="55"/>
  <c r="R5" i="55" s="1"/>
  <c r="R72" i="55"/>
  <c r="Q72" i="55"/>
  <c r="P5" i="55" s="1"/>
  <c r="P72" i="55"/>
  <c r="O72" i="55"/>
  <c r="N72" i="55"/>
  <c r="M5" i="55" s="1"/>
  <c r="M72" i="55"/>
  <c r="L5" i="55" s="1"/>
  <c r="L72" i="55"/>
  <c r="K5" i="55" s="1"/>
  <c r="K72" i="55"/>
  <c r="J5" i="55" s="1"/>
  <c r="J72" i="55"/>
  <c r="I5" i="55" s="1"/>
  <c r="I72" i="55"/>
  <c r="H5" i="55" s="1"/>
  <c r="H72" i="55"/>
  <c r="G72" i="55"/>
  <c r="F72" i="55"/>
  <c r="E5" i="55" s="1"/>
  <c r="E72" i="55"/>
  <c r="D5" i="55" s="1"/>
  <c r="D72" i="55"/>
  <c r="C5" i="55" s="1"/>
  <c r="AI71" i="55"/>
  <c r="AH71" i="55"/>
  <c r="AI70" i="55"/>
  <c r="AH70" i="55"/>
  <c r="AI69" i="55"/>
  <c r="AH69" i="55"/>
  <c r="AI68" i="55"/>
  <c r="AH68" i="55"/>
  <c r="AI67" i="55"/>
  <c r="AH67" i="55"/>
  <c r="AI66" i="55"/>
  <c r="AH66" i="55"/>
  <c r="AI65" i="55"/>
  <c r="AH65" i="55"/>
  <c r="AI64" i="55"/>
  <c r="AH64" i="55"/>
  <c r="AI63" i="55"/>
  <c r="AH63" i="55"/>
  <c r="AI62" i="55"/>
  <c r="AH62" i="55"/>
  <c r="AI61" i="55"/>
  <c r="AH61" i="55"/>
  <c r="AG60" i="55"/>
  <c r="AF60" i="55"/>
  <c r="AE60" i="55"/>
  <c r="AD60" i="55"/>
  <c r="AC60" i="55"/>
  <c r="AB60" i="55"/>
  <c r="AA60" i="55"/>
  <c r="Z60" i="55"/>
  <c r="Y60" i="55"/>
  <c r="X60" i="55"/>
  <c r="W60" i="55"/>
  <c r="V60" i="55"/>
  <c r="U60" i="55"/>
  <c r="T60" i="55"/>
  <c r="S60" i="55"/>
  <c r="R60" i="55"/>
  <c r="Q60" i="55"/>
  <c r="P60" i="55"/>
  <c r="O60" i="55"/>
  <c r="N60" i="55"/>
  <c r="M60" i="55"/>
  <c r="L60" i="55"/>
  <c r="K60" i="55"/>
  <c r="J60" i="55"/>
  <c r="I60" i="55"/>
  <c r="H60" i="55"/>
  <c r="G60" i="55"/>
  <c r="F60" i="55"/>
  <c r="E60" i="55"/>
  <c r="D60" i="55"/>
  <c r="C60" i="55"/>
  <c r="AI59" i="55"/>
  <c r="AH59" i="55"/>
  <c r="AI58" i="55"/>
  <c r="AH58" i="55"/>
  <c r="AI57" i="55"/>
  <c r="AH57" i="55"/>
  <c r="AG56" i="55"/>
  <c r="AF56" i="55"/>
  <c r="AE56" i="55"/>
  <c r="AD56" i="55"/>
  <c r="AC56" i="55"/>
  <c r="AB56" i="55"/>
  <c r="AA56" i="55"/>
  <c r="Z56" i="55"/>
  <c r="Y56" i="55"/>
  <c r="X56" i="55"/>
  <c r="W56" i="55"/>
  <c r="V56" i="55"/>
  <c r="U56" i="55"/>
  <c r="T56" i="55"/>
  <c r="S56" i="55"/>
  <c r="R56" i="55"/>
  <c r="Q56" i="55"/>
  <c r="P56" i="55"/>
  <c r="O56" i="55"/>
  <c r="N56" i="55"/>
  <c r="M56" i="55"/>
  <c r="L56" i="55"/>
  <c r="K56" i="55"/>
  <c r="J56" i="55"/>
  <c r="I56" i="55"/>
  <c r="H56" i="55"/>
  <c r="G56" i="55"/>
  <c r="F56" i="55"/>
  <c r="E56" i="55"/>
  <c r="D56" i="55"/>
  <c r="C56" i="55"/>
  <c r="AI55" i="55"/>
  <c r="AH55" i="55"/>
  <c r="AG55" i="55"/>
  <c r="AI54" i="55"/>
  <c r="AH54" i="55"/>
  <c r="AI53" i="55"/>
  <c r="AH53" i="55"/>
  <c r="AI52" i="55"/>
  <c r="AH52" i="55"/>
  <c r="AI51" i="55"/>
  <c r="AH51" i="55"/>
  <c r="AI50" i="55"/>
  <c r="AH50" i="55"/>
  <c r="AI49" i="55"/>
  <c r="AH49" i="55"/>
  <c r="AI48" i="55"/>
  <c r="AH48" i="55"/>
  <c r="AI47" i="55"/>
  <c r="AH47" i="55"/>
  <c r="AI46" i="55"/>
  <c r="AH46" i="55"/>
  <c r="AI45" i="55"/>
  <c r="AH45" i="55"/>
  <c r="AI44" i="55"/>
  <c r="AH44" i="55"/>
  <c r="AI43" i="55"/>
  <c r="AH43" i="55"/>
  <c r="AG42" i="55"/>
  <c r="AF42" i="55"/>
  <c r="AE42" i="55"/>
  <c r="AD42" i="55"/>
  <c r="AC42" i="55"/>
  <c r="AB42" i="55"/>
  <c r="AA42" i="55"/>
  <c r="Z42" i="55"/>
  <c r="Y42" i="55"/>
  <c r="X42" i="55"/>
  <c r="W42" i="55"/>
  <c r="V42" i="55"/>
  <c r="U42" i="55"/>
  <c r="T42" i="55"/>
  <c r="S42" i="55"/>
  <c r="R42" i="55"/>
  <c r="Q42" i="55"/>
  <c r="P42" i="55"/>
  <c r="O42" i="55"/>
  <c r="N42" i="55"/>
  <c r="M42" i="55"/>
  <c r="L42" i="55"/>
  <c r="K42" i="55"/>
  <c r="J42" i="55"/>
  <c r="I42" i="55"/>
  <c r="H42" i="55"/>
  <c r="G42" i="55"/>
  <c r="F42" i="55"/>
  <c r="E42" i="55"/>
  <c r="D42" i="55"/>
  <c r="C42" i="55"/>
  <c r="AI41" i="55"/>
  <c r="AH41" i="55"/>
  <c r="AI40" i="55"/>
  <c r="AH40" i="55"/>
  <c r="AI39" i="55"/>
  <c r="AH39" i="55"/>
  <c r="AG38" i="55"/>
  <c r="AG2" i="55" s="1"/>
  <c r="AG6" i="55" s="1"/>
  <c r="AF38" i="55"/>
  <c r="AE38" i="55"/>
  <c r="AD38" i="55"/>
  <c r="AC38" i="55"/>
  <c r="AB38" i="55"/>
  <c r="AA38" i="55"/>
  <c r="Z38" i="55"/>
  <c r="Y38" i="55"/>
  <c r="X38" i="55"/>
  <c r="W38" i="55"/>
  <c r="V38" i="55"/>
  <c r="U38" i="55"/>
  <c r="T38" i="55"/>
  <c r="S38" i="55"/>
  <c r="R38" i="55"/>
  <c r="Q38" i="55"/>
  <c r="P38" i="55"/>
  <c r="O38" i="55"/>
  <c r="N38" i="55"/>
  <c r="M38" i="55"/>
  <c r="L38" i="55"/>
  <c r="K38" i="55"/>
  <c r="J38" i="55"/>
  <c r="I38" i="55"/>
  <c r="H38" i="55"/>
  <c r="G38" i="55"/>
  <c r="F38" i="55"/>
  <c r="E38" i="55"/>
  <c r="D38" i="55"/>
  <c r="C38" i="55"/>
  <c r="AI37" i="55"/>
  <c r="AH37" i="55"/>
  <c r="AI36" i="55"/>
  <c r="AH36" i="55"/>
  <c r="AI35" i="55"/>
  <c r="AH35" i="55"/>
  <c r="AI34" i="55"/>
  <c r="AH34" i="55"/>
  <c r="AI33" i="55"/>
  <c r="AH33" i="55"/>
  <c r="AI32" i="55"/>
  <c r="AH32" i="55"/>
  <c r="AI31" i="55"/>
  <c r="AH31" i="55"/>
  <c r="AI30" i="55"/>
  <c r="AH30" i="55"/>
  <c r="AI29" i="55"/>
  <c r="AH29" i="55"/>
  <c r="AI28" i="55"/>
  <c r="AH28" i="55"/>
  <c r="AI27" i="55"/>
  <c r="AH27" i="55"/>
  <c r="AI26" i="55"/>
  <c r="AH26" i="55"/>
  <c r="AI25" i="55"/>
  <c r="AH25" i="55"/>
  <c r="AI24" i="55"/>
  <c r="AH24" i="55"/>
  <c r="AI23" i="55"/>
  <c r="AH23" i="55"/>
  <c r="AI22" i="55"/>
  <c r="AH22" i="55"/>
  <c r="AI21" i="55"/>
  <c r="AH21" i="55"/>
  <c r="AI20" i="55"/>
  <c r="AH20" i="55"/>
  <c r="AI19" i="55"/>
  <c r="AH19" i="55"/>
  <c r="AI18" i="55"/>
  <c r="AH18" i="55"/>
  <c r="AI17" i="55"/>
  <c r="AH17" i="55"/>
  <c r="AI16" i="55"/>
  <c r="AH16" i="55"/>
  <c r="AI15" i="55"/>
  <c r="AH15" i="55"/>
  <c r="AI14" i="55"/>
  <c r="AH14" i="55"/>
  <c r="AI13" i="55"/>
  <c r="AH13" i="55"/>
  <c r="AI12" i="55"/>
  <c r="AH12" i="55"/>
  <c r="AI11" i="55"/>
  <c r="AH11" i="55"/>
  <c r="AG4" i="55"/>
  <c r="K4" i="55"/>
  <c r="B4" i="55"/>
  <c r="S231" i="55" s="1"/>
  <c r="AG3" i="55"/>
  <c r="AF100" i="54"/>
  <c r="AF99" i="54"/>
  <c r="AF37" i="54"/>
  <c r="AE100" i="54"/>
  <c r="AE37" i="54"/>
  <c r="AD100" i="54"/>
  <c r="AD99" i="54"/>
  <c r="AD37" i="54"/>
  <c r="AC37" i="54"/>
  <c r="AB37" i="54"/>
  <c r="Z100" i="54"/>
  <c r="Z37" i="54"/>
  <c r="Y100" i="54"/>
  <c r="Y37" i="54"/>
  <c r="W100" i="54"/>
  <c r="X100" i="54"/>
  <c r="X37" i="54"/>
  <c r="W37" i="54"/>
  <c r="V100" i="54"/>
  <c r="V37" i="54"/>
  <c r="U100" i="54"/>
  <c r="U37" i="54"/>
  <c r="T100" i="54"/>
  <c r="S100" i="54"/>
  <c r="R100" i="54"/>
  <c r="R37" i="54"/>
  <c r="E4" i="55"/>
  <c r="AF87" i="55" l="1"/>
  <c r="AF88" i="55" s="1"/>
  <c r="AE5" i="55"/>
  <c r="AF77" i="55"/>
  <c r="AF79" i="55" s="1"/>
  <c r="AF80" i="55" s="1"/>
  <c r="AE87" i="55"/>
  <c r="AE88" i="55" s="1"/>
  <c r="AD5" i="55"/>
  <c r="AE77" i="55"/>
  <c r="AE79" i="55" s="1"/>
  <c r="AW234" i="55" s="1"/>
  <c r="AD77" i="55"/>
  <c r="AD79" i="55" s="1"/>
  <c r="AC87" i="55"/>
  <c r="AC88" i="55" s="1"/>
  <c r="AC77" i="55"/>
  <c r="AC79" i="55" s="1"/>
  <c r="AC7" i="55" s="1"/>
  <c r="AB77" i="55"/>
  <c r="AB79" i="55" s="1"/>
  <c r="AB7" i="55" s="1"/>
  <c r="AA87" i="55"/>
  <c r="AA88" i="55"/>
  <c r="AA77" i="55"/>
  <c r="AA79" i="55" s="1"/>
  <c r="AA80" i="55" s="1"/>
  <c r="Z87" i="55"/>
  <c r="Z88" i="55" s="1"/>
  <c r="Y5" i="55"/>
  <c r="Z77" i="55"/>
  <c r="Z79" i="55" s="1"/>
  <c r="Z7" i="55" s="1"/>
  <c r="X87" i="55"/>
  <c r="X88" i="55" s="1"/>
  <c r="Y87" i="55"/>
  <c r="W5" i="55"/>
  <c r="Y77" i="55"/>
  <c r="Y79" i="55" s="1"/>
  <c r="Y80" i="55" s="1"/>
  <c r="X77" i="55"/>
  <c r="X79" i="55" s="1"/>
  <c r="X7" i="55" s="1"/>
  <c r="W87" i="55"/>
  <c r="W88" i="55" s="1"/>
  <c r="V5" i="55"/>
  <c r="W77" i="55"/>
  <c r="W79" i="55" s="1"/>
  <c r="AO234" i="55" s="1"/>
  <c r="V77" i="55"/>
  <c r="V79" i="55" s="1"/>
  <c r="U88" i="55"/>
  <c r="U77" i="55"/>
  <c r="U79" i="55" s="1"/>
  <c r="AM234" i="55" s="1"/>
  <c r="T87" i="55"/>
  <c r="T77" i="55"/>
  <c r="T79" i="55" s="1"/>
  <c r="T7" i="55" s="1"/>
  <c r="S87" i="55"/>
  <c r="S88" i="55"/>
  <c r="S77" i="55"/>
  <c r="S79" i="55" s="1"/>
  <c r="S80" i="55" s="1"/>
  <c r="R87" i="55"/>
  <c r="R88" i="55" s="1"/>
  <c r="Q5" i="55"/>
  <c r="R77" i="55"/>
  <c r="R79" i="55" s="1"/>
  <c r="Q77" i="55"/>
  <c r="Q79" i="55" s="1"/>
  <c r="P87" i="55"/>
  <c r="P88" i="55" s="1"/>
  <c r="O5" i="55"/>
  <c r="P77" i="55"/>
  <c r="P79" i="55" s="1"/>
  <c r="AH82" i="55"/>
  <c r="O87" i="55"/>
  <c r="O88" i="55" s="1"/>
  <c r="N5" i="55"/>
  <c r="O77" i="55"/>
  <c r="O79" i="55" s="1"/>
  <c r="N87" i="55"/>
  <c r="N77" i="55"/>
  <c r="N79" i="55" s="1"/>
  <c r="M87" i="55"/>
  <c r="M88" i="55"/>
  <c r="M77" i="55"/>
  <c r="M79" i="55" s="1"/>
  <c r="M80" i="55" s="1"/>
  <c r="L87" i="55"/>
  <c r="K87" i="55"/>
  <c r="K88" i="55" s="1"/>
  <c r="L77" i="55"/>
  <c r="L79" i="55" s="1"/>
  <c r="L80" i="55" s="1"/>
  <c r="K77" i="55"/>
  <c r="K79" i="55" s="1"/>
  <c r="AC234" i="55" s="1"/>
  <c r="J87" i="55"/>
  <c r="J88" i="55" s="1"/>
  <c r="J77" i="55"/>
  <c r="J79" i="55" s="1"/>
  <c r="J80" i="55" s="1"/>
  <c r="I87" i="55"/>
  <c r="I77" i="55"/>
  <c r="I79" i="55" s="1"/>
  <c r="I7" i="55" s="1"/>
  <c r="H87" i="55"/>
  <c r="H88" i="55" s="1"/>
  <c r="G5" i="55"/>
  <c r="H77" i="55"/>
  <c r="H79" i="55" s="1"/>
  <c r="H80" i="55" s="1"/>
  <c r="AI81" i="55"/>
  <c r="G88" i="55"/>
  <c r="F5" i="55"/>
  <c r="AI60" i="55"/>
  <c r="G77" i="55"/>
  <c r="G79" i="55" s="1"/>
  <c r="G80" i="55" s="1"/>
  <c r="F87" i="55"/>
  <c r="F77" i="55"/>
  <c r="F79" i="55" s="1"/>
  <c r="AI42" i="55"/>
  <c r="AI84" i="55"/>
  <c r="E87" i="55"/>
  <c r="E88" i="55" s="1"/>
  <c r="E77" i="55"/>
  <c r="E79" i="55" s="1"/>
  <c r="E7" i="55" s="1"/>
  <c r="AI83" i="55"/>
  <c r="D87" i="55"/>
  <c r="AI72" i="55"/>
  <c r="AI85" i="55"/>
  <c r="AI56" i="55"/>
  <c r="D77" i="55"/>
  <c r="D79" i="55" s="1"/>
  <c r="D80" i="55" s="1"/>
  <c r="B5" i="55"/>
  <c r="AH60" i="55"/>
  <c r="AH56" i="55"/>
  <c r="AH42" i="55"/>
  <c r="AH85" i="55"/>
  <c r="H4" i="55"/>
  <c r="L7" i="55"/>
  <c r="AD234" i="55"/>
  <c r="U7" i="55"/>
  <c r="X234" i="55"/>
  <c r="F80" i="55"/>
  <c r="F7" i="55"/>
  <c r="AF234" i="55"/>
  <c r="N80" i="55"/>
  <c r="N7" i="55"/>
  <c r="AN234" i="55"/>
  <c r="V80" i="55"/>
  <c r="V7" i="55"/>
  <c r="AV234" i="55"/>
  <c r="AD80" i="55"/>
  <c r="AD7" i="55"/>
  <c r="I88" i="55"/>
  <c r="Q88" i="55"/>
  <c r="Y88" i="55"/>
  <c r="AG234" i="55"/>
  <c r="O80" i="55"/>
  <c r="O7" i="55"/>
  <c r="AC80" i="55"/>
  <c r="P80" i="55"/>
  <c r="AH234" i="55"/>
  <c r="P7" i="55"/>
  <c r="Q80" i="55"/>
  <c r="Q7" i="55"/>
  <c r="AI234" i="55"/>
  <c r="AL234" i="55"/>
  <c r="T80" i="55"/>
  <c r="I80" i="55"/>
  <c r="R80" i="55"/>
  <c r="R7" i="55"/>
  <c r="AJ234" i="55"/>
  <c r="Z80" i="55"/>
  <c r="AR234" i="55"/>
  <c r="C7" i="55"/>
  <c r="S7" i="55"/>
  <c r="AK234" i="55"/>
  <c r="AA7" i="55"/>
  <c r="AS234" i="55"/>
  <c r="AG77" i="55"/>
  <c r="AI82" i="55"/>
  <c r="AH83" i="55"/>
  <c r="D231" i="55"/>
  <c r="AH38" i="55"/>
  <c r="AH84" i="55"/>
  <c r="D88" i="55"/>
  <c r="L88" i="55"/>
  <c r="T88" i="55"/>
  <c r="AB88" i="55"/>
  <c r="AI38" i="55"/>
  <c r="F88" i="55"/>
  <c r="N88" i="55"/>
  <c r="V88" i="55"/>
  <c r="AD88" i="55"/>
  <c r="E214" i="55"/>
  <c r="G219" i="55"/>
  <c r="D98" i="55"/>
  <c r="AH72" i="55"/>
  <c r="AH81" i="55"/>
  <c r="Q100" i="54"/>
  <c r="Q37" i="54"/>
  <c r="P100" i="54"/>
  <c r="P37" i="54"/>
  <c r="O100" i="54"/>
  <c r="O37" i="54"/>
  <c r="N100" i="54"/>
  <c r="N37" i="54"/>
  <c r="M100" i="54"/>
  <c r="M37" i="54"/>
  <c r="L37" i="54"/>
  <c r="K37" i="54"/>
  <c r="J37" i="54"/>
  <c r="I37" i="54"/>
  <c r="H37" i="54"/>
  <c r="G37" i="54"/>
  <c r="F37" i="54"/>
  <c r="E37" i="54"/>
  <c r="D100" i="54"/>
  <c r="D99" i="54"/>
  <c r="D37" i="54"/>
  <c r="C100" i="54"/>
  <c r="AI110" i="54"/>
  <c r="AI109" i="54"/>
  <c r="C37" i="54"/>
  <c r="B100" i="54"/>
  <c r="B99" i="54"/>
  <c r="B37" i="54"/>
  <c r="B98" i="54"/>
  <c r="B85" i="54"/>
  <c r="B84" i="54"/>
  <c r="B83" i="54"/>
  <c r="B82" i="54"/>
  <c r="B81" i="54"/>
  <c r="B72" i="54"/>
  <c r="B60" i="54"/>
  <c r="B56" i="54"/>
  <c r="B42" i="54"/>
  <c r="B38" i="54"/>
  <c r="AF259" i="54"/>
  <c r="AE259" i="54"/>
  <c r="AD259" i="54"/>
  <c r="AC259" i="54"/>
  <c r="AB259" i="54"/>
  <c r="AA259" i="54"/>
  <c r="Z259" i="54"/>
  <c r="Y259" i="54"/>
  <c r="X259" i="54"/>
  <c r="W259" i="54"/>
  <c r="V259" i="54"/>
  <c r="U259" i="54"/>
  <c r="T259" i="54"/>
  <c r="S259" i="54"/>
  <c r="R259" i="54"/>
  <c r="Q259" i="54"/>
  <c r="P259" i="54"/>
  <c r="O259" i="54"/>
  <c r="N259" i="54"/>
  <c r="M259" i="54"/>
  <c r="L259" i="54"/>
  <c r="K259" i="54"/>
  <c r="J259" i="54"/>
  <c r="I259" i="54"/>
  <c r="H259" i="54"/>
  <c r="G259" i="54"/>
  <c r="F259" i="54"/>
  <c r="E259" i="54"/>
  <c r="D259" i="54"/>
  <c r="C259" i="54"/>
  <c r="B259" i="54"/>
  <c r="A259" i="54"/>
  <c r="AF258" i="54"/>
  <c r="AE258" i="54"/>
  <c r="AD258" i="54"/>
  <c r="AC258" i="54"/>
  <c r="AB258" i="54"/>
  <c r="AA258" i="54"/>
  <c r="Z258" i="54"/>
  <c r="Y258" i="54"/>
  <c r="X258" i="54"/>
  <c r="W258" i="54"/>
  <c r="V258" i="54"/>
  <c r="U258" i="54"/>
  <c r="T258" i="54"/>
  <c r="S258" i="54"/>
  <c r="R258" i="54"/>
  <c r="Q258" i="54"/>
  <c r="P258" i="54"/>
  <c r="O258" i="54"/>
  <c r="N258" i="54"/>
  <c r="M258" i="54"/>
  <c r="L258" i="54"/>
  <c r="K258" i="54"/>
  <c r="J258" i="54"/>
  <c r="I258" i="54"/>
  <c r="H258" i="54"/>
  <c r="G258" i="54"/>
  <c r="F258" i="54"/>
  <c r="E258" i="54"/>
  <c r="D258" i="54"/>
  <c r="C258" i="54"/>
  <c r="B258" i="54"/>
  <c r="A258" i="54"/>
  <c r="AF257" i="54"/>
  <c r="AE257" i="54"/>
  <c r="AD257" i="54"/>
  <c r="AC257" i="54"/>
  <c r="AB257" i="54"/>
  <c r="AA257" i="54"/>
  <c r="Z257" i="54"/>
  <c r="Y257" i="54"/>
  <c r="X257" i="54"/>
  <c r="W257" i="54"/>
  <c r="V257" i="54"/>
  <c r="U257" i="54"/>
  <c r="T257" i="54"/>
  <c r="S257" i="54"/>
  <c r="R257" i="54"/>
  <c r="Q257" i="54"/>
  <c r="P257" i="54"/>
  <c r="O257" i="54"/>
  <c r="N257" i="54"/>
  <c r="M257" i="54"/>
  <c r="L257" i="54"/>
  <c r="K257" i="54"/>
  <c r="J257" i="54"/>
  <c r="I257" i="54"/>
  <c r="H257" i="54"/>
  <c r="G257" i="54"/>
  <c r="F257" i="54"/>
  <c r="E257" i="54"/>
  <c r="D257" i="54"/>
  <c r="C257" i="54"/>
  <c r="B257" i="54"/>
  <c r="A257" i="54"/>
  <c r="AF256" i="54"/>
  <c r="AE256" i="54"/>
  <c r="AD256" i="54"/>
  <c r="AC256" i="54"/>
  <c r="AB256" i="54"/>
  <c r="AA256" i="54"/>
  <c r="Z256" i="54"/>
  <c r="Y256" i="54"/>
  <c r="X256" i="54"/>
  <c r="W256" i="54"/>
  <c r="V256" i="54"/>
  <c r="U256" i="54"/>
  <c r="T256" i="54"/>
  <c r="S256" i="54"/>
  <c r="R256" i="54"/>
  <c r="Q256" i="54"/>
  <c r="P256" i="54"/>
  <c r="O256" i="54"/>
  <c r="N256" i="54"/>
  <c r="M256" i="54"/>
  <c r="L256" i="54"/>
  <c r="K256" i="54"/>
  <c r="J256" i="54"/>
  <c r="I256" i="54"/>
  <c r="H256" i="54"/>
  <c r="G256" i="54"/>
  <c r="F256" i="54"/>
  <c r="E256" i="54"/>
  <c r="D256" i="54"/>
  <c r="C256" i="54"/>
  <c r="B256" i="54"/>
  <c r="A256" i="54"/>
  <c r="AE255" i="54"/>
  <c r="AD255" i="54"/>
  <c r="AC255" i="54"/>
  <c r="AB255" i="54"/>
  <c r="AA255" i="54"/>
  <c r="Z255" i="54"/>
  <c r="Y255" i="54"/>
  <c r="X255" i="54"/>
  <c r="W255" i="54"/>
  <c r="V255" i="54"/>
  <c r="U255" i="54"/>
  <c r="T255" i="54"/>
  <c r="S255" i="54"/>
  <c r="R255" i="54"/>
  <c r="Q255" i="54"/>
  <c r="P255" i="54"/>
  <c r="E255" i="54"/>
  <c r="D255" i="54"/>
  <c r="C255" i="54"/>
  <c r="B255" i="54"/>
  <c r="S230" i="54"/>
  <c r="AG220" i="54"/>
  <c r="AG55" i="54" s="1"/>
  <c r="AG56" i="54" s="1"/>
  <c r="AF220" i="54"/>
  <c r="AE220" i="54"/>
  <c r="AD220" i="54"/>
  <c r="AC220" i="54"/>
  <c r="AB220" i="54"/>
  <c r="AA220" i="54"/>
  <c r="Z220" i="54"/>
  <c r="Y220" i="54"/>
  <c r="X220" i="54"/>
  <c r="W220" i="54"/>
  <c r="V220" i="54"/>
  <c r="U220" i="54"/>
  <c r="T220" i="54"/>
  <c r="S220" i="54"/>
  <c r="R220" i="54"/>
  <c r="Q220" i="54"/>
  <c r="C220" i="54"/>
  <c r="F219" i="54"/>
  <c r="G219" i="54" s="1"/>
  <c r="E219" i="54"/>
  <c r="D219" i="54"/>
  <c r="B219" i="54"/>
  <c r="AF255" i="54" s="1"/>
  <c r="D218" i="54"/>
  <c r="E218" i="54" s="1"/>
  <c r="F218" i="54" s="1"/>
  <c r="G218" i="54" s="1"/>
  <c r="H218" i="54" s="1"/>
  <c r="I218" i="54" s="1"/>
  <c r="J218" i="54" s="1"/>
  <c r="K218" i="54" s="1"/>
  <c r="L218" i="54" s="1"/>
  <c r="M218" i="54" s="1"/>
  <c r="N218" i="54" s="1"/>
  <c r="O218" i="54" s="1"/>
  <c r="P218" i="54" s="1"/>
  <c r="B218" i="54"/>
  <c r="D217" i="54"/>
  <c r="E217" i="54" s="1"/>
  <c r="F217" i="54" s="1"/>
  <c r="G217" i="54" s="1"/>
  <c r="H217" i="54" s="1"/>
  <c r="I217" i="54" s="1"/>
  <c r="J217" i="54" s="1"/>
  <c r="K217" i="54" s="1"/>
  <c r="L217" i="54" s="1"/>
  <c r="M217" i="54" s="1"/>
  <c r="N217" i="54" s="1"/>
  <c r="O217" i="54" s="1"/>
  <c r="P217" i="54" s="1"/>
  <c r="B217" i="54"/>
  <c r="H216" i="54"/>
  <c r="I216" i="54" s="1"/>
  <c r="J216" i="54" s="1"/>
  <c r="K216" i="54" s="1"/>
  <c r="L216" i="54" s="1"/>
  <c r="M216" i="54" s="1"/>
  <c r="N216" i="54" s="1"/>
  <c r="O216" i="54" s="1"/>
  <c r="P216" i="54" s="1"/>
  <c r="G216" i="54"/>
  <c r="F216" i="54"/>
  <c r="E216" i="54"/>
  <c r="D216" i="54"/>
  <c r="B216" i="54"/>
  <c r="F215" i="54"/>
  <c r="G215" i="54" s="1"/>
  <c r="H215" i="54" s="1"/>
  <c r="I215" i="54" s="1"/>
  <c r="J215" i="54" s="1"/>
  <c r="K215" i="54" s="1"/>
  <c r="L215" i="54" s="1"/>
  <c r="M215" i="54" s="1"/>
  <c r="N215" i="54" s="1"/>
  <c r="O215" i="54" s="1"/>
  <c r="P215" i="54" s="1"/>
  <c r="E215" i="54"/>
  <c r="D215" i="54"/>
  <c r="B215" i="54"/>
  <c r="D214" i="54"/>
  <c r="D220" i="54" s="1"/>
  <c r="B214" i="54"/>
  <c r="B220" i="54" s="1"/>
  <c r="AG212" i="54"/>
  <c r="AF212" i="54"/>
  <c r="AE212" i="54"/>
  <c r="AD212" i="54"/>
  <c r="AC212" i="54"/>
  <c r="AB212" i="54"/>
  <c r="AA212" i="54"/>
  <c r="Z212" i="54"/>
  <c r="Y212" i="54"/>
  <c r="X212" i="54"/>
  <c r="W212" i="54"/>
  <c r="V212" i="54"/>
  <c r="U212" i="54"/>
  <c r="T212" i="54"/>
  <c r="S212" i="54"/>
  <c r="R212" i="54"/>
  <c r="Q212" i="54"/>
  <c r="P212" i="54"/>
  <c r="O212" i="54"/>
  <c r="N212" i="54"/>
  <c r="M212" i="54"/>
  <c r="L212" i="54"/>
  <c r="K212" i="54"/>
  <c r="J212" i="54"/>
  <c r="I212" i="54"/>
  <c r="H212" i="54"/>
  <c r="G212" i="54"/>
  <c r="F212" i="54"/>
  <c r="E212" i="54"/>
  <c r="D212" i="54"/>
  <c r="C212" i="54"/>
  <c r="B212" i="54"/>
  <c r="AH105" i="54"/>
  <c r="AI105" i="54" s="1"/>
  <c r="AH104" i="54"/>
  <c r="AI104" i="54" s="1"/>
  <c r="AH103" i="54"/>
  <c r="AI103" i="54" s="1"/>
  <c r="AH102" i="54"/>
  <c r="AI102" i="54" s="1"/>
  <c r="AH101" i="54"/>
  <c r="AI101" i="54" s="1"/>
  <c r="AH100" i="54"/>
  <c r="AI100" i="54" s="1"/>
  <c r="AH99" i="54"/>
  <c r="AI99" i="54" s="1"/>
  <c r="AF98" i="54"/>
  <c r="AE98" i="54"/>
  <c r="AD98" i="54"/>
  <c r="AC98" i="54"/>
  <c r="AB98" i="54"/>
  <c r="AA98" i="54"/>
  <c r="Z98" i="54"/>
  <c r="Y98" i="54"/>
  <c r="X98" i="54"/>
  <c r="W98" i="54"/>
  <c r="V98" i="54"/>
  <c r="U98" i="54"/>
  <c r="T98" i="54"/>
  <c r="S98" i="54"/>
  <c r="R98" i="54"/>
  <c r="Q98" i="54"/>
  <c r="D98" i="54"/>
  <c r="C98" i="54"/>
  <c r="AI97" i="54"/>
  <c r="AH97" i="54"/>
  <c r="AI96" i="54"/>
  <c r="AH96" i="54"/>
  <c r="AI95" i="54"/>
  <c r="AH95" i="54"/>
  <c r="AI94" i="54"/>
  <c r="AH94" i="54"/>
  <c r="AI93" i="54"/>
  <c r="AH93" i="54"/>
  <c r="AI92" i="54"/>
  <c r="AH92" i="54"/>
  <c r="AI91" i="54"/>
  <c r="AH91" i="54"/>
  <c r="AI90" i="54"/>
  <c r="AH90" i="54"/>
  <c r="AI89" i="54"/>
  <c r="AH89" i="54"/>
  <c r="AI86" i="54"/>
  <c r="AH86" i="54"/>
  <c r="AF85" i="54"/>
  <c r="AE85" i="54"/>
  <c r="AD85" i="54"/>
  <c r="AC85" i="54"/>
  <c r="AB85" i="54"/>
  <c r="AA85" i="54"/>
  <c r="Z85" i="54"/>
  <c r="Y85" i="54"/>
  <c r="X85" i="54"/>
  <c r="W85" i="54"/>
  <c r="V85" i="54"/>
  <c r="U85" i="54"/>
  <c r="T85" i="54"/>
  <c r="S85" i="54"/>
  <c r="R85" i="54"/>
  <c r="Q85" i="54"/>
  <c r="P85" i="54"/>
  <c r="O85" i="54"/>
  <c r="N85" i="54"/>
  <c r="M85" i="54"/>
  <c r="L85" i="54"/>
  <c r="K85" i="54"/>
  <c r="J85" i="54"/>
  <c r="I85" i="54"/>
  <c r="H85" i="54"/>
  <c r="G85" i="54"/>
  <c r="F85" i="54"/>
  <c r="E85" i="54"/>
  <c r="D85" i="54"/>
  <c r="C85" i="54"/>
  <c r="AF84" i="54"/>
  <c r="AE84" i="54"/>
  <c r="AD84" i="54"/>
  <c r="AC84" i="54"/>
  <c r="AB84" i="54"/>
  <c r="AA84" i="54"/>
  <c r="Z84" i="54"/>
  <c r="Y84" i="54"/>
  <c r="X84" i="54"/>
  <c r="W84" i="54"/>
  <c r="V84" i="54"/>
  <c r="U84" i="54"/>
  <c r="T84" i="54"/>
  <c r="S84" i="54"/>
  <c r="R84" i="54"/>
  <c r="Q84" i="54"/>
  <c r="P84" i="54"/>
  <c r="O84" i="54"/>
  <c r="N84" i="54"/>
  <c r="M84" i="54"/>
  <c r="L84" i="54"/>
  <c r="K84" i="54"/>
  <c r="J84" i="54"/>
  <c r="I84" i="54"/>
  <c r="H84" i="54"/>
  <c r="G84" i="54"/>
  <c r="F84" i="54"/>
  <c r="E84" i="54"/>
  <c r="D84" i="54"/>
  <c r="C84" i="54"/>
  <c r="AF83" i="54"/>
  <c r="AE83" i="54"/>
  <c r="AD83" i="54"/>
  <c r="AC83" i="54"/>
  <c r="AB83" i="54"/>
  <c r="AA83" i="54"/>
  <c r="Z83" i="54"/>
  <c r="Y83" i="54"/>
  <c r="X83" i="54"/>
  <c r="W83" i="54"/>
  <c r="V83" i="54"/>
  <c r="U83" i="54"/>
  <c r="T83" i="54"/>
  <c r="S83" i="54"/>
  <c r="R83" i="54"/>
  <c r="Q83" i="54"/>
  <c r="P83" i="54"/>
  <c r="O83" i="54"/>
  <c r="N83" i="54"/>
  <c r="M83" i="54"/>
  <c r="L83" i="54"/>
  <c r="K83" i="54"/>
  <c r="J83" i="54"/>
  <c r="I83" i="54"/>
  <c r="H83" i="54"/>
  <c r="G83" i="54"/>
  <c r="F83" i="54"/>
  <c r="E83" i="54"/>
  <c r="D83" i="54"/>
  <c r="C83" i="54"/>
  <c r="AF82" i="54"/>
  <c r="AE82" i="54"/>
  <c r="AD82" i="54"/>
  <c r="AC82" i="54"/>
  <c r="AB82" i="54"/>
  <c r="AA82" i="54"/>
  <c r="Z82" i="54"/>
  <c r="Y82" i="54"/>
  <c r="X82" i="54"/>
  <c r="W82" i="54"/>
  <c r="V82" i="54"/>
  <c r="U82" i="54"/>
  <c r="T82" i="54"/>
  <c r="S82" i="54"/>
  <c r="R82" i="54"/>
  <c r="Q82" i="54"/>
  <c r="P82" i="54"/>
  <c r="O82" i="54"/>
  <c r="N82" i="54"/>
  <c r="M82" i="54"/>
  <c r="L82" i="54"/>
  <c r="K82" i="54"/>
  <c r="J82" i="54"/>
  <c r="I82" i="54"/>
  <c r="H82" i="54"/>
  <c r="G82" i="54"/>
  <c r="F82" i="54"/>
  <c r="E82" i="54"/>
  <c r="D82" i="54"/>
  <c r="C82" i="54"/>
  <c r="AF81" i="54"/>
  <c r="AF87" i="54" s="1"/>
  <c r="AE81" i="54"/>
  <c r="AE87" i="54" s="1"/>
  <c r="AD81" i="54"/>
  <c r="AC81" i="54"/>
  <c r="AB81" i="54"/>
  <c r="AA81" i="54"/>
  <c r="Z81" i="54"/>
  <c r="Z87" i="54" s="1"/>
  <c r="Y81" i="54"/>
  <c r="X81" i="54"/>
  <c r="W81" i="54"/>
  <c r="V81" i="54"/>
  <c r="U81" i="54"/>
  <c r="T81" i="54"/>
  <c r="S81" i="54"/>
  <c r="S87" i="54" s="1"/>
  <c r="R81" i="54"/>
  <c r="Q81" i="54"/>
  <c r="Q87" i="54" s="1"/>
  <c r="P81" i="54"/>
  <c r="P87" i="54" s="1"/>
  <c r="O81" i="54"/>
  <c r="N81" i="54"/>
  <c r="M81" i="54"/>
  <c r="L81" i="54"/>
  <c r="K81" i="54"/>
  <c r="J81" i="54"/>
  <c r="I81" i="54"/>
  <c r="H81" i="54"/>
  <c r="G81" i="54"/>
  <c r="G87" i="54" s="1"/>
  <c r="F81" i="54"/>
  <c r="E81" i="54"/>
  <c r="D81" i="54"/>
  <c r="C81" i="54"/>
  <c r="AI78" i="54"/>
  <c r="AH78" i="54"/>
  <c r="AI76" i="54"/>
  <c r="AH76" i="54"/>
  <c r="AG76" i="54"/>
  <c r="AI75" i="54"/>
  <c r="AH75" i="54"/>
  <c r="AI74" i="54"/>
  <c r="AH74" i="54"/>
  <c r="AI73" i="54"/>
  <c r="AH73" i="54"/>
  <c r="AG72" i="54"/>
  <c r="AF72" i="54"/>
  <c r="AE5" i="54" s="1"/>
  <c r="AE72" i="54"/>
  <c r="AD5" i="54" s="1"/>
  <c r="AD72" i="54"/>
  <c r="AC5" i="54" s="1"/>
  <c r="AC72" i="54"/>
  <c r="AB5" i="54" s="1"/>
  <c r="AB72" i="54"/>
  <c r="AA5" i="54" s="1"/>
  <c r="AA72" i="54"/>
  <c r="Z5" i="54" s="1"/>
  <c r="Z72" i="54"/>
  <c r="Y5" i="54" s="1"/>
  <c r="Y72" i="54"/>
  <c r="X5" i="54" s="1"/>
  <c r="X72" i="54"/>
  <c r="W5" i="54" s="1"/>
  <c r="W72" i="54"/>
  <c r="V5" i="54" s="1"/>
  <c r="V72" i="54"/>
  <c r="U5" i="54" s="1"/>
  <c r="U72" i="54"/>
  <c r="T72" i="54"/>
  <c r="S5" i="54" s="1"/>
  <c r="S72" i="54"/>
  <c r="R5" i="54" s="1"/>
  <c r="R72" i="54"/>
  <c r="Q5" i="54" s="1"/>
  <c r="Q72" i="54"/>
  <c r="P72" i="54"/>
  <c r="O5" i="54" s="1"/>
  <c r="O72" i="54"/>
  <c r="N5" i="54" s="1"/>
  <c r="N72" i="54"/>
  <c r="M5" i="54" s="1"/>
  <c r="M72" i="54"/>
  <c r="L5" i="54" s="1"/>
  <c r="L72" i="54"/>
  <c r="K5" i="54" s="1"/>
  <c r="K72" i="54"/>
  <c r="J5" i="54" s="1"/>
  <c r="J72" i="54"/>
  <c r="I5" i="54" s="1"/>
  <c r="I72" i="54"/>
  <c r="H5" i="54" s="1"/>
  <c r="H72" i="54"/>
  <c r="G5" i="54" s="1"/>
  <c r="G72" i="54"/>
  <c r="F5" i="54" s="1"/>
  <c r="F72" i="54"/>
  <c r="E5" i="54" s="1"/>
  <c r="E72" i="54"/>
  <c r="D5" i="54" s="1"/>
  <c r="D72" i="54"/>
  <c r="C5" i="54" s="1"/>
  <c r="C72" i="54"/>
  <c r="B5" i="54" s="1"/>
  <c r="AI71" i="54"/>
  <c r="AH71" i="54"/>
  <c r="AI70" i="54"/>
  <c r="AH70" i="54"/>
  <c r="AI69" i="54"/>
  <c r="AH69" i="54"/>
  <c r="AI68" i="54"/>
  <c r="AH68" i="54"/>
  <c r="AI67" i="54"/>
  <c r="AH67" i="54"/>
  <c r="AI66" i="54"/>
  <c r="AH66" i="54"/>
  <c r="AI65" i="54"/>
  <c r="AH65" i="54"/>
  <c r="AI64" i="54"/>
  <c r="AH64" i="54"/>
  <c r="AI63" i="54"/>
  <c r="AH63" i="54"/>
  <c r="AI62" i="54"/>
  <c r="AH62" i="54"/>
  <c r="AI61" i="54"/>
  <c r="AH61" i="54"/>
  <c r="AG60" i="54"/>
  <c r="AF60" i="54"/>
  <c r="AE60" i="54"/>
  <c r="AD60" i="54"/>
  <c r="AC60" i="54"/>
  <c r="AB60" i="54"/>
  <c r="AA60" i="54"/>
  <c r="Z60" i="54"/>
  <c r="Y60" i="54"/>
  <c r="X60" i="54"/>
  <c r="W60" i="54"/>
  <c r="V60" i="54"/>
  <c r="U60" i="54"/>
  <c r="T60" i="54"/>
  <c r="S60" i="54"/>
  <c r="R60" i="54"/>
  <c r="Q60" i="54"/>
  <c r="P60" i="54"/>
  <c r="O60" i="54"/>
  <c r="N60" i="54"/>
  <c r="M60" i="54"/>
  <c r="L60" i="54"/>
  <c r="K60" i="54"/>
  <c r="J60" i="54"/>
  <c r="I60" i="54"/>
  <c r="H60" i="54"/>
  <c r="G60" i="54"/>
  <c r="F60" i="54"/>
  <c r="E60" i="54"/>
  <c r="D60" i="54"/>
  <c r="C60" i="54"/>
  <c r="AI59" i="54"/>
  <c r="AH59" i="54"/>
  <c r="AI58" i="54"/>
  <c r="AH58" i="54"/>
  <c r="AI57" i="54"/>
  <c r="AH57" i="54"/>
  <c r="AF56" i="54"/>
  <c r="AE56" i="54"/>
  <c r="AD56" i="54"/>
  <c r="AC56" i="54"/>
  <c r="AB56" i="54"/>
  <c r="AA56" i="54"/>
  <c r="Z56" i="54"/>
  <c r="Y56" i="54"/>
  <c r="X56" i="54"/>
  <c r="W56" i="54"/>
  <c r="V56" i="54"/>
  <c r="U56" i="54"/>
  <c r="T56" i="54"/>
  <c r="S56" i="54"/>
  <c r="R56" i="54"/>
  <c r="Q56" i="54"/>
  <c r="P56" i="54"/>
  <c r="O56" i="54"/>
  <c r="N56" i="54"/>
  <c r="M56" i="54"/>
  <c r="L56" i="54"/>
  <c r="K56" i="54"/>
  <c r="J56" i="54"/>
  <c r="I56" i="54"/>
  <c r="H56" i="54"/>
  <c r="G56" i="54"/>
  <c r="F56" i="54"/>
  <c r="E56" i="54"/>
  <c r="D56" i="54"/>
  <c r="C56" i="54"/>
  <c r="AI55" i="54"/>
  <c r="AH55" i="54"/>
  <c r="AI54" i="54"/>
  <c r="AH54" i="54"/>
  <c r="AI53" i="54"/>
  <c r="AH53" i="54"/>
  <c r="AI52" i="54"/>
  <c r="AH52" i="54"/>
  <c r="AI51" i="54"/>
  <c r="AH51" i="54"/>
  <c r="AI50" i="54"/>
  <c r="AH50" i="54"/>
  <c r="AI49" i="54"/>
  <c r="AH49" i="54"/>
  <c r="AI48" i="54"/>
  <c r="AH48" i="54"/>
  <c r="AI47" i="54"/>
  <c r="AH47" i="54"/>
  <c r="AI46" i="54"/>
  <c r="AH46" i="54"/>
  <c r="AI45" i="54"/>
  <c r="AH45" i="54"/>
  <c r="AI44" i="54"/>
  <c r="AH44" i="54"/>
  <c r="AI43" i="54"/>
  <c r="AH43" i="54"/>
  <c r="AG42" i="54"/>
  <c r="AF42" i="54"/>
  <c r="AE42" i="54"/>
  <c r="AD42" i="54"/>
  <c r="AC42" i="54"/>
  <c r="AB42" i="54"/>
  <c r="AA42" i="54"/>
  <c r="Z42" i="54"/>
  <c r="Y42" i="54"/>
  <c r="X42" i="54"/>
  <c r="W42" i="54"/>
  <c r="V42" i="54"/>
  <c r="U42" i="54"/>
  <c r="T42" i="54"/>
  <c r="S42" i="54"/>
  <c r="R42" i="54"/>
  <c r="Q42" i="54"/>
  <c r="P42" i="54"/>
  <c r="O42" i="54"/>
  <c r="N42" i="54"/>
  <c r="M42" i="54"/>
  <c r="L42" i="54"/>
  <c r="K42" i="54"/>
  <c r="J42" i="54"/>
  <c r="I42" i="54"/>
  <c r="H42" i="54"/>
  <c r="G42" i="54"/>
  <c r="F42" i="54"/>
  <c r="E42" i="54"/>
  <c r="D42" i="54"/>
  <c r="C42" i="54"/>
  <c r="AI41" i="54"/>
  <c r="AH41" i="54"/>
  <c r="AI40" i="54"/>
  <c r="AH40" i="54"/>
  <c r="AI39" i="54"/>
  <c r="AH39" i="54"/>
  <c r="AG38" i="54"/>
  <c r="AG77" i="54" s="1"/>
  <c r="AF38" i="54"/>
  <c r="AE38" i="54"/>
  <c r="AD38" i="54"/>
  <c r="AC38" i="54"/>
  <c r="AB38" i="54"/>
  <c r="AA38" i="54"/>
  <c r="Z38" i="54"/>
  <c r="Y38" i="54"/>
  <c r="X38" i="54"/>
  <c r="W38" i="54"/>
  <c r="V38" i="54"/>
  <c r="U38" i="54"/>
  <c r="T38" i="54"/>
  <c r="S38" i="54"/>
  <c r="R38" i="54"/>
  <c r="Q38" i="54"/>
  <c r="Q77" i="54" s="1"/>
  <c r="Q79" i="54" s="1"/>
  <c r="P38" i="54"/>
  <c r="O38" i="54"/>
  <c r="N38" i="54"/>
  <c r="M38" i="54"/>
  <c r="L38" i="54"/>
  <c r="K38" i="54"/>
  <c r="J38" i="54"/>
  <c r="I38" i="54"/>
  <c r="H38" i="54"/>
  <c r="G38" i="54"/>
  <c r="F38" i="54"/>
  <c r="E38" i="54"/>
  <c r="D38" i="54"/>
  <c r="C38" i="54"/>
  <c r="AI36" i="54"/>
  <c r="AH36" i="54"/>
  <c r="AI35" i="54"/>
  <c r="AH35" i="54"/>
  <c r="AI34" i="54"/>
  <c r="AH34" i="54"/>
  <c r="AI33" i="54"/>
  <c r="AH33" i="54"/>
  <c r="AI32" i="54"/>
  <c r="AH32" i="54"/>
  <c r="AI31" i="54"/>
  <c r="AH31" i="54"/>
  <c r="AI30" i="54"/>
  <c r="AH30" i="54"/>
  <c r="AI29" i="54"/>
  <c r="AH29" i="54"/>
  <c r="AI28" i="54"/>
  <c r="AH28" i="54"/>
  <c r="AI27" i="54"/>
  <c r="AH27" i="54"/>
  <c r="AI26" i="54"/>
  <c r="AH26" i="54"/>
  <c r="AI25" i="54"/>
  <c r="AH25" i="54"/>
  <c r="AI24" i="54"/>
  <c r="AH24" i="54"/>
  <c r="AI23" i="54"/>
  <c r="AH23" i="54"/>
  <c r="AI22" i="54"/>
  <c r="AH22" i="54"/>
  <c r="AI21" i="54"/>
  <c r="AH21" i="54"/>
  <c r="AI20" i="54"/>
  <c r="AH20" i="54"/>
  <c r="AI19" i="54"/>
  <c r="AH19" i="54"/>
  <c r="AI18" i="54"/>
  <c r="AH18" i="54"/>
  <c r="AI17" i="54"/>
  <c r="AH17" i="54"/>
  <c r="AI16" i="54"/>
  <c r="AH16" i="54"/>
  <c r="AI15" i="54"/>
  <c r="AH15" i="54"/>
  <c r="AI14" i="54"/>
  <c r="AH14" i="54"/>
  <c r="AI13" i="54"/>
  <c r="AH13" i="54"/>
  <c r="AI12" i="54"/>
  <c r="AH12" i="54"/>
  <c r="AI11" i="54"/>
  <c r="AH11" i="54"/>
  <c r="T5" i="54"/>
  <c r="P5" i="54"/>
  <c r="AG4" i="54"/>
  <c r="K4" i="54"/>
  <c r="B4" i="54"/>
  <c r="S231" i="54" s="1"/>
  <c r="AG2" i="54"/>
  <c r="AF100" i="53"/>
  <c r="AF99" i="53"/>
  <c r="AF37" i="53"/>
  <c r="AE100" i="53"/>
  <c r="AE99" i="53"/>
  <c r="AE37" i="53"/>
  <c r="AD37" i="53"/>
  <c r="AC37" i="53"/>
  <c r="Z100" i="53"/>
  <c r="Z37" i="53"/>
  <c r="Y100" i="53"/>
  <c r="Y37" i="53"/>
  <c r="X100" i="53"/>
  <c r="X37" i="53"/>
  <c r="W100" i="53"/>
  <c r="W37" i="53"/>
  <c r="V100" i="53"/>
  <c r="V37" i="53"/>
  <c r="U100" i="53"/>
  <c r="U37" i="53"/>
  <c r="T100" i="53"/>
  <c r="T37" i="53"/>
  <c r="S37" i="53"/>
  <c r="R37" i="53"/>
  <c r="Q37" i="53"/>
  <c r="P37" i="53"/>
  <c r="O37" i="53"/>
  <c r="N37" i="53"/>
  <c r="M37" i="53"/>
  <c r="L37" i="53"/>
  <c r="K37" i="53"/>
  <c r="J37" i="53"/>
  <c r="E4" i="54"/>
  <c r="AX234" i="55" l="1"/>
  <c r="AF7" i="55"/>
  <c r="AE80" i="55"/>
  <c r="AE7" i="55"/>
  <c r="AU234" i="55"/>
  <c r="AB80" i="55"/>
  <c r="AT234" i="55"/>
  <c r="AP234" i="55"/>
  <c r="X80" i="55"/>
  <c r="AQ234" i="55"/>
  <c r="Y7" i="55"/>
  <c r="W7" i="55"/>
  <c r="W80" i="55"/>
  <c r="U80" i="55"/>
  <c r="AE234" i="55"/>
  <c r="M7" i="55"/>
  <c r="AA234" i="55"/>
  <c r="H7" i="55"/>
  <c r="K80" i="55"/>
  <c r="K7" i="55"/>
  <c r="AB234" i="55"/>
  <c r="J7" i="55"/>
  <c r="Z234" i="55"/>
  <c r="C229" i="55"/>
  <c r="Y234" i="55"/>
  <c r="G7" i="55"/>
  <c r="B229" i="55"/>
  <c r="W234" i="55"/>
  <c r="E80" i="55"/>
  <c r="D7" i="55"/>
  <c r="V234" i="55"/>
  <c r="U234" i="55"/>
  <c r="AH77" i="55"/>
  <c r="AI77" i="55"/>
  <c r="AI88" i="55"/>
  <c r="AH88" i="55"/>
  <c r="AI79" i="55"/>
  <c r="AH79" i="55"/>
  <c r="B7" i="55"/>
  <c r="T234" i="55"/>
  <c r="F255" i="55"/>
  <c r="H219" i="55"/>
  <c r="E98" i="55"/>
  <c r="F214" i="55"/>
  <c r="E220" i="55"/>
  <c r="AI87" i="55"/>
  <c r="AH87" i="55"/>
  <c r="AF77" i="54"/>
  <c r="AF79" i="54" s="1"/>
  <c r="AE88" i="54"/>
  <c r="AE77" i="54"/>
  <c r="AE79" i="54" s="1"/>
  <c r="AD87" i="54"/>
  <c r="AD77" i="54"/>
  <c r="AD79" i="54" s="1"/>
  <c r="AC87" i="54"/>
  <c r="AC88" i="54" s="1"/>
  <c r="AC77" i="54"/>
  <c r="AC79" i="54" s="1"/>
  <c r="AB87" i="54"/>
  <c r="AB88" i="54" s="1"/>
  <c r="AB77" i="54"/>
  <c r="AB79" i="54" s="1"/>
  <c r="AA87" i="54"/>
  <c r="AA88" i="54" s="1"/>
  <c r="AA77" i="54"/>
  <c r="AA79" i="54" s="1"/>
  <c r="Z88" i="54"/>
  <c r="Z77" i="54"/>
  <c r="Z79" i="54" s="1"/>
  <c r="Y87" i="54"/>
  <c r="Y77" i="54"/>
  <c r="Y79" i="54" s="1"/>
  <c r="W87" i="54"/>
  <c r="W88" i="54" s="1"/>
  <c r="X87" i="54"/>
  <c r="X77" i="54"/>
  <c r="X79" i="54" s="1"/>
  <c r="W77" i="54"/>
  <c r="W79" i="54" s="1"/>
  <c r="V87" i="54"/>
  <c r="V77" i="54"/>
  <c r="V79" i="54" s="1"/>
  <c r="U87" i="54"/>
  <c r="U88" i="54" s="1"/>
  <c r="U77" i="54"/>
  <c r="U79" i="54" s="1"/>
  <c r="T87" i="54"/>
  <c r="T88" i="54" s="1"/>
  <c r="T77" i="54"/>
  <c r="T79" i="54" s="1"/>
  <c r="S88" i="54"/>
  <c r="R87" i="54"/>
  <c r="R88" i="54" s="1"/>
  <c r="R77" i="54"/>
  <c r="R79" i="54" s="1"/>
  <c r="S77" i="54"/>
  <c r="S79" i="54" s="1"/>
  <c r="P77" i="54"/>
  <c r="P79" i="54" s="1"/>
  <c r="O87" i="54"/>
  <c r="O88" i="54" s="1"/>
  <c r="O77" i="54"/>
  <c r="O79" i="54" s="1"/>
  <c r="N87" i="54"/>
  <c r="N77" i="54"/>
  <c r="N79" i="54" s="1"/>
  <c r="M87" i="54"/>
  <c r="M88" i="54" s="1"/>
  <c r="M77" i="54"/>
  <c r="M79" i="54" s="1"/>
  <c r="M7" i="54" s="1"/>
  <c r="L87" i="54"/>
  <c r="L88" i="54" s="1"/>
  <c r="L77" i="54"/>
  <c r="L79" i="54" s="1"/>
  <c r="L7" i="54" s="1"/>
  <c r="AI83" i="54"/>
  <c r="K87" i="54"/>
  <c r="K88" i="54"/>
  <c r="K77" i="54"/>
  <c r="K79" i="54" s="1"/>
  <c r="K7" i="54" s="1"/>
  <c r="J87" i="54"/>
  <c r="J88" i="54"/>
  <c r="J77" i="54"/>
  <c r="J79" i="54" s="1"/>
  <c r="J80" i="54" s="1"/>
  <c r="I87" i="54"/>
  <c r="I77" i="54"/>
  <c r="I79" i="54" s="1"/>
  <c r="I7" i="54" s="1"/>
  <c r="AI81" i="54"/>
  <c r="H87" i="54"/>
  <c r="AH82" i="54"/>
  <c r="H77" i="54"/>
  <c r="H79" i="54" s="1"/>
  <c r="G88" i="54"/>
  <c r="G77" i="54"/>
  <c r="G79" i="54" s="1"/>
  <c r="AI37" i="54"/>
  <c r="F87" i="54"/>
  <c r="F88" i="54" s="1"/>
  <c r="AI42" i="54"/>
  <c r="F77" i="54"/>
  <c r="F79" i="54" s="1"/>
  <c r="X234" i="54" s="1"/>
  <c r="E87" i="54"/>
  <c r="E88" i="54" s="1"/>
  <c r="AI60" i="54"/>
  <c r="AH60" i="54"/>
  <c r="E77" i="54"/>
  <c r="E79" i="54" s="1"/>
  <c r="E80" i="54" s="1"/>
  <c r="AH85" i="54"/>
  <c r="D87" i="54"/>
  <c r="D88" i="54" s="1"/>
  <c r="D77" i="54"/>
  <c r="D79" i="54" s="1"/>
  <c r="D7" i="54" s="1"/>
  <c r="AI84" i="54"/>
  <c r="AI85" i="54"/>
  <c r="AH72" i="54"/>
  <c r="C87" i="54"/>
  <c r="C88" i="54" s="1"/>
  <c r="AH56" i="54"/>
  <c r="AH42" i="54"/>
  <c r="C77" i="54"/>
  <c r="C79" i="54" s="1"/>
  <c r="C7" i="54" s="1"/>
  <c r="AH37" i="54"/>
  <c r="B87" i="54"/>
  <c r="AF5" i="54"/>
  <c r="AI56" i="54"/>
  <c r="B77" i="54"/>
  <c r="B79" i="54" s="1"/>
  <c r="B80" i="54" s="1"/>
  <c r="B88" i="54"/>
  <c r="AI72" i="54"/>
  <c r="H4" i="54"/>
  <c r="AV234" i="54"/>
  <c r="AD80" i="54"/>
  <c r="AD7" i="54"/>
  <c r="AG6" i="54"/>
  <c r="AE234" i="54"/>
  <c r="U7" i="54"/>
  <c r="AM234" i="54"/>
  <c r="U80" i="54"/>
  <c r="AC7" i="54"/>
  <c r="AU234" i="54"/>
  <c r="AC80" i="54"/>
  <c r="F255" i="54"/>
  <c r="H219" i="54"/>
  <c r="Y234" i="54"/>
  <c r="G80" i="54"/>
  <c r="G7" i="54"/>
  <c r="AG234" i="54"/>
  <c r="O80" i="54"/>
  <c r="O7" i="54"/>
  <c r="AO234" i="54"/>
  <c r="W80" i="54"/>
  <c r="W7" i="54"/>
  <c r="AW234" i="54"/>
  <c r="AE80" i="54"/>
  <c r="AE7" i="54"/>
  <c r="AG79" i="54"/>
  <c r="AG3" i="54"/>
  <c r="AN234" i="54"/>
  <c r="V80" i="54"/>
  <c r="V7" i="54"/>
  <c r="P80" i="54"/>
  <c r="P7" i="54"/>
  <c r="AH234" i="54"/>
  <c r="X80" i="54"/>
  <c r="X7" i="54"/>
  <c r="AP234" i="54"/>
  <c r="AF80" i="54"/>
  <c r="AF7" i="54"/>
  <c r="AX234" i="54"/>
  <c r="AF234" i="54"/>
  <c r="N80" i="54"/>
  <c r="N7" i="54"/>
  <c r="Q80" i="54"/>
  <c r="Q7" i="54"/>
  <c r="AI234" i="54"/>
  <c r="I80" i="54"/>
  <c r="Y80" i="54"/>
  <c r="Y7" i="54"/>
  <c r="AQ234" i="54"/>
  <c r="R80" i="54"/>
  <c r="R7" i="54"/>
  <c r="AJ234" i="54"/>
  <c r="Z80" i="54"/>
  <c r="Z7" i="54"/>
  <c r="AR234" i="54"/>
  <c r="AC234" i="54"/>
  <c r="K80" i="54"/>
  <c r="S7" i="54"/>
  <c r="AK234" i="54"/>
  <c r="S80" i="54"/>
  <c r="AA7" i="54"/>
  <c r="AS234" i="54"/>
  <c r="AA80" i="54"/>
  <c r="L80" i="54"/>
  <c r="T7" i="54"/>
  <c r="AL234" i="54"/>
  <c r="T80" i="54"/>
  <c r="AB7" i="54"/>
  <c r="AT234" i="54"/>
  <c r="AB80" i="54"/>
  <c r="I88" i="54"/>
  <c r="Q88" i="54"/>
  <c r="Y88" i="54"/>
  <c r="AI82" i="54"/>
  <c r="AH83" i="54"/>
  <c r="D231" i="54"/>
  <c r="AH38" i="54"/>
  <c r="AH84" i="54"/>
  <c r="AI38" i="54"/>
  <c r="N88" i="54"/>
  <c r="V88" i="54"/>
  <c r="AD88" i="54"/>
  <c r="E214" i="54"/>
  <c r="H88" i="54"/>
  <c r="P88" i="54"/>
  <c r="X88" i="54"/>
  <c r="AF88" i="54"/>
  <c r="AH81" i="54"/>
  <c r="I37" i="53"/>
  <c r="H37" i="53"/>
  <c r="G37" i="53"/>
  <c r="F37" i="53"/>
  <c r="E37" i="53"/>
  <c r="D37" i="53"/>
  <c r="C37" i="53"/>
  <c r="B37" i="53"/>
  <c r="B72" i="53"/>
  <c r="AF5" i="53" s="1"/>
  <c r="B60" i="53"/>
  <c r="B56" i="53"/>
  <c r="B42" i="53"/>
  <c r="B38" i="53"/>
  <c r="AF37" i="52"/>
  <c r="AF259" i="53"/>
  <c r="AE259" i="53"/>
  <c r="AD259" i="53"/>
  <c r="AC259" i="53"/>
  <c r="AB259" i="53"/>
  <c r="AA259" i="53"/>
  <c r="Z259" i="53"/>
  <c r="Y259" i="53"/>
  <c r="X259" i="53"/>
  <c r="W259" i="53"/>
  <c r="V259" i="53"/>
  <c r="U259" i="53"/>
  <c r="T259" i="53"/>
  <c r="S259" i="53"/>
  <c r="R259" i="53"/>
  <c r="Q259" i="53"/>
  <c r="P259" i="53"/>
  <c r="O259" i="53"/>
  <c r="N259" i="53"/>
  <c r="M259" i="53"/>
  <c r="L259" i="53"/>
  <c r="K259" i="53"/>
  <c r="J259" i="53"/>
  <c r="I259" i="53"/>
  <c r="H259" i="53"/>
  <c r="G259" i="53"/>
  <c r="F259" i="53"/>
  <c r="E259" i="53"/>
  <c r="D259" i="53"/>
  <c r="C259" i="53"/>
  <c r="B259" i="53"/>
  <c r="A259" i="53"/>
  <c r="AF258" i="53"/>
  <c r="AE258" i="53"/>
  <c r="AD258" i="53"/>
  <c r="AC258" i="53"/>
  <c r="AB258" i="53"/>
  <c r="AA258" i="53"/>
  <c r="Z258" i="53"/>
  <c r="Y258" i="53"/>
  <c r="X258" i="53"/>
  <c r="W258" i="53"/>
  <c r="V258" i="53"/>
  <c r="U258" i="53"/>
  <c r="T258" i="53"/>
  <c r="S258" i="53"/>
  <c r="R258" i="53"/>
  <c r="Q258" i="53"/>
  <c r="P258" i="53"/>
  <c r="O258" i="53"/>
  <c r="N258" i="53"/>
  <c r="M258" i="53"/>
  <c r="L258" i="53"/>
  <c r="K258" i="53"/>
  <c r="J258" i="53"/>
  <c r="I258" i="53"/>
  <c r="H258" i="53"/>
  <c r="G258" i="53"/>
  <c r="F258" i="53"/>
  <c r="E258" i="53"/>
  <c r="D258" i="53"/>
  <c r="C258" i="53"/>
  <c r="B258" i="53"/>
  <c r="A258" i="53"/>
  <c r="AF257" i="53"/>
  <c r="AE257" i="53"/>
  <c r="AD257" i="53"/>
  <c r="AC257" i="53"/>
  <c r="AB257" i="53"/>
  <c r="AA257" i="53"/>
  <c r="Z257" i="53"/>
  <c r="Y257" i="53"/>
  <c r="X257" i="53"/>
  <c r="W257" i="53"/>
  <c r="V257" i="53"/>
  <c r="U257" i="53"/>
  <c r="T257" i="53"/>
  <c r="S257" i="53"/>
  <c r="R257" i="53"/>
  <c r="Q257" i="53"/>
  <c r="P257" i="53"/>
  <c r="O257" i="53"/>
  <c r="N257" i="53"/>
  <c r="M257" i="53"/>
  <c r="L257" i="53"/>
  <c r="K257" i="53"/>
  <c r="J257" i="53"/>
  <c r="I257" i="53"/>
  <c r="H257" i="53"/>
  <c r="G257" i="53"/>
  <c r="F257" i="53"/>
  <c r="E257" i="53"/>
  <c r="D257" i="53"/>
  <c r="C257" i="53"/>
  <c r="B257" i="53"/>
  <c r="A257" i="53"/>
  <c r="AF256" i="53"/>
  <c r="AE256" i="53"/>
  <c r="AD256" i="53"/>
  <c r="AC256" i="53"/>
  <c r="AB256" i="53"/>
  <c r="AA256" i="53"/>
  <c r="Z256" i="53"/>
  <c r="Y256" i="53"/>
  <c r="X256" i="53"/>
  <c r="W256" i="53"/>
  <c r="V256" i="53"/>
  <c r="U256" i="53"/>
  <c r="T256" i="53"/>
  <c r="S256" i="53"/>
  <c r="R256" i="53"/>
  <c r="Q256" i="53"/>
  <c r="P256" i="53"/>
  <c r="O256" i="53"/>
  <c r="N256" i="53"/>
  <c r="M256" i="53"/>
  <c r="L256" i="53"/>
  <c r="K256" i="53"/>
  <c r="J256" i="53"/>
  <c r="I256" i="53"/>
  <c r="H256" i="53"/>
  <c r="G256" i="53"/>
  <c r="F256" i="53"/>
  <c r="E256" i="53"/>
  <c r="D256" i="53"/>
  <c r="C256" i="53"/>
  <c r="B256" i="53"/>
  <c r="A256" i="53"/>
  <c r="AE255" i="53"/>
  <c r="AD255" i="53"/>
  <c r="AC255" i="53"/>
  <c r="AB255" i="53"/>
  <c r="AA255" i="53"/>
  <c r="Z255" i="53"/>
  <c r="Y255" i="53"/>
  <c r="X255" i="53"/>
  <c r="W255" i="53"/>
  <c r="V255" i="53"/>
  <c r="U255" i="53"/>
  <c r="T255" i="53"/>
  <c r="S255" i="53"/>
  <c r="R255" i="53"/>
  <c r="Q255" i="53"/>
  <c r="P255" i="53"/>
  <c r="D255" i="53"/>
  <c r="C255" i="53"/>
  <c r="B255" i="53"/>
  <c r="S230" i="53"/>
  <c r="AG220" i="53"/>
  <c r="AF220" i="53"/>
  <c r="AE220" i="53"/>
  <c r="AD220" i="53"/>
  <c r="AC220" i="53"/>
  <c r="AB220" i="53"/>
  <c r="AA220" i="53"/>
  <c r="Z220" i="53"/>
  <c r="Y220" i="53"/>
  <c r="X220" i="53"/>
  <c r="W220" i="53"/>
  <c r="V220" i="53"/>
  <c r="U220" i="53"/>
  <c r="T220" i="53"/>
  <c r="S220" i="53"/>
  <c r="R220" i="53"/>
  <c r="Q220" i="53"/>
  <c r="C220" i="53"/>
  <c r="F219" i="53"/>
  <c r="E255" i="53" s="1"/>
  <c r="E219" i="53"/>
  <c r="D219" i="53"/>
  <c r="B219" i="53"/>
  <c r="AF255" i="53" s="1"/>
  <c r="D218" i="53"/>
  <c r="E218" i="53" s="1"/>
  <c r="F218" i="53" s="1"/>
  <c r="G218" i="53" s="1"/>
  <c r="H218" i="53" s="1"/>
  <c r="I218" i="53" s="1"/>
  <c r="J218" i="53" s="1"/>
  <c r="K218" i="53" s="1"/>
  <c r="L218" i="53" s="1"/>
  <c r="M218" i="53" s="1"/>
  <c r="N218" i="53" s="1"/>
  <c r="O218" i="53" s="1"/>
  <c r="P218" i="53" s="1"/>
  <c r="B218" i="53"/>
  <c r="D217" i="53"/>
  <c r="E217" i="53" s="1"/>
  <c r="F217" i="53" s="1"/>
  <c r="G217" i="53" s="1"/>
  <c r="H217" i="53" s="1"/>
  <c r="I217" i="53" s="1"/>
  <c r="J217" i="53" s="1"/>
  <c r="K217" i="53" s="1"/>
  <c r="L217" i="53" s="1"/>
  <c r="M217" i="53" s="1"/>
  <c r="N217" i="53" s="1"/>
  <c r="O217" i="53" s="1"/>
  <c r="P217" i="53" s="1"/>
  <c r="B217" i="53"/>
  <c r="E216" i="53"/>
  <c r="F216" i="53" s="1"/>
  <c r="G216" i="53" s="1"/>
  <c r="H216" i="53" s="1"/>
  <c r="I216" i="53" s="1"/>
  <c r="J216" i="53" s="1"/>
  <c r="K216" i="53" s="1"/>
  <c r="L216" i="53" s="1"/>
  <c r="M216" i="53" s="1"/>
  <c r="N216" i="53" s="1"/>
  <c r="O216" i="53" s="1"/>
  <c r="P216" i="53" s="1"/>
  <c r="D216" i="53"/>
  <c r="B216" i="53"/>
  <c r="F215" i="53"/>
  <c r="G215" i="53" s="1"/>
  <c r="H215" i="53" s="1"/>
  <c r="I215" i="53" s="1"/>
  <c r="J215" i="53" s="1"/>
  <c r="K215" i="53" s="1"/>
  <c r="L215" i="53" s="1"/>
  <c r="M215" i="53" s="1"/>
  <c r="N215" i="53" s="1"/>
  <c r="O215" i="53" s="1"/>
  <c r="P215" i="53" s="1"/>
  <c r="E215" i="53"/>
  <c r="D215" i="53"/>
  <c r="B215" i="53"/>
  <c r="D214" i="53"/>
  <c r="D220" i="53" s="1"/>
  <c r="B214" i="53"/>
  <c r="B220" i="53" s="1"/>
  <c r="AG212" i="53"/>
  <c r="AF212" i="53"/>
  <c r="AE212" i="53"/>
  <c r="AD212" i="53"/>
  <c r="AC212" i="53"/>
  <c r="AB212" i="53"/>
  <c r="AA212" i="53"/>
  <c r="Z212" i="53"/>
  <c r="Y212" i="53"/>
  <c r="X212" i="53"/>
  <c r="W212" i="53"/>
  <c r="V212" i="53"/>
  <c r="U212" i="53"/>
  <c r="T212" i="53"/>
  <c r="S212" i="53"/>
  <c r="R212" i="53"/>
  <c r="Q212" i="53"/>
  <c r="P212" i="53"/>
  <c r="O212" i="53"/>
  <c r="N212" i="53"/>
  <c r="M212" i="53"/>
  <c r="L212" i="53"/>
  <c r="K212" i="53"/>
  <c r="J212" i="53"/>
  <c r="I212" i="53"/>
  <c r="H212" i="53"/>
  <c r="G212" i="53"/>
  <c r="F212" i="53"/>
  <c r="E212" i="53"/>
  <c r="D212" i="53"/>
  <c r="C212" i="53"/>
  <c r="B212" i="53"/>
  <c r="AH105" i="53"/>
  <c r="AI105" i="53" s="1"/>
  <c r="AH104" i="53"/>
  <c r="AI104" i="53" s="1"/>
  <c r="AH103" i="53"/>
  <c r="AI103" i="53" s="1"/>
  <c r="AH102" i="53"/>
  <c r="AI102" i="53" s="1"/>
  <c r="AH101" i="53"/>
  <c r="AI101" i="53" s="1"/>
  <c r="AH100" i="53"/>
  <c r="AI100" i="53" s="1"/>
  <c r="AH99" i="53"/>
  <c r="AI99" i="53" s="1"/>
  <c r="AF98" i="53"/>
  <c r="AE98" i="53"/>
  <c r="AD98" i="53"/>
  <c r="AC98" i="53"/>
  <c r="AB98" i="53"/>
  <c r="AA98" i="53"/>
  <c r="Z98" i="53"/>
  <c r="Y98" i="53"/>
  <c r="X98" i="53"/>
  <c r="W98" i="53"/>
  <c r="V98" i="53"/>
  <c r="U98" i="53"/>
  <c r="T98" i="53"/>
  <c r="S98" i="53"/>
  <c r="R98" i="53"/>
  <c r="Q98" i="53"/>
  <c r="D98" i="53"/>
  <c r="C98" i="53"/>
  <c r="B98" i="53"/>
  <c r="AI97" i="53"/>
  <c r="AH97" i="53"/>
  <c r="AI96" i="53"/>
  <c r="AH96" i="53"/>
  <c r="AI95" i="53"/>
  <c r="AH95" i="53"/>
  <c r="AI94" i="53"/>
  <c r="AH94" i="53"/>
  <c r="AI93" i="53"/>
  <c r="AH93" i="53"/>
  <c r="AI92" i="53"/>
  <c r="AH92" i="53"/>
  <c r="AI91" i="53"/>
  <c r="AH91" i="53"/>
  <c r="AI90" i="53"/>
  <c r="AH90" i="53"/>
  <c r="AI89" i="53"/>
  <c r="AH89" i="53"/>
  <c r="AI86" i="53"/>
  <c r="AH86" i="53"/>
  <c r="AF85" i="53"/>
  <c r="AE85" i="53"/>
  <c r="AD85" i="53"/>
  <c r="AC85" i="53"/>
  <c r="AB85" i="53"/>
  <c r="AA85" i="53"/>
  <c r="Z85" i="53"/>
  <c r="Y85" i="53"/>
  <c r="X85" i="53"/>
  <c r="W85" i="53"/>
  <c r="V85" i="53"/>
  <c r="U85" i="53"/>
  <c r="T85" i="53"/>
  <c r="S85" i="53"/>
  <c r="R85" i="53"/>
  <c r="Q85" i="53"/>
  <c r="P85" i="53"/>
  <c r="O85" i="53"/>
  <c r="N85" i="53"/>
  <c r="M85" i="53"/>
  <c r="L85" i="53"/>
  <c r="K85" i="53"/>
  <c r="J85" i="53"/>
  <c r="I85" i="53"/>
  <c r="H85" i="53"/>
  <c r="G85" i="53"/>
  <c r="F85" i="53"/>
  <c r="E85" i="53"/>
  <c r="D85" i="53"/>
  <c r="C85" i="53"/>
  <c r="B85" i="53"/>
  <c r="AF84" i="53"/>
  <c r="AE84" i="53"/>
  <c r="AD84" i="53"/>
  <c r="AC84" i="53"/>
  <c r="AB84" i="53"/>
  <c r="AA84" i="53"/>
  <c r="Z84" i="53"/>
  <c r="Y84" i="53"/>
  <c r="X84" i="53"/>
  <c r="W84" i="53"/>
  <c r="V84" i="53"/>
  <c r="U84" i="53"/>
  <c r="T84" i="53"/>
  <c r="S84" i="53"/>
  <c r="R84" i="53"/>
  <c r="Q84" i="53"/>
  <c r="P84" i="53"/>
  <c r="O84" i="53"/>
  <c r="N84" i="53"/>
  <c r="M84" i="53"/>
  <c r="L84" i="53"/>
  <c r="K84" i="53"/>
  <c r="J84" i="53"/>
  <c r="I84" i="53"/>
  <c r="H84" i="53"/>
  <c r="G84" i="53"/>
  <c r="F84" i="53"/>
  <c r="E84" i="53"/>
  <c r="D84" i="53"/>
  <c r="C84" i="53"/>
  <c r="B84" i="53"/>
  <c r="AF83" i="53"/>
  <c r="AE83" i="53"/>
  <c r="AD83" i="53"/>
  <c r="AC83" i="53"/>
  <c r="AB83" i="53"/>
  <c r="AA83" i="53"/>
  <c r="AA87" i="53" s="1"/>
  <c r="Z83" i="53"/>
  <c r="Y83" i="53"/>
  <c r="X83" i="53"/>
  <c r="W83" i="53"/>
  <c r="V83" i="53"/>
  <c r="U83" i="53"/>
  <c r="T83" i="53"/>
  <c r="S83" i="53"/>
  <c r="S87" i="53" s="1"/>
  <c r="R83" i="53"/>
  <c r="Q83" i="53"/>
  <c r="P83" i="53"/>
  <c r="O83" i="53"/>
  <c r="N83" i="53"/>
  <c r="M83" i="53"/>
  <c r="L83" i="53"/>
  <c r="K83" i="53"/>
  <c r="J83" i="53"/>
  <c r="I83" i="53"/>
  <c r="H83" i="53"/>
  <c r="H87" i="53" s="1"/>
  <c r="G83" i="53"/>
  <c r="F83" i="53"/>
  <c r="E83" i="53"/>
  <c r="D83" i="53"/>
  <c r="C83" i="53"/>
  <c r="C87" i="53" s="1"/>
  <c r="B83" i="53"/>
  <c r="AF82" i="53"/>
  <c r="AE82" i="53"/>
  <c r="AD82" i="53"/>
  <c r="AC82" i="53"/>
  <c r="AB82" i="53"/>
  <c r="AA82" i="53"/>
  <c r="Z82" i="53"/>
  <c r="Y82" i="53"/>
  <c r="X82" i="53"/>
  <c r="W82" i="53"/>
  <c r="V82" i="53"/>
  <c r="U82" i="53"/>
  <c r="T82" i="53"/>
  <c r="S82" i="53"/>
  <c r="R82" i="53"/>
  <c r="Q82" i="53"/>
  <c r="P82" i="53"/>
  <c r="O82" i="53"/>
  <c r="N82" i="53"/>
  <c r="M82" i="53"/>
  <c r="L82" i="53"/>
  <c r="K82" i="53"/>
  <c r="J82" i="53"/>
  <c r="I82" i="53"/>
  <c r="H82" i="53"/>
  <c r="G82" i="53"/>
  <c r="F82" i="53"/>
  <c r="E82" i="53"/>
  <c r="D82" i="53"/>
  <c r="C82" i="53"/>
  <c r="B82" i="53"/>
  <c r="AF81" i="53"/>
  <c r="AE81" i="53"/>
  <c r="AD81" i="53"/>
  <c r="AC81" i="53"/>
  <c r="AB81" i="53"/>
  <c r="AA81" i="53"/>
  <c r="Z81" i="53"/>
  <c r="Y81" i="53"/>
  <c r="X81" i="53"/>
  <c r="W81" i="53"/>
  <c r="V81" i="53"/>
  <c r="U81" i="53"/>
  <c r="T81" i="53"/>
  <c r="S81" i="53"/>
  <c r="R81" i="53"/>
  <c r="Q81" i="53"/>
  <c r="P81" i="53"/>
  <c r="O81" i="53"/>
  <c r="N81" i="53"/>
  <c r="M81" i="53"/>
  <c r="L81" i="53"/>
  <c r="K81" i="53"/>
  <c r="J81" i="53"/>
  <c r="I81" i="53"/>
  <c r="H81" i="53"/>
  <c r="G81" i="53"/>
  <c r="F81" i="53"/>
  <c r="E81" i="53"/>
  <c r="E87" i="53" s="1"/>
  <c r="D81" i="53"/>
  <c r="C81" i="53"/>
  <c r="B81" i="53"/>
  <c r="AI78" i="53"/>
  <c r="AH78" i="53"/>
  <c r="AI76" i="53"/>
  <c r="AH76" i="53"/>
  <c r="AG76" i="53"/>
  <c r="AI75" i="53"/>
  <c r="AH75" i="53"/>
  <c r="AI74" i="53"/>
  <c r="AH74" i="53"/>
  <c r="AI73" i="53"/>
  <c r="AH73" i="53"/>
  <c r="AG72" i="53"/>
  <c r="AF72" i="53"/>
  <c r="AE5" i="53" s="1"/>
  <c r="AE72" i="53"/>
  <c r="AD5" i="53" s="1"/>
  <c r="AD72" i="53"/>
  <c r="AC5" i="53" s="1"/>
  <c r="AC72" i="53"/>
  <c r="AB5" i="53" s="1"/>
  <c r="AB72" i="53"/>
  <c r="AA72" i="53"/>
  <c r="Z72" i="53"/>
  <c r="Y5" i="53" s="1"/>
  <c r="Y72" i="53"/>
  <c r="X5" i="53" s="1"/>
  <c r="X72" i="53"/>
  <c r="W5" i="53" s="1"/>
  <c r="W72" i="53"/>
  <c r="V5" i="53" s="1"/>
  <c r="V72" i="53"/>
  <c r="U5" i="53" s="1"/>
  <c r="U72" i="53"/>
  <c r="T5" i="53" s="1"/>
  <c r="T72" i="53"/>
  <c r="S72" i="53"/>
  <c r="R72" i="53"/>
  <c r="Q5" i="53" s="1"/>
  <c r="Q72" i="53"/>
  <c r="P5" i="53" s="1"/>
  <c r="P72" i="53"/>
  <c r="O72" i="53"/>
  <c r="N5" i="53" s="1"/>
  <c r="N72" i="53"/>
  <c r="M5" i="53" s="1"/>
  <c r="M72" i="53"/>
  <c r="L5" i="53" s="1"/>
  <c r="L72" i="53"/>
  <c r="K72" i="53"/>
  <c r="J72" i="53"/>
  <c r="I5" i="53" s="1"/>
  <c r="I72" i="53"/>
  <c r="H72" i="53"/>
  <c r="G5" i="53" s="1"/>
  <c r="G72" i="53"/>
  <c r="F5" i="53" s="1"/>
  <c r="F72" i="53"/>
  <c r="E5" i="53" s="1"/>
  <c r="E72" i="53"/>
  <c r="D5" i="53" s="1"/>
  <c r="D72" i="53"/>
  <c r="C5" i="53" s="1"/>
  <c r="C72" i="53"/>
  <c r="B5" i="53" s="1"/>
  <c r="AI71" i="53"/>
  <c r="AH71" i="53"/>
  <c r="AI70" i="53"/>
  <c r="AH70" i="53"/>
  <c r="AI69" i="53"/>
  <c r="AH69" i="53"/>
  <c r="AI68" i="53"/>
  <c r="AH68" i="53"/>
  <c r="AI67" i="53"/>
  <c r="AH67" i="53"/>
  <c r="AI66" i="53"/>
  <c r="AH66" i="53"/>
  <c r="AI65" i="53"/>
  <c r="AH65" i="53"/>
  <c r="AI64" i="53"/>
  <c r="AH64" i="53"/>
  <c r="AI63" i="53"/>
  <c r="AH63" i="53"/>
  <c r="AI62" i="53"/>
  <c r="AH62" i="53"/>
  <c r="AI61" i="53"/>
  <c r="AH61" i="53"/>
  <c r="AG60" i="53"/>
  <c r="AG79" i="53" s="1"/>
  <c r="AF60" i="53"/>
  <c r="AE60" i="53"/>
  <c r="AD60" i="53"/>
  <c r="AC60" i="53"/>
  <c r="AB60" i="53"/>
  <c r="AA60" i="53"/>
  <c r="Z60" i="53"/>
  <c r="Y60" i="53"/>
  <c r="X60" i="53"/>
  <c r="W60" i="53"/>
  <c r="V60" i="53"/>
  <c r="U60" i="53"/>
  <c r="T60" i="53"/>
  <c r="S60" i="53"/>
  <c r="R60" i="53"/>
  <c r="Q60" i="53"/>
  <c r="P60" i="53"/>
  <c r="O60" i="53"/>
  <c r="N60" i="53"/>
  <c r="M60" i="53"/>
  <c r="L60" i="53"/>
  <c r="K60" i="53"/>
  <c r="J60" i="53"/>
  <c r="I60" i="53"/>
  <c r="H60" i="53"/>
  <c r="G60" i="53"/>
  <c r="F60" i="53"/>
  <c r="E60" i="53"/>
  <c r="D60" i="53"/>
  <c r="C60" i="53"/>
  <c r="AI59" i="53"/>
  <c r="AH59" i="53"/>
  <c r="AI58" i="53"/>
  <c r="AH58" i="53"/>
  <c r="AI57" i="53"/>
  <c r="AH57" i="53"/>
  <c r="AF56" i="53"/>
  <c r="AE56" i="53"/>
  <c r="AD56" i="53"/>
  <c r="AC56" i="53"/>
  <c r="AB56" i="53"/>
  <c r="AA56" i="53"/>
  <c r="Z56" i="53"/>
  <c r="Y56" i="53"/>
  <c r="X56" i="53"/>
  <c r="W56" i="53"/>
  <c r="V56" i="53"/>
  <c r="U56" i="53"/>
  <c r="T56" i="53"/>
  <c r="S56" i="53"/>
  <c r="R56" i="53"/>
  <c r="Q56" i="53"/>
  <c r="P56" i="53"/>
  <c r="O56" i="53"/>
  <c r="N56" i="53"/>
  <c r="M56" i="53"/>
  <c r="L56" i="53"/>
  <c r="K56" i="53"/>
  <c r="J56" i="53"/>
  <c r="I56" i="53"/>
  <c r="H56" i="53"/>
  <c r="G56" i="53"/>
  <c r="F56" i="53"/>
  <c r="E56" i="53"/>
  <c r="D56" i="53"/>
  <c r="C56" i="53"/>
  <c r="AI55" i="53"/>
  <c r="AH55" i="53"/>
  <c r="AG55" i="53"/>
  <c r="AG56" i="53" s="1"/>
  <c r="AG3" i="53" s="1"/>
  <c r="AG6" i="53" s="1"/>
  <c r="AI54" i="53"/>
  <c r="AH54" i="53"/>
  <c r="AI53" i="53"/>
  <c r="AH53" i="53"/>
  <c r="AI52" i="53"/>
  <c r="AH52" i="53"/>
  <c r="AI51" i="53"/>
  <c r="AH51" i="53"/>
  <c r="AI50" i="53"/>
  <c r="AH50" i="53"/>
  <c r="AI49" i="53"/>
  <c r="AH49" i="53"/>
  <c r="AI48" i="53"/>
  <c r="AH48" i="53"/>
  <c r="AI47" i="53"/>
  <c r="AH47" i="53"/>
  <c r="AI46" i="53"/>
  <c r="AH46" i="53"/>
  <c r="AI45" i="53"/>
  <c r="AH45" i="53"/>
  <c r="AI44" i="53"/>
  <c r="AH44" i="53"/>
  <c r="AI43" i="53"/>
  <c r="AH43" i="53"/>
  <c r="AG42" i="53"/>
  <c r="AF42" i="53"/>
  <c r="AE42" i="53"/>
  <c r="AD42" i="53"/>
  <c r="AC42" i="53"/>
  <c r="AB42" i="53"/>
  <c r="AA42" i="53"/>
  <c r="Z42" i="53"/>
  <c r="Y42" i="53"/>
  <c r="X42" i="53"/>
  <c r="W42" i="53"/>
  <c r="V42" i="53"/>
  <c r="U42" i="53"/>
  <c r="T42" i="53"/>
  <c r="S42" i="53"/>
  <c r="R42" i="53"/>
  <c r="Q42" i="53"/>
  <c r="P42" i="53"/>
  <c r="O42" i="53"/>
  <c r="N42" i="53"/>
  <c r="M42" i="53"/>
  <c r="L42" i="53"/>
  <c r="K42" i="53"/>
  <c r="J42" i="53"/>
  <c r="I42" i="53"/>
  <c r="H42" i="53"/>
  <c r="G42" i="53"/>
  <c r="F42" i="53"/>
  <c r="E42" i="53"/>
  <c r="D42" i="53"/>
  <c r="C42" i="53"/>
  <c r="AI41" i="53"/>
  <c r="AH41" i="53"/>
  <c r="AI40" i="53"/>
  <c r="AH40" i="53"/>
  <c r="AI39" i="53"/>
  <c r="AH39" i="53"/>
  <c r="AG38" i="53"/>
  <c r="AG77" i="53" s="1"/>
  <c r="AF38" i="53"/>
  <c r="AE38" i="53"/>
  <c r="AD38" i="53"/>
  <c r="AC38" i="53"/>
  <c r="AB38" i="53"/>
  <c r="AA38" i="53"/>
  <c r="AA77" i="53" s="1"/>
  <c r="AA79" i="53" s="1"/>
  <c r="Z38" i="53"/>
  <c r="Y38" i="53"/>
  <c r="X38" i="53"/>
  <c r="W38" i="53"/>
  <c r="V38" i="53"/>
  <c r="U38" i="53"/>
  <c r="U77" i="53" s="1"/>
  <c r="T38" i="53"/>
  <c r="S38" i="53"/>
  <c r="R38" i="53"/>
  <c r="Q38" i="53"/>
  <c r="P38" i="53"/>
  <c r="O38" i="53"/>
  <c r="N38" i="53"/>
  <c r="M38" i="53"/>
  <c r="L38" i="53"/>
  <c r="K38" i="53"/>
  <c r="J38" i="53"/>
  <c r="I38" i="53"/>
  <c r="H38" i="53"/>
  <c r="G38" i="53"/>
  <c r="F38" i="53"/>
  <c r="E38" i="53"/>
  <c r="D38" i="53"/>
  <c r="C38" i="53"/>
  <c r="AI37" i="53"/>
  <c r="AH37" i="53"/>
  <c r="AI36" i="53"/>
  <c r="AH36" i="53"/>
  <c r="AI35" i="53"/>
  <c r="AH35" i="53"/>
  <c r="AI34" i="53"/>
  <c r="AH34" i="53"/>
  <c r="AI33" i="53"/>
  <c r="AH33" i="53"/>
  <c r="AI32" i="53"/>
  <c r="AH32" i="53"/>
  <c r="AI31" i="53"/>
  <c r="AH31" i="53"/>
  <c r="AI30" i="53"/>
  <c r="AH30" i="53"/>
  <c r="AI29" i="53"/>
  <c r="AH29" i="53"/>
  <c r="AI28" i="53"/>
  <c r="AH28" i="53"/>
  <c r="AI27" i="53"/>
  <c r="AH27" i="53"/>
  <c r="AI26" i="53"/>
  <c r="AH26" i="53"/>
  <c r="AI25" i="53"/>
  <c r="AH25" i="53"/>
  <c r="AI24" i="53"/>
  <c r="AH24" i="53"/>
  <c r="AI23" i="53"/>
  <c r="AH23" i="53"/>
  <c r="AI22" i="53"/>
  <c r="AH22" i="53"/>
  <c r="AI21" i="53"/>
  <c r="AH21" i="53"/>
  <c r="AI20" i="53"/>
  <c r="AH20" i="53"/>
  <c r="AI19" i="53"/>
  <c r="AH19" i="53"/>
  <c r="AI18" i="53"/>
  <c r="AH18" i="53"/>
  <c r="AI17" i="53"/>
  <c r="AH17" i="53"/>
  <c r="AI16" i="53"/>
  <c r="AH16" i="53"/>
  <c r="AI15" i="53"/>
  <c r="AH15" i="53"/>
  <c r="AI14" i="53"/>
  <c r="AH14" i="53"/>
  <c r="AI13" i="53"/>
  <c r="AH13" i="53"/>
  <c r="AI12" i="53"/>
  <c r="AH12" i="53"/>
  <c r="AI11" i="53"/>
  <c r="AH11" i="53"/>
  <c r="Z5" i="53"/>
  <c r="O5" i="53"/>
  <c r="AG4" i="53"/>
  <c r="K4" i="53"/>
  <c r="B4" i="53"/>
  <c r="S231" i="53" s="1"/>
  <c r="AG2" i="53"/>
  <c r="AE37" i="52"/>
  <c r="AD37" i="52"/>
  <c r="AC37" i="52"/>
  <c r="AB37" i="52"/>
  <c r="AA37" i="52"/>
  <c r="Z37" i="52"/>
  <c r="Y37" i="52"/>
  <c r="X37" i="52"/>
  <c r="W37" i="52"/>
  <c r="U37" i="52"/>
  <c r="V37" i="52"/>
  <c r="T37" i="52"/>
  <c r="S37" i="52"/>
  <c r="E4" i="53"/>
  <c r="AH80" i="55" l="1"/>
  <c r="K6" i="55"/>
  <c r="A7" i="55"/>
  <c r="F98" i="55"/>
  <c r="G214" i="55"/>
  <c r="F220" i="55"/>
  <c r="G255" i="55"/>
  <c r="I219" i="55"/>
  <c r="M80" i="54"/>
  <c r="AD234" i="54"/>
  <c r="AB234" i="54"/>
  <c r="J7" i="54"/>
  <c r="B229" i="54"/>
  <c r="AA234" i="54"/>
  <c r="H7" i="54"/>
  <c r="C229" i="54"/>
  <c r="Z234" i="54"/>
  <c r="H80" i="54"/>
  <c r="F7" i="54"/>
  <c r="F80" i="54"/>
  <c r="W234" i="54"/>
  <c r="E7" i="54"/>
  <c r="D80" i="54"/>
  <c r="V234" i="54"/>
  <c r="C80" i="54"/>
  <c r="U234" i="54"/>
  <c r="AI77" i="54"/>
  <c r="AH77" i="54"/>
  <c r="AI79" i="54"/>
  <c r="AH79" i="54"/>
  <c r="B7" i="54"/>
  <c r="A7" i="54" s="1"/>
  <c r="T234" i="54"/>
  <c r="E98" i="54"/>
  <c r="F214" i="54"/>
  <c r="E220" i="54"/>
  <c r="AI87" i="54"/>
  <c r="AH87" i="54"/>
  <c r="G255" i="54"/>
  <c r="I219" i="54"/>
  <c r="AF87" i="53"/>
  <c r="AF88" i="53" s="1"/>
  <c r="AF77" i="53"/>
  <c r="AF79" i="53" s="1"/>
  <c r="AE87" i="53"/>
  <c r="AE77" i="53"/>
  <c r="AE79" i="53" s="1"/>
  <c r="AD87" i="53"/>
  <c r="AD77" i="53"/>
  <c r="AD79" i="53" s="1"/>
  <c r="AC87" i="53"/>
  <c r="AC77" i="53"/>
  <c r="AC79" i="53" s="1"/>
  <c r="AC7" i="53" s="1"/>
  <c r="AB77" i="53"/>
  <c r="AB79" i="53" s="1"/>
  <c r="AB87" i="53"/>
  <c r="AB88" i="53" s="1"/>
  <c r="AA5" i="53"/>
  <c r="AA88" i="53"/>
  <c r="Z87" i="53"/>
  <c r="Z88" i="53" s="1"/>
  <c r="Z77" i="53"/>
  <c r="Z79" i="53" s="1"/>
  <c r="Y77" i="53"/>
  <c r="Y79" i="53" s="1"/>
  <c r="Y87" i="53"/>
  <c r="Y88" i="53" s="1"/>
  <c r="X87" i="53"/>
  <c r="X88" i="53" s="1"/>
  <c r="X77" i="53"/>
  <c r="X79" i="53" s="1"/>
  <c r="W87" i="53"/>
  <c r="V87" i="53"/>
  <c r="V77" i="53"/>
  <c r="V79" i="53" s="1"/>
  <c r="AN234" i="53" s="1"/>
  <c r="W77" i="53"/>
  <c r="W79" i="53" s="1"/>
  <c r="U87" i="53"/>
  <c r="U79" i="53"/>
  <c r="U7" i="53" s="1"/>
  <c r="T77" i="53"/>
  <c r="T79" i="53" s="1"/>
  <c r="T87" i="53"/>
  <c r="T88" i="53" s="1"/>
  <c r="S5" i="53"/>
  <c r="S88" i="53"/>
  <c r="R5" i="53"/>
  <c r="S77" i="53"/>
  <c r="S79" i="53" s="1"/>
  <c r="R87" i="53"/>
  <c r="R88" i="53" s="1"/>
  <c r="R77" i="53"/>
  <c r="R79" i="53" s="1"/>
  <c r="Q87" i="53"/>
  <c r="Q88" i="53" s="1"/>
  <c r="Q77" i="53"/>
  <c r="Q79" i="53" s="1"/>
  <c r="Q80" i="53" s="1"/>
  <c r="P87" i="53"/>
  <c r="P88" i="53" s="1"/>
  <c r="P77" i="53"/>
  <c r="P79" i="53" s="1"/>
  <c r="O87" i="53"/>
  <c r="O77" i="53"/>
  <c r="O79" i="53" s="1"/>
  <c r="AG234" i="53" s="1"/>
  <c r="N87" i="53"/>
  <c r="N77" i="53"/>
  <c r="N79" i="53" s="1"/>
  <c r="M87" i="53"/>
  <c r="M77" i="53"/>
  <c r="M79" i="53" s="1"/>
  <c r="M7" i="53" s="1"/>
  <c r="L87" i="53"/>
  <c r="L88" i="53"/>
  <c r="K5" i="53"/>
  <c r="L77" i="53"/>
  <c r="L79" i="53" s="1"/>
  <c r="L80" i="53" s="1"/>
  <c r="K87" i="53"/>
  <c r="K88" i="53" s="1"/>
  <c r="J5" i="53"/>
  <c r="K77" i="53"/>
  <c r="K79" i="53" s="1"/>
  <c r="J87" i="53"/>
  <c r="J88" i="53" s="1"/>
  <c r="J77" i="53"/>
  <c r="J79" i="53" s="1"/>
  <c r="J80" i="53" s="1"/>
  <c r="I87" i="53"/>
  <c r="I88" i="53" s="1"/>
  <c r="AI84" i="53"/>
  <c r="H5" i="53"/>
  <c r="I77" i="53"/>
  <c r="I79" i="53" s="1"/>
  <c r="H88" i="53"/>
  <c r="H77" i="53"/>
  <c r="H79" i="53" s="1"/>
  <c r="H80" i="53" s="1"/>
  <c r="AI82" i="53"/>
  <c r="G87" i="53"/>
  <c r="G77" i="53"/>
  <c r="G79" i="53" s="1"/>
  <c r="F87" i="53"/>
  <c r="F77" i="53"/>
  <c r="F79" i="53" s="1"/>
  <c r="X234" i="53" s="1"/>
  <c r="AI81" i="53"/>
  <c r="AI60" i="53"/>
  <c r="E77" i="53"/>
  <c r="E79" i="53" s="1"/>
  <c r="E80" i="53" s="1"/>
  <c r="AI85" i="53"/>
  <c r="D87" i="53"/>
  <c r="D88" i="53" s="1"/>
  <c r="AI56" i="53"/>
  <c r="AH42" i="53"/>
  <c r="D77" i="53"/>
  <c r="D79" i="53" s="1"/>
  <c r="V234" i="53" s="1"/>
  <c r="AI83" i="53"/>
  <c r="AH82" i="53"/>
  <c r="AH60" i="53"/>
  <c r="AH56" i="53"/>
  <c r="C77" i="53"/>
  <c r="C79" i="53" s="1"/>
  <c r="C7" i="53" s="1"/>
  <c r="AI72" i="53"/>
  <c r="B77" i="53"/>
  <c r="B79" i="53" s="1"/>
  <c r="AH85" i="53"/>
  <c r="AI42" i="53"/>
  <c r="H4" i="53"/>
  <c r="AB7" i="53"/>
  <c r="AT234" i="53"/>
  <c r="AB80" i="53"/>
  <c r="AC80" i="53"/>
  <c r="AF234" i="53"/>
  <c r="N80" i="53"/>
  <c r="N7" i="53"/>
  <c r="V80" i="53"/>
  <c r="AV234" i="53"/>
  <c r="AD80" i="53"/>
  <c r="AD7" i="53"/>
  <c r="T7" i="53"/>
  <c r="AL234" i="53"/>
  <c r="T80" i="53"/>
  <c r="AM234" i="53"/>
  <c r="U80" i="53"/>
  <c r="AO234" i="53"/>
  <c r="W80" i="53"/>
  <c r="W7" i="53"/>
  <c r="L7" i="53"/>
  <c r="O7" i="53"/>
  <c r="AW234" i="53"/>
  <c r="AE80" i="53"/>
  <c r="AE7" i="53"/>
  <c r="P80" i="53"/>
  <c r="P7" i="53"/>
  <c r="AH234" i="53"/>
  <c r="X80" i="53"/>
  <c r="X7" i="53"/>
  <c r="AP234" i="53"/>
  <c r="AF80" i="53"/>
  <c r="AF7" i="53"/>
  <c r="AX234" i="53"/>
  <c r="Y80" i="53"/>
  <c r="Y7" i="53"/>
  <c r="AQ234" i="53"/>
  <c r="E88" i="53"/>
  <c r="M88" i="53"/>
  <c r="U88" i="53"/>
  <c r="AC88" i="53"/>
  <c r="R80" i="53"/>
  <c r="R7" i="53"/>
  <c r="AJ234" i="53"/>
  <c r="Z80" i="53"/>
  <c r="Z7" i="53"/>
  <c r="AR234" i="53"/>
  <c r="F88" i="53"/>
  <c r="N88" i="53"/>
  <c r="V88" i="53"/>
  <c r="AD88" i="53"/>
  <c r="Y234" i="53"/>
  <c r="K7" i="53"/>
  <c r="AC234" i="53"/>
  <c r="K80" i="53"/>
  <c r="S7" i="53"/>
  <c r="AK234" i="53"/>
  <c r="S80" i="53"/>
  <c r="AA7" i="53"/>
  <c r="AS234" i="53"/>
  <c r="AA80" i="53"/>
  <c r="G88" i="53"/>
  <c r="O88" i="53"/>
  <c r="W88" i="53"/>
  <c r="AE88" i="53"/>
  <c r="AH83" i="53"/>
  <c r="C88" i="53"/>
  <c r="D231" i="53"/>
  <c r="AH38" i="53"/>
  <c r="AH84" i="53"/>
  <c r="AI38" i="53"/>
  <c r="E214" i="53"/>
  <c r="G219" i="53"/>
  <c r="AH72" i="53"/>
  <c r="AH81" i="53"/>
  <c r="B87" i="53"/>
  <c r="B88" i="53" s="1"/>
  <c r="H255" i="55" l="1"/>
  <c r="J219" i="55"/>
  <c r="G98" i="55"/>
  <c r="H214" i="55"/>
  <c r="G220" i="55"/>
  <c r="K6" i="54"/>
  <c r="AH80" i="54"/>
  <c r="F98" i="54"/>
  <c r="G214" i="54"/>
  <c r="F220" i="54"/>
  <c r="H255" i="54"/>
  <c r="J219" i="54"/>
  <c r="AI88" i="54"/>
  <c r="AH88" i="54"/>
  <c r="Q7" i="53"/>
  <c r="AU234" i="53"/>
  <c r="V7" i="53"/>
  <c r="AI234" i="53"/>
  <c r="M80" i="53"/>
  <c r="AE234" i="53"/>
  <c r="O80" i="53"/>
  <c r="AD234" i="53"/>
  <c r="AB234" i="53"/>
  <c r="C229" i="53"/>
  <c r="J7" i="53"/>
  <c r="AA234" i="53"/>
  <c r="I7" i="53"/>
  <c r="I80" i="53"/>
  <c r="B229" i="53"/>
  <c r="Z234" i="53"/>
  <c r="H7" i="53"/>
  <c r="G7" i="53"/>
  <c r="G80" i="53"/>
  <c r="F7" i="53"/>
  <c r="F80" i="53"/>
  <c r="W234" i="53"/>
  <c r="E7" i="53"/>
  <c r="D80" i="53"/>
  <c r="D7" i="53"/>
  <c r="U234" i="53"/>
  <c r="C80" i="53"/>
  <c r="AH77" i="53"/>
  <c r="AI77" i="53"/>
  <c r="AI88" i="53"/>
  <c r="AH88" i="53"/>
  <c r="B80" i="53"/>
  <c r="AI79" i="53"/>
  <c r="AH79" i="53"/>
  <c r="B7" i="53"/>
  <c r="T234" i="53"/>
  <c r="F255" i="53"/>
  <c r="H219" i="53"/>
  <c r="E98" i="53"/>
  <c r="F214" i="53"/>
  <c r="E220" i="53"/>
  <c r="AI87" i="53"/>
  <c r="AH87" i="53"/>
  <c r="I214" i="55" l="1"/>
  <c r="H220" i="55"/>
  <c r="H98" i="55"/>
  <c r="K219" i="55"/>
  <c r="I255" i="55"/>
  <c r="K219" i="54"/>
  <c r="I255" i="54"/>
  <c r="G98" i="54"/>
  <c r="H214" i="54"/>
  <c r="G220" i="54"/>
  <c r="K6" i="53"/>
  <c r="A7" i="53"/>
  <c r="AH80" i="53"/>
  <c r="F98" i="53"/>
  <c r="G214" i="53"/>
  <c r="F220" i="53"/>
  <c r="G255" i="53"/>
  <c r="I219" i="53"/>
  <c r="J255" i="55" l="1"/>
  <c r="L219" i="55"/>
  <c r="I220" i="55"/>
  <c r="I98" i="55"/>
  <c r="J214" i="55"/>
  <c r="I214" i="54"/>
  <c r="H220" i="54"/>
  <c r="H98" i="54"/>
  <c r="J255" i="54"/>
  <c r="L219" i="54"/>
  <c r="H255" i="53"/>
  <c r="J219" i="53"/>
  <c r="G98" i="53"/>
  <c r="H214" i="53"/>
  <c r="G220" i="53"/>
  <c r="R37" i="52"/>
  <c r="Q100" i="52"/>
  <c r="Q99" i="52"/>
  <c r="Q37" i="52"/>
  <c r="P37" i="52"/>
  <c r="O37" i="52"/>
  <c r="N37" i="52"/>
  <c r="M37" i="52"/>
  <c r="L100" i="52"/>
  <c r="L37" i="52"/>
  <c r="K100" i="52"/>
  <c r="K37" i="52"/>
  <c r="I100" i="52"/>
  <c r="J100" i="52"/>
  <c r="J37" i="52"/>
  <c r="AI37" i="52"/>
  <c r="H100" i="52"/>
  <c r="G100" i="52"/>
  <c r="AH100" i="52" s="1"/>
  <c r="AI100" i="52" s="1"/>
  <c r="G37" i="52"/>
  <c r="F100" i="52"/>
  <c r="F37" i="52"/>
  <c r="E100" i="52"/>
  <c r="AF259" i="52"/>
  <c r="AE259" i="52"/>
  <c r="AD259" i="52"/>
  <c r="AC259" i="52"/>
  <c r="AB259" i="52"/>
  <c r="AA259" i="52"/>
  <c r="Z259" i="52"/>
  <c r="Y259" i="52"/>
  <c r="X259" i="52"/>
  <c r="W259" i="52"/>
  <c r="V259" i="52"/>
  <c r="U259" i="52"/>
  <c r="T259" i="52"/>
  <c r="S259" i="52"/>
  <c r="R259" i="52"/>
  <c r="Q259" i="52"/>
  <c r="P259" i="52"/>
  <c r="O259" i="52"/>
  <c r="N259" i="52"/>
  <c r="M259" i="52"/>
  <c r="L259" i="52"/>
  <c r="K259" i="52"/>
  <c r="J259" i="52"/>
  <c r="I259" i="52"/>
  <c r="H259" i="52"/>
  <c r="G259" i="52"/>
  <c r="F259" i="52"/>
  <c r="E259" i="52"/>
  <c r="D259" i="52"/>
  <c r="C259" i="52"/>
  <c r="B259" i="52"/>
  <c r="A259" i="52"/>
  <c r="AF258" i="52"/>
  <c r="AE258" i="52"/>
  <c r="AD258" i="52"/>
  <c r="AC258" i="52"/>
  <c r="AB258" i="52"/>
  <c r="AA258" i="52"/>
  <c r="Z258" i="52"/>
  <c r="Y258" i="52"/>
  <c r="X258" i="52"/>
  <c r="W258" i="52"/>
  <c r="V258" i="52"/>
  <c r="U258" i="52"/>
  <c r="T258" i="52"/>
  <c r="S258" i="52"/>
  <c r="R258" i="52"/>
  <c r="Q258" i="52"/>
  <c r="P258" i="52"/>
  <c r="O258" i="52"/>
  <c r="N258" i="52"/>
  <c r="M258" i="52"/>
  <c r="L258" i="52"/>
  <c r="K258" i="52"/>
  <c r="J258" i="52"/>
  <c r="I258" i="52"/>
  <c r="H258" i="52"/>
  <c r="G258" i="52"/>
  <c r="F258" i="52"/>
  <c r="E258" i="52"/>
  <c r="D258" i="52"/>
  <c r="C258" i="52"/>
  <c r="B258" i="52"/>
  <c r="A258" i="52"/>
  <c r="AF257" i="52"/>
  <c r="AE257" i="52"/>
  <c r="AD257" i="52"/>
  <c r="AC257" i="52"/>
  <c r="AB257" i="52"/>
  <c r="AA257" i="52"/>
  <c r="Z257" i="52"/>
  <c r="Y257" i="52"/>
  <c r="X257" i="52"/>
  <c r="W257" i="52"/>
  <c r="V257" i="52"/>
  <c r="U257" i="52"/>
  <c r="T257" i="52"/>
  <c r="S257" i="52"/>
  <c r="R257" i="52"/>
  <c r="Q257" i="52"/>
  <c r="P257" i="52"/>
  <c r="O257" i="52"/>
  <c r="N257" i="52"/>
  <c r="M257" i="52"/>
  <c r="L257" i="52"/>
  <c r="K257" i="52"/>
  <c r="J257" i="52"/>
  <c r="I257" i="52"/>
  <c r="H257" i="52"/>
  <c r="G257" i="52"/>
  <c r="F257" i="52"/>
  <c r="E257" i="52"/>
  <c r="D257" i="52"/>
  <c r="C257" i="52"/>
  <c r="B257" i="52"/>
  <c r="A257" i="52"/>
  <c r="AF256" i="52"/>
  <c r="AE256" i="52"/>
  <c r="AD256" i="52"/>
  <c r="AC256" i="52"/>
  <c r="AB256" i="52"/>
  <c r="AA256" i="52"/>
  <c r="Z256" i="52"/>
  <c r="Y256" i="52"/>
  <c r="X256" i="52"/>
  <c r="W256" i="52"/>
  <c r="V256" i="52"/>
  <c r="U256" i="52"/>
  <c r="T256" i="52"/>
  <c r="S256" i="52"/>
  <c r="R256" i="52"/>
  <c r="Q256" i="52"/>
  <c r="P256" i="52"/>
  <c r="O256" i="52"/>
  <c r="N256" i="52"/>
  <c r="M256" i="52"/>
  <c r="L256" i="52"/>
  <c r="K256" i="52"/>
  <c r="J256" i="52"/>
  <c r="I256" i="52"/>
  <c r="H256" i="52"/>
  <c r="G256" i="52"/>
  <c r="F256" i="52"/>
  <c r="E256" i="52"/>
  <c r="D256" i="52"/>
  <c r="C256" i="52"/>
  <c r="B256" i="52"/>
  <c r="A256" i="52"/>
  <c r="AE255" i="52"/>
  <c r="AD255" i="52"/>
  <c r="AC255" i="52"/>
  <c r="AB255" i="52"/>
  <c r="AA255" i="52"/>
  <c r="Z255" i="52"/>
  <c r="Y255" i="52"/>
  <c r="X255" i="52"/>
  <c r="W255" i="52"/>
  <c r="V255" i="52"/>
  <c r="U255" i="52"/>
  <c r="T255" i="52"/>
  <c r="S255" i="52"/>
  <c r="R255" i="52"/>
  <c r="Q255" i="52"/>
  <c r="P255" i="52"/>
  <c r="D255" i="52"/>
  <c r="C255" i="52"/>
  <c r="B255" i="52"/>
  <c r="S230" i="52"/>
  <c r="AG220" i="52"/>
  <c r="AF220" i="52"/>
  <c r="AE220" i="52"/>
  <c r="AD220" i="52"/>
  <c r="AC220" i="52"/>
  <c r="AB220" i="52"/>
  <c r="AA220" i="52"/>
  <c r="Z220" i="52"/>
  <c r="Y220" i="52"/>
  <c r="X220" i="52"/>
  <c r="W220" i="52"/>
  <c r="V220" i="52"/>
  <c r="U220" i="52"/>
  <c r="T220" i="52"/>
  <c r="S220" i="52"/>
  <c r="R220" i="52"/>
  <c r="Q220" i="52"/>
  <c r="C220" i="52"/>
  <c r="G219" i="52"/>
  <c r="F219" i="52"/>
  <c r="E255" i="52" s="1"/>
  <c r="E219" i="52"/>
  <c r="D219" i="52"/>
  <c r="B219" i="52"/>
  <c r="AF255" i="52" s="1"/>
  <c r="E218" i="52"/>
  <c r="F218" i="52" s="1"/>
  <c r="G218" i="52" s="1"/>
  <c r="H218" i="52" s="1"/>
  <c r="I218" i="52" s="1"/>
  <c r="J218" i="52" s="1"/>
  <c r="K218" i="52" s="1"/>
  <c r="L218" i="52" s="1"/>
  <c r="M218" i="52" s="1"/>
  <c r="N218" i="52" s="1"/>
  <c r="O218" i="52" s="1"/>
  <c r="P218" i="52" s="1"/>
  <c r="D218" i="52"/>
  <c r="B218" i="52"/>
  <c r="D217" i="52"/>
  <c r="E217" i="52" s="1"/>
  <c r="F217" i="52" s="1"/>
  <c r="G217" i="52" s="1"/>
  <c r="H217" i="52" s="1"/>
  <c r="I217" i="52" s="1"/>
  <c r="J217" i="52" s="1"/>
  <c r="K217" i="52" s="1"/>
  <c r="L217" i="52" s="1"/>
  <c r="M217" i="52" s="1"/>
  <c r="N217" i="52" s="1"/>
  <c r="O217" i="52" s="1"/>
  <c r="P217" i="52" s="1"/>
  <c r="B217" i="52"/>
  <c r="I216" i="52"/>
  <c r="J216" i="52" s="1"/>
  <c r="K216" i="52" s="1"/>
  <c r="L216" i="52" s="1"/>
  <c r="M216" i="52" s="1"/>
  <c r="N216" i="52" s="1"/>
  <c r="O216" i="52" s="1"/>
  <c r="P216" i="52" s="1"/>
  <c r="H216" i="52"/>
  <c r="G216" i="52"/>
  <c r="F216" i="52"/>
  <c r="E216" i="52"/>
  <c r="D216" i="52"/>
  <c r="B216" i="52"/>
  <c r="N215" i="52"/>
  <c r="O215" i="52" s="1"/>
  <c r="P215" i="52" s="1"/>
  <c r="G215" i="52"/>
  <c r="H215" i="52" s="1"/>
  <c r="I215" i="52" s="1"/>
  <c r="J215" i="52" s="1"/>
  <c r="K215" i="52" s="1"/>
  <c r="L215" i="52" s="1"/>
  <c r="M215" i="52" s="1"/>
  <c r="F215" i="52"/>
  <c r="E215" i="52"/>
  <c r="D215" i="52"/>
  <c r="B215" i="52"/>
  <c r="E214" i="52"/>
  <c r="D214" i="52"/>
  <c r="B214" i="52"/>
  <c r="AG212" i="52"/>
  <c r="AF212" i="52"/>
  <c r="AE212" i="52"/>
  <c r="AD212" i="52"/>
  <c r="AC212" i="52"/>
  <c r="AB212" i="52"/>
  <c r="AA212" i="52"/>
  <c r="Z212" i="52"/>
  <c r="Y212" i="52"/>
  <c r="X212" i="52"/>
  <c r="W212" i="52"/>
  <c r="V212" i="52"/>
  <c r="U212" i="52"/>
  <c r="T212" i="52"/>
  <c r="S212" i="52"/>
  <c r="R212" i="52"/>
  <c r="Q212" i="52"/>
  <c r="P212" i="52"/>
  <c r="O212" i="52"/>
  <c r="N212" i="52"/>
  <c r="M212" i="52"/>
  <c r="L212" i="52"/>
  <c r="K212" i="52"/>
  <c r="J212" i="52"/>
  <c r="I212" i="52"/>
  <c r="H212" i="52"/>
  <c r="G212" i="52"/>
  <c r="F212" i="52"/>
  <c r="E212" i="52"/>
  <c r="D212" i="52"/>
  <c r="C212" i="52"/>
  <c r="B212" i="52"/>
  <c r="AH105" i="52"/>
  <c r="AI105" i="52" s="1"/>
  <c r="AH104" i="52"/>
  <c r="AI104" i="52" s="1"/>
  <c r="AH103" i="52"/>
  <c r="AI103" i="52" s="1"/>
  <c r="AH102" i="52"/>
  <c r="AI102" i="52" s="1"/>
  <c r="AH101" i="52"/>
  <c r="AI101" i="52" s="1"/>
  <c r="AH99" i="52"/>
  <c r="AI99" i="52" s="1"/>
  <c r="AF98" i="52"/>
  <c r="AE98" i="52"/>
  <c r="AD98" i="52"/>
  <c r="AC98" i="52"/>
  <c r="AB98" i="52"/>
  <c r="AA98" i="52"/>
  <c r="Z98" i="52"/>
  <c r="Y98" i="52"/>
  <c r="X98" i="52"/>
  <c r="W98" i="52"/>
  <c r="V98" i="52"/>
  <c r="U98" i="52"/>
  <c r="T98" i="52"/>
  <c r="S98" i="52"/>
  <c r="R98" i="52"/>
  <c r="Q98" i="52"/>
  <c r="C98" i="52"/>
  <c r="B98" i="52"/>
  <c r="AI97" i="52"/>
  <c r="AH97" i="52"/>
  <c r="AI96" i="52"/>
  <c r="AH96" i="52"/>
  <c r="AI95" i="52"/>
  <c r="AH95" i="52"/>
  <c r="AI94" i="52"/>
  <c r="AH94" i="52"/>
  <c r="AI93" i="52"/>
  <c r="AH93" i="52"/>
  <c r="AI92" i="52"/>
  <c r="AH92" i="52"/>
  <c r="AI91" i="52"/>
  <c r="AH91" i="52"/>
  <c r="AI90" i="52"/>
  <c r="AH90" i="52"/>
  <c r="AI89" i="52"/>
  <c r="AH89" i="52"/>
  <c r="AI86" i="52"/>
  <c r="AH86" i="52"/>
  <c r="AF85" i="52"/>
  <c r="AE85" i="52"/>
  <c r="AD85" i="52"/>
  <c r="AC85" i="52"/>
  <c r="AB85" i="52"/>
  <c r="AA85" i="52"/>
  <c r="Z85" i="52"/>
  <c r="Y85" i="52"/>
  <c r="X85" i="52"/>
  <c r="W85" i="52"/>
  <c r="V85" i="52"/>
  <c r="U85" i="52"/>
  <c r="T85" i="52"/>
  <c r="S85" i="52"/>
  <c r="R85" i="52"/>
  <c r="Q85" i="52"/>
  <c r="P85" i="52"/>
  <c r="O85" i="52"/>
  <c r="N85" i="52"/>
  <c r="M85" i="52"/>
  <c r="L85" i="52"/>
  <c r="K85" i="52"/>
  <c r="J85" i="52"/>
  <c r="I85" i="52"/>
  <c r="H85" i="52"/>
  <c r="G85" i="52"/>
  <c r="F85" i="52"/>
  <c r="E85" i="52"/>
  <c r="D85" i="52"/>
  <c r="C85" i="52"/>
  <c r="B85" i="52"/>
  <c r="AF84" i="52"/>
  <c r="AE84" i="52"/>
  <c r="AD84" i="52"/>
  <c r="AC84" i="52"/>
  <c r="AB84" i="52"/>
  <c r="AA84" i="52"/>
  <c r="Z84" i="52"/>
  <c r="Y84" i="52"/>
  <c r="X84" i="52"/>
  <c r="W84" i="52"/>
  <c r="V84" i="52"/>
  <c r="U84" i="52"/>
  <c r="T84" i="52"/>
  <c r="S84" i="52"/>
  <c r="R84" i="52"/>
  <c r="Q84" i="52"/>
  <c r="P84" i="52"/>
  <c r="O84" i="52"/>
  <c r="N84" i="52"/>
  <c r="M84" i="52"/>
  <c r="L84" i="52"/>
  <c r="K84" i="52"/>
  <c r="J84" i="52"/>
  <c r="I84" i="52"/>
  <c r="H84" i="52"/>
  <c r="G84" i="52"/>
  <c r="F84" i="52"/>
  <c r="E84" i="52"/>
  <c r="D84" i="52"/>
  <c r="C84" i="52"/>
  <c r="B84" i="52"/>
  <c r="AF83" i="52"/>
  <c r="AE83" i="52"/>
  <c r="AD83" i="52"/>
  <c r="AC83" i="52"/>
  <c r="AB83" i="52"/>
  <c r="AB87" i="52" s="1"/>
  <c r="AA83" i="52"/>
  <c r="Z83" i="52"/>
  <c r="Y83" i="52"/>
  <c r="X83" i="52"/>
  <c r="W83" i="52"/>
  <c r="V83" i="52"/>
  <c r="U83" i="52"/>
  <c r="T83" i="52"/>
  <c r="S83" i="52"/>
  <c r="R83" i="52"/>
  <c r="Q83" i="52"/>
  <c r="P83" i="52"/>
  <c r="O83" i="52"/>
  <c r="N83" i="52"/>
  <c r="M83" i="52"/>
  <c r="L83" i="52"/>
  <c r="K83" i="52"/>
  <c r="J83" i="52"/>
  <c r="I83" i="52"/>
  <c r="H83" i="52"/>
  <c r="G83" i="52"/>
  <c r="F83" i="52"/>
  <c r="E83" i="52"/>
  <c r="D83" i="52"/>
  <c r="C83" i="52"/>
  <c r="B83" i="52"/>
  <c r="AF82" i="52"/>
  <c r="AE82" i="52"/>
  <c r="AD82" i="52"/>
  <c r="AC82" i="52"/>
  <c r="AC87" i="52" s="1"/>
  <c r="AB82" i="52"/>
  <c r="AA82" i="52"/>
  <c r="Z82" i="52"/>
  <c r="Y82" i="52"/>
  <c r="X82" i="52"/>
  <c r="W82" i="52"/>
  <c r="V82" i="52"/>
  <c r="U82" i="52"/>
  <c r="T82" i="52"/>
  <c r="S82" i="52"/>
  <c r="R82" i="52"/>
  <c r="Q82" i="52"/>
  <c r="P82" i="52"/>
  <c r="O82" i="52"/>
  <c r="N82" i="52"/>
  <c r="M82" i="52"/>
  <c r="L82" i="52"/>
  <c r="K82" i="52"/>
  <c r="J82" i="52"/>
  <c r="I82" i="52"/>
  <c r="H82" i="52"/>
  <c r="G82" i="52"/>
  <c r="F82" i="52"/>
  <c r="E82" i="52"/>
  <c r="D82" i="52"/>
  <c r="C82" i="52"/>
  <c r="B82" i="52"/>
  <c r="AF81" i="52"/>
  <c r="AE81" i="52"/>
  <c r="AD81" i="52"/>
  <c r="AC81" i="52"/>
  <c r="AB81" i="52"/>
  <c r="AA81" i="52"/>
  <c r="Z81" i="52"/>
  <c r="Y81" i="52"/>
  <c r="X81" i="52"/>
  <c r="W81" i="52"/>
  <c r="V81" i="52"/>
  <c r="U81" i="52"/>
  <c r="U87" i="52" s="1"/>
  <c r="T81" i="52"/>
  <c r="S81" i="52"/>
  <c r="R81" i="52"/>
  <c r="R87" i="52" s="1"/>
  <c r="Q81" i="52"/>
  <c r="P81" i="52"/>
  <c r="O81" i="52"/>
  <c r="N81" i="52"/>
  <c r="M81" i="52"/>
  <c r="L81" i="52"/>
  <c r="K81" i="52"/>
  <c r="J81" i="52"/>
  <c r="J87" i="52" s="1"/>
  <c r="I81" i="52"/>
  <c r="H81" i="52"/>
  <c r="G81" i="52"/>
  <c r="F81" i="52"/>
  <c r="F87" i="52" s="1"/>
  <c r="E81" i="52"/>
  <c r="E87" i="52" s="1"/>
  <c r="D81" i="52"/>
  <c r="C81" i="52"/>
  <c r="B81" i="52"/>
  <c r="AI78" i="52"/>
  <c r="AH78" i="52"/>
  <c r="AI76" i="52"/>
  <c r="AH76" i="52"/>
  <c r="AG76" i="52"/>
  <c r="AI75" i="52"/>
  <c r="AH75" i="52"/>
  <c r="AI74" i="52"/>
  <c r="AH74" i="52"/>
  <c r="AI73" i="52"/>
  <c r="AH73" i="52"/>
  <c r="AG72" i="52"/>
  <c r="AF72" i="52"/>
  <c r="AE5" i="52" s="1"/>
  <c r="AE72" i="52"/>
  <c r="AD72" i="52"/>
  <c r="AC5" i="52" s="1"/>
  <c r="AC72" i="52"/>
  <c r="AB5" i="52" s="1"/>
  <c r="AB72" i="52"/>
  <c r="AA5" i="52" s="1"/>
  <c r="AA72" i="52"/>
  <c r="Z5" i="52" s="1"/>
  <c r="Z72" i="52"/>
  <c r="Y5" i="52" s="1"/>
  <c r="Y72" i="52"/>
  <c r="X72" i="52"/>
  <c r="W5" i="52" s="1"/>
  <c r="W72" i="52"/>
  <c r="V72" i="52"/>
  <c r="U5" i="52" s="1"/>
  <c r="U72" i="52"/>
  <c r="T5" i="52" s="1"/>
  <c r="T72" i="52"/>
  <c r="S72" i="52"/>
  <c r="R5" i="52" s="1"/>
  <c r="R72" i="52"/>
  <c r="Q5" i="52" s="1"/>
  <c r="Q72" i="52"/>
  <c r="P5" i="52" s="1"/>
  <c r="P72" i="52"/>
  <c r="O5" i="52" s="1"/>
  <c r="O72" i="52"/>
  <c r="N72" i="52"/>
  <c r="M5" i="52" s="1"/>
  <c r="M72" i="52"/>
  <c r="L5" i="52" s="1"/>
  <c r="L72" i="52"/>
  <c r="K72" i="52"/>
  <c r="J5" i="52" s="1"/>
  <c r="J72" i="52"/>
  <c r="I5" i="52" s="1"/>
  <c r="I72" i="52"/>
  <c r="H5" i="52" s="1"/>
  <c r="H72" i="52"/>
  <c r="G5" i="52" s="1"/>
  <c r="G72" i="52"/>
  <c r="F72" i="52"/>
  <c r="E5" i="52" s="1"/>
  <c r="E72" i="52"/>
  <c r="D5" i="52" s="1"/>
  <c r="D72" i="52"/>
  <c r="C5" i="52" s="1"/>
  <c r="C72" i="52"/>
  <c r="B5" i="52" s="1"/>
  <c r="B72" i="52"/>
  <c r="AF5" i="52" s="1"/>
  <c r="AI71" i="52"/>
  <c r="AH71" i="52"/>
  <c r="AI70" i="52"/>
  <c r="AH70" i="52"/>
  <c r="AI69" i="52"/>
  <c r="AH69" i="52"/>
  <c r="AI68" i="52"/>
  <c r="AH68" i="52"/>
  <c r="AI67" i="52"/>
  <c r="AH67" i="52"/>
  <c r="AI66" i="52"/>
  <c r="AH66" i="52"/>
  <c r="AI65" i="52"/>
  <c r="AH65" i="52"/>
  <c r="AI64" i="52"/>
  <c r="AH64" i="52"/>
  <c r="AI63" i="52"/>
  <c r="AH63" i="52"/>
  <c r="AI62" i="52"/>
  <c r="AH62" i="52"/>
  <c r="AI61" i="52"/>
  <c r="AH61" i="52"/>
  <c r="AG60" i="52"/>
  <c r="AF60" i="52"/>
  <c r="AE60" i="52"/>
  <c r="AD60" i="52"/>
  <c r="AC60" i="52"/>
  <c r="AB60" i="52"/>
  <c r="AA60" i="52"/>
  <c r="Z60" i="52"/>
  <c r="Y60" i="52"/>
  <c r="X60" i="52"/>
  <c r="W60" i="52"/>
  <c r="V60" i="52"/>
  <c r="U60" i="52"/>
  <c r="T60" i="52"/>
  <c r="S60" i="52"/>
  <c r="R60" i="52"/>
  <c r="Q60" i="52"/>
  <c r="P60" i="52"/>
  <c r="O60" i="52"/>
  <c r="N60" i="52"/>
  <c r="M60" i="52"/>
  <c r="L60" i="52"/>
  <c r="K60" i="52"/>
  <c r="J60" i="52"/>
  <c r="I60" i="52"/>
  <c r="H60" i="52"/>
  <c r="G60" i="52"/>
  <c r="F60" i="52"/>
  <c r="E60" i="52"/>
  <c r="D60" i="52"/>
  <c r="C60" i="52"/>
  <c r="B60" i="52"/>
  <c r="AI59" i="52"/>
  <c r="AH59" i="52"/>
  <c r="AI58" i="52"/>
  <c r="AH58" i="52"/>
  <c r="AI57" i="52"/>
  <c r="AH57" i="52"/>
  <c r="AF56" i="52"/>
  <c r="AE56" i="52"/>
  <c r="AD56" i="52"/>
  <c r="AC56" i="52"/>
  <c r="AB56" i="52"/>
  <c r="AA56" i="52"/>
  <c r="Z56" i="52"/>
  <c r="Y56" i="52"/>
  <c r="X56" i="52"/>
  <c r="W56" i="52"/>
  <c r="V56" i="52"/>
  <c r="U56" i="52"/>
  <c r="T56" i="52"/>
  <c r="S56" i="52"/>
  <c r="R56" i="52"/>
  <c r="Q56" i="52"/>
  <c r="P56" i="52"/>
  <c r="O56" i="52"/>
  <c r="N56" i="52"/>
  <c r="M56" i="52"/>
  <c r="L56" i="52"/>
  <c r="K56" i="52"/>
  <c r="J56" i="52"/>
  <c r="I56" i="52"/>
  <c r="H56" i="52"/>
  <c r="G56" i="52"/>
  <c r="F56" i="52"/>
  <c r="E56" i="52"/>
  <c r="D56" i="52"/>
  <c r="C56" i="52"/>
  <c r="B56" i="52"/>
  <c r="AI55" i="52"/>
  <c r="AH55" i="52"/>
  <c r="AG55" i="52"/>
  <c r="AG56" i="52" s="1"/>
  <c r="AI54" i="52"/>
  <c r="AH54" i="52"/>
  <c r="AI53" i="52"/>
  <c r="AH53" i="52"/>
  <c r="AI52" i="52"/>
  <c r="AH52" i="52"/>
  <c r="AI51" i="52"/>
  <c r="AH51" i="52"/>
  <c r="AI50" i="52"/>
  <c r="AH50" i="52"/>
  <c r="AI49" i="52"/>
  <c r="AH49" i="52"/>
  <c r="AI48" i="52"/>
  <c r="AH48" i="52"/>
  <c r="AI47" i="52"/>
  <c r="AH47" i="52"/>
  <c r="AI46" i="52"/>
  <c r="AH46" i="52"/>
  <c r="AI45" i="52"/>
  <c r="AH45" i="52"/>
  <c r="AI44" i="52"/>
  <c r="AH44" i="52"/>
  <c r="AI43" i="52"/>
  <c r="AH43" i="52"/>
  <c r="AG42" i="52"/>
  <c r="AF42" i="52"/>
  <c r="AE42" i="52"/>
  <c r="AD42" i="52"/>
  <c r="AC42" i="52"/>
  <c r="AB42" i="52"/>
  <c r="AA42" i="52"/>
  <c r="Z42" i="52"/>
  <c r="Y42" i="52"/>
  <c r="X42" i="52"/>
  <c r="W42" i="52"/>
  <c r="V42" i="52"/>
  <c r="U42" i="52"/>
  <c r="T42" i="52"/>
  <c r="S42" i="52"/>
  <c r="R42" i="52"/>
  <c r="Q42" i="52"/>
  <c r="P42" i="52"/>
  <c r="O42" i="52"/>
  <c r="N42" i="52"/>
  <c r="M42" i="52"/>
  <c r="L42" i="52"/>
  <c r="K42" i="52"/>
  <c r="J42" i="52"/>
  <c r="I42" i="52"/>
  <c r="H42" i="52"/>
  <c r="G42" i="52"/>
  <c r="F42" i="52"/>
  <c r="E42" i="52"/>
  <c r="D42" i="52"/>
  <c r="C42" i="52"/>
  <c r="B42" i="52"/>
  <c r="AI41" i="52"/>
  <c r="AH41" i="52"/>
  <c r="AI40" i="52"/>
  <c r="AH40" i="52"/>
  <c r="AI39" i="52"/>
  <c r="AH39" i="52"/>
  <c r="AG38" i="52"/>
  <c r="AG77" i="52" s="1"/>
  <c r="AF38" i="52"/>
  <c r="AE38" i="52"/>
  <c r="AD38" i="52"/>
  <c r="AC38" i="52"/>
  <c r="AB38" i="52"/>
  <c r="AA38" i="52"/>
  <c r="Z38" i="52"/>
  <c r="Y38" i="52"/>
  <c r="X38" i="52"/>
  <c r="W38" i="52"/>
  <c r="V38" i="52"/>
  <c r="U38" i="52"/>
  <c r="T38" i="52"/>
  <c r="S38" i="52"/>
  <c r="R38" i="52"/>
  <c r="Q38" i="52"/>
  <c r="P38" i="52"/>
  <c r="O38" i="52"/>
  <c r="N38" i="52"/>
  <c r="M38" i="52"/>
  <c r="L38" i="52"/>
  <c r="K38" i="52"/>
  <c r="J38" i="52"/>
  <c r="I38" i="52"/>
  <c r="H38" i="52"/>
  <c r="G38" i="52"/>
  <c r="F38" i="52"/>
  <c r="E38" i="52"/>
  <c r="D38" i="52"/>
  <c r="C38" i="52"/>
  <c r="B38" i="52"/>
  <c r="AI36" i="52"/>
  <c r="AH36" i="52"/>
  <c r="AI35" i="52"/>
  <c r="AH35" i="52"/>
  <c r="AI34" i="52"/>
  <c r="AH34" i="52"/>
  <c r="AI33" i="52"/>
  <c r="AH33" i="52"/>
  <c r="AI32" i="52"/>
  <c r="AH32" i="52"/>
  <c r="AI31" i="52"/>
  <c r="AH31" i="52"/>
  <c r="AI30" i="52"/>
  <c r="AH30" i="52"/>
  <c r="AI29" i="52"/>
  <c r="AH29" i="52"/>
  <c r="AI28" i="52"/>
  <c r="AH28" i="52"/>
  <c r="AI27" i="52"/>
  <c r="AH27" i="52"/>
  <c r="AI26" i="52"/>
  <c r="AH26" i="52"/>
  <c r="AI25" i="52"/>
  <c r="AH25" i="52"/>
  <c r="AI24" i="52"/>
  <c r="AH24" i="52"/>
  <c r="AI23" i="52"/>
  <c r="AH23" i="52"/>
  <c r="AI22" i="52"/>
  <c r="AH22" i="52"/>
  <c r="AI21" i="52"/>
  <c r="AH21" i="52"/>
  <c r="AI20" i="52"/>
  <c r="AH20" i="52"/>
  <c r="AI19" i="52"/>
  <c r="AH19" i="52"/>
  <c r="AI18" i="52"/>
  <c r="AH18" i="52"/>
  <c r="AI17" i="52"/>
  <c r="AH17" i="52"/>
  <c r="AI16" i="52"/>
  <c r="AH16" i="52"/>
  <c r="AI15" i="52"/>
  <c r="AH15" i="52"/>
  <c r="AI14" i="52"/>
  <c r="AH14" i="52"/>
  <c r="AI13" i="52"/>
  <c r="AH13" i="52"/>
  <c r="AI12" i="52"/>
  <c r="AH12" i="52"/>
  <c r="AI11" i="52"/>
  <c r="AH11" i="52"/>
  <c r="X5" i="52"/>
  <c r="AG4" i="52"/>
  <c r="K4" i="52"/>
  <c r="B4" i="52"/>
  <c r="S231" i="52" s="1"/>
  <c r="AG2" i="52"/>
  <c r="E4" i="52"/>
  <c r="J220" i="55" l="1"/>
  <c r="J98" i="55"/>
  <c r="K214" i="55"/>
  <c r="K255" i="55"/>
  <c r="M219" i="55"/>
  <c r="K255" i="54"/>
  <c r="M219" i="54"/>
  <c r="I220" i="54"/>
  <c r="I98" i="54"/>
  <c r="J214" i="54"/>
  <c r="AF87" i="52"/>
  <c r="AF77" i="52"/>
  <c r="AF79" i="52" s="1"/>
  <c r="I214" i="53"/>
  <c r="H220" i="53"/>
  <c r="H98" i="53"/>
  <c r="K219" i="53"/>
  <c r="I255" i="53"/>
  <c r="AE87" i="52"/>
  <c r="AE77" i="52"/>
  <c r="AE79" i="52" s="1"/>
  <c r="AD87" i="52"/>
  <c r="AD77" i="52"/>
  <c r="AD79" i="52" s="1"/>
  <c r="AB77" i="52"/>
  <c r="AB79" i="52" s="1"/>
  <c r="AA77" i="52"/>
  <c r="AA79" i="52" s="1"/>
  <c r="Z77" i="52"/>
  <c r="Z79" i="52" s="1"/>
  <c r="AR234" i="52" s="1"/>
  <c r="Z87" i="52"/>
  <c r="Z88" i="52" s="1"/>
  <c r="Y77" i="52"/>
  <c r="Y79" i="52" s="1"/>
  <c r="X87" i="52"/>
  <c r="X77" i="52"/>
  <c r="X79" i="52" s="1"/>
  <c r="W87" i="52"/>
  <c r="W77" i="52"/>
  <c r="W79" i="52" s="1"/>
  <c r="V87" i="52"/>
  <c r="V77" i="52"/>
  <c r="V79" i="52" s="1"/>
  <c r="T87" i="52"/>
  <c r="T88" i="52"/>
  <c r="S5" i="52"/>
  <c r="T77" i="52"/>
  <c r="T79" i="52" s="1"/>
  <c r="S77" i="52"/>
  <c r="S79" i="52" s="1"/>
  <c r="R88" i="52"/>
  <c r="R77" i="52"/>
  <c r="R79" i="52" s="1"/>
  <c r="Q77" i="52"/>
  <c r="Q79" i="52" s="1"/>
  <c r="P87" i="52"/>
  <c r="P77" i="52"/>
  <c r="P79" i="52" s="1"/>
  <c r="O87" i="52"/>
  <c r="O77" i="52"/>
  <c r="O79" i="52" s="1"/>
  <c r="AG234" i="52" s="1"/>
  <c r="N87" i="52"/>
  <c r="N77" i="52"/>
  <c r="N79" i="52" s="1"/>
  <c r="M87" i="52"/>
  <c r="L87" i="52"/>
  <c r="L88" i="52"/>
  <c r="L77" i="52"/>
  <c r="L79" i="52" s="1"/>
  <c r="L80" i="52" s="1"/>
  <c r="K77" i="52"/>
  <c r="K79" i="52" s="1"/>
  <c r="AC234" i="52" s="1"/>
  <c r="J88" i="52"/>
  <c r="J77" i="52"/>
  <c r="J79" i="52" s="1"/>
  <c r="AB234" i="52" s="1"/>
  <c r="I77" i="52"/>
  <c r="I79" i="52" s="1"/>
  <c r="AA234" i="52" s="1"/>
  <c r="AH37" i="52"/>
  <c r="AI84" i="52"/>
  <c r="AH83" i="52"/>
  <c r="G77" i="52"/>
  <c r="G79" i="52" s="1"/>
  <c r="H87" i="52"/>
  <c r="H88" i="52" s="1"/>
  <c r="AI85" i="52"/>
  <c r="H77" i="52"/>
  <c r="H79" i="52" s="1"/>
  <c r="F77" i="52"/>
  <c r="F79" i="52" s="1"/>
  <c r="X234" i="52" s="1"/>
  <c r="D87" i="52"/>
  <c r="AH85" i="52"/>
  <c r="AI81" i="52"/>
  <c r="AI83" i="52"/>
  <c r="AI82" i="52"/>
  <c r="AH56" i="52"/>
  <c r="AI42" i="52"/>
  <c r="AI38" i="52"/>
  <c r="D77" i="52"/>
  <c r="D79" i="52" s="1"/>
  <c r="D80" i="52" s="1"/>
  <c r="AI60" i="52"/>
  <c r="AI56" i="52"/>
  <c r="B77" i="52"/>
  <c r="B79" i="52" s="1"/>
  <c r="T234" i="52" s="1"/>
  <c r="D231" i="52"/>
  <c r="H4" i="52"/>
  <c r="AQ234" i="52"/>
  <c r="Y7" i="52"/>
  <c r="AA7" i="52"/>
  <c r="AS234" i="52"/>
  <c r="AG6" i="52"/>
  <c r="T7" i="52"/>
  <c r="AL234" i="52"/>
  <c r="T80" i="52"/>
  <c r="AI234" i="52"/>
  <c r="Q7" i="52"/>
  <c r="AB7" i="52"/>
  <c r="AT234" i="52"/>
  <c r="AB80" i="52"/>
  <c r="AN234" i="52"/>
  <c r="V80" i="52"/>
  <c r="V7" i="52"/>
  <c r="AV234" i="52"/>
  <c r="AD7" i="52"/>
  <c r="AD80" i="52"/>
  <c r="S7" i="52"/>
  <c r="AK234" i="52"/>
  <c r="AF234" i="52"/>
  <c r="N7" i="52"/>
  <c r="N80" i="52"/>
  <c r="Y234" i="52"/>
  <c r="G80" i="52"/>
  <c r="G7" i="52"/>
  <c r="AO234" i="52"/>
  <c r="W80" i="52"/>
  <c r="W7" i="52"/>
  <c r="AW234" i="52"/>
  <c r="AE80" i="52"/>
  <c r="AE7" i="52"/>
  <c r="K7" i="52"/>
  <c r="P80" i="52"/>
  <c r="AH234" i="52"/>
  <c r="P7" i="52"/>
  <c r="X80" i="52"/>
  <c r="AP234" i="52"/>
  <c r="X7" i="52"/>
  <c r="AF80" i="52"/>
  <c r="AX234" i="52"/>
  <c r="AF7" i="52"/>
  <c r="I87" i="52"/>
  <c r="I88" i="52" s="1"/>
  <c r="Q87" i="52"/>
  <c r="Q88" i="52" s="1"/>
  <c r="Y87" i="52"/>
  <c r="Y80" i="52" s="1"/>
  <c r="AH82" i="52"/>
  <c r="AH84" i="52"/>
  <c r="G87" i="52"/>
  <c r="G88" i="52" s="1"/>
  <c r="F88" i="52"/>
  <c r="V88" i="52"/>
  <c r="K5" i="52"/>
  <c r="N5" i="52"/>
  <c r="O88" i="52"/>
  <c r="AH42" i="52"/>
  <c r="P88" i="52"/>
  <c r="AF88" i="52"/>
  <c r="C87" i="52"/>
  <c r="C88" i="52" s="1"/>
  <c r="K87" i="52"/>
  <c r="K80" i="52" s="1"/>
  <c r="S87" i="52"/>
  <c r="S80" i="52" s="1"/>
  <c r="AA87" i="52"/>
  <c r="AA80" i="52" s="1"/>
  <c r="AB88" i="52"/>
  <c r="F214" i="52"/>
  <c r="E98" i="52"/>
  <c r="E220" i="52"/>
  <c r="E88" i="52"/>
  <c r="F5" i="52"/>
  <c r="AD5" i="52"/>
  <c r="AE88" i="52"/>
  <c r="AH38" i="52"/>
  <c r="X88" i="52"/>
  <c r="M88" i="52"/>
  <c r="AC88" i="52"/>
  <c r="D88" i="52"/>
  <c r="U88" i="52"/>
  <c r="V5" i="52"/>
  <c r="W88" i="52"/>
  <c r="Z80" i="52"/>
  <c r="Z7" i="52"/>
  <c r="AG79" i="52"/>
  <c r="AG3" i="52"/>
  <c r="AH72" i="52"/>
  <c r="N88" i="52"/>
  <c r="AD88" i="52"/>
  <c r="B220" i="52"/>
  <c r="C77" i="52"/>
  <c r="E77" i="52"/>
  <c r="E79" i="52" s="1"/>
  <c r="M77" i="52"/>
  <c r="M79" i="52" s="1"/>
  <c r="U77" i="52"/>
  <c r="U79" i="52" s="1"/>
  <c r="AC77" i="52"/>
  <c r="AC79" i="52" s="1"/>
  <c r="AH60" i="52"/>
  <c r="AI72" i="52"/>
  <c r="B7" i="52"/>
  <c r="R80" i="52"/>
  <c r="R7" i="52"/>
  <c r="D220" i="52"/>
  <c r="D98" i="52"/>
  <c r="H219" i="52"/>
  <c r="F255" i="52"/>
  <c r="AJ234" i="52"/>
  <c r="AH81" i="52"/>
  <c r="B87" i="52"/>
  <c r="L255" i="55" l="1"/>
  <c r="N219" i="55"/>
  <c r="K220" i="55"/>
  <c r="L214" i="55"/>
  <c r="K98" i="55"/>
  <c r="J220" i="54"/>
  <c r="J98" i="54"/>
  <c r="K214" i="54"/>
  <c r="L255" i="54"/>
  <c r="N219" i="54"/>
  <c r="J255" i="53"/>
  <c r="L219" i="53"/>
  <c r="I220" i="53"/>
  <c r="I98" i="53"/>
  <c r="J214" i="53"/>
  <c r="AA88" i="52"/>
  <c r="Y88" i="52"/>
  <c r="S88" i="52"/>
  <c r="AD234" i="52"/>
  <c r="L7" i="52"/>
  <c r="H80" i="52"/>
  <c r="H7" i="52"/>
  <c r="B80" i="52"/>
  <c r="O80" i="52"/>
  <c r="O7" i="52"/>
  <c r="Q80" i="52"/>
  <c r="I7" i="52"/>
  <c r="J7" i="52"/>
  <c r="J80" i="52"/>
  <c r="Z234" i="52"/>
  <c r="C229" i="52"/>
  <c r="F7" i="52"/>
  <c r="F80" i="52"/>
  <c r="D7" i="52"/>
  <c r="V234" i="52"/>
  <c r="AE234" i="52"/>
  <c r="M80" i="52"/>
  <c r="M7" i="52"/>
  <c r="K88" i="52"/>
  <c r="I80" i="52"/>
  <c r="C79" i="52"/>
  <c r="AI77" i="52"/>
  <c r="AU234" i="52"/>
  <c r="AC80" i="52"/>
  <c r="AC7" i="52"/>
  <c r="W234" i="52"/>
  <c r="E80" i="52"/>
  <c r="E7" i="52"/>
  <c r="F98" i="52"/>
  <c r="G214" i="52"/>
  <c r="F220" i="52"/>
  <c r="AM234" i="52"/>
  <c r="U80" i="52"/>
  <c r="U7" i="52"/>
  <c r="G255" i="52"/>
  <c r="I219" i="52"/>
  <c r="B229" i="52"/>
  <c r="B88" i="52"/>
  <c r="AI87" i="52"/>
  <c r="AH87" i="52"/>
  <c r="AH77" i="52"/>
  <c r="L220" i="55" l="1"/>
  <c r="L98" i="55"/>
  <c r="M214" i="55"/>
  <c r="M255" i="55"/>
  <c r="O219" i="55"/>
  <c r="M255" i="54"/>
  <c r="O219" i="54"/>
  <c r="K220" i="54"/>
  <c r="K98" i="54"/>
  <c r="L214" i="54"/>
  <c r="J220" i="53"/>
  <c r="J98" i="53"/>
  <c r="K214" i="53"/>
  <c r="K255" i="53"/>
  <c r="M219" i="53"/>
  <c r="K6" i="52"/>
  <c r="C7" i="52"/>
  <c r="A7" i="52" s="1"/>
  <c r="C80" i="52"/>
  <c r="AH80" i="52" s="1"/>
  <c r="U234" i="52"/>
  <c r="AI79" i="52"/>
  <c r="AH79" i="52"/>
  <c r="AI88" i="52"/>
  <c r="AH88" i="52"/>
  <c r="H255" i="52"/>
  <c r="J219" i="52"/>
  <c r="G98" i="52"/>
  <c r="H214" i="52"/>
  <c r="G220" i="52"/>
  <c r="M98" i="55" l="1"/>
  <c r="N214" i="55"/>
  <c r="M220" i="55"/>
  <c r="N255" i="55"/>
  <c r="P219" i="55"/>
  <c r="O255" i="55" s="1"/>
  <c r="L220" i="54"/>
  <c r="L98" i="54"/>
  <c r="M214" i="54"/>
  <c r="N255" i="54"/>
  <c r="P219" i="54"/>
  <c r="O255" i="54" s="1"/>
  <c r="L255" i="53"/>
  <c r="N219" i="53"/>
  <c r="K220" i="53"/>
  <c r="K98" i="53"/>
  <c r="L214" i="53"/>
  <c r="I214" i="52"/>
  <c r="H220" i="52"/>
  <c r="H98" i="52"/>
  <c r="K219" i="52"/>
  <c r="I255" i="52"/>
  <c r="N98" i="55" l="1"/>
  <c r="O214" i="55"/>
  <c r="N220" i="55"/>
  <c r="M98" i="54"/>
  <c r="N214" i="54"/>
  <c r="M220" i="54"/>
  <c r="L220" i="53"/>
  <c r="L98" i="53"/>
  <c r="M214" i="53"/>
  <c r="M255" i="53"/>
  <c r="O219" i="53"/>
  <c r="J255" i="52"/>
  <c r="L219" i="52"/>
  <c r="I220" i="52"/>
  <c r="J214" i="52"/>
  <c r="I98" i="52"/>
  <c r="O98" i="55" l="1"/>
  <c r="P214" i="55"/>
  <c r="O220" i="55"/>
  <c r="N98" i="54"/>
  <c r="O214" i="54"/>
  <c r="N220" i="54"/>
  <c r="N255" i="53"/>
  <c r="P219" i="53"/>
  <c r="O255" i="53" s="1"/>
  <c r="M98" i="53"/>
  <c r="N214" i="53"/>
  <c r="M220" i="53"/>
  <c r="J220" i="52"/>
  <c r="K214" i="52"/>
  <c r="J98" i="52"/>
  <c r="M219" i="52"/>
  <c r="K255" i="52"/>
  <c r="P220" i="55" l="1"/>
  <c r="P98" i="55"/>
  <c r="O98" i="54"/>
  <c r="P214" i="54"/>
  <c r="O220" i="54"/>
  <c r="N98" i="53"/>
  <c r="O214" i="53"/>
  <c r="N220" i="53"/>
  <c r="K220" i="52"/>
  <c r="K98" i="52"/>
  <c r="L214" i="52"/>
  <c r="L255" i="52"/>
  <c r="N219" i="52"/>
  <c r="AI98" i="55" l="1"/>
  <c r="AH98" i="55"/>
  <c r="P220" i="54"/>
  <c r="P98" i="54"/>
  <c r="O98" i="53"/>
  <c r="P214" i="53"/>
  <c r="O220" i="53"/>
  <c r="L220" i="52"/>
  <c r="L98" i="52"/>
  <c r="M214" i="52"/>
  <c r="M255" i="52"/>
  <c r="O219" i="52"/>
  <c r="AI98" i="54" l="1"/>
  <c r="AH98" i="54"/>
  <c r="P220" i="53"/>
  <c r="P98" i="53"/>
  <c r="N214" i="52"/>
  <c r="M98" i="52"/>
  <c r="M220" i="52"/>
  <c r="P219" i="52"/>
  <c r="O255" i="52" s="1"/>
  <c r="N255" i="52"/>
  <c r="AI98" i="53" l="1"/>
  <c r="AH98" i="53"/>
  <c r="N98" i="52"/>
  <c r="O214" i="52"/>
  <c r="N220" i="52"/>
  <c r="O98" i="52" l="1"/>
  <c r="P214" i="52"/>
  <c r="O220" i="52"/>
  <c r="P98" i="52" l="1"/>
  <c r="P220" i="52"/>
  <c r="AA37" i="51"/>
  <c r="Z37" i="51"/>
  <c r="Y37" i="51"/>
  <c r="X37" i="51"/>
  <c r="W37" i="51"/>
  <c r="S37" i="51"/>
  <c r="AH98" i="52" l="1"/>
  <c r="AI98" i="52"/>
  <c r="R37" i="51"/>
  <c r="Q37" i="51"/>
  <c r="P37" i="51"/>
  <c r="O37" i="51" l="1"/>
  <c r="N37" i="51"/>
  <c r="M37" i="51" l="1"/>
  <c r="L100" i="51"/>
  <c r="K100" i="51"/>
  <c r="AF259" i="51"/>
  <c r="AE259" i="51"/>
  <c r="AD259" i="51"/>
  <c r="AC259" i="51"/>
  <c r="AB259" i="51"/>
  <c r="AA259" i="51"/>
  <c r="Z259" i="51"/>
  <c r="Y259" i="51"/>
  <c r="X259" i="51"/>
  <c r="W259" i="51"/>
  <c r="V259" i="51"/>
  <c r="U259" i="51"/>
  <c r="T259" i="51"/>
  <c r="S259" i="51"/>
  <c r="R259" i="51"/>
  <c r="Q259" i="51"/>
  <c r="P259" i="51"/>
  <c r="O259" i="51"/>
  <c r="N259" i="51"/>
  <c r="M259" i="51"/>
  <c r="L259" i="51"/>
  <c r="K259" i="51"/>
  <c r="J259" i="51"/>
  <c r="I259" i="51"/>
  <c r="H259" i="51"/>
  <c r="G259" i="51"/>
  <c r="F259" i="51"/>
  <c r="E259" i="51"/>
  <c r="D259" i="51"/>
  <c r="C259" i="51"/>
  <c r="B259" i="51"/>
  <c r="A259" i="51"/>
  <c r="AF258" i="51"/>
  <c r="AE258" i="51"/>
  <c r="AD258" i="51"/>
  <c r="AC258" i="51"/>
  <c r="AB258" i="51"/>
  <c r="AA258" i="51"/>
  <c r="Z258" i="51"/>
  <c r="Y258" i="51"/>
  <c r="X258" i="51"/>
  <c r="W258" i="51"/>
  <c r="V258" i="51"/>
  <c r="U258" i="51"/>
  <c r="T258" i="51"/>
  <c r="S258" i="51"/>
  <c r="R258" i="51"/>
  <c r="Q258" i="51"/>
  <c r="P258" i="51"/>
  <c r="O258" i="51"/>
  <c r="N258" i="51"/>
  <c r="M258" i="51"/>
  <c r="L258" i="51"/>
  <c r="K258" i="51"/>
  <c r="J258" i="51"/>
  <c r="I258" i="51"/>
  <c r="H258" i="51"/>
  <c r="G258" i="51"/>
  <c r="F258" i="51"/>
  <c r="E258" i="51"/>
  <c r="D258" i="51"/>
  <c r="C258" i="51"/>
  <c r="B258" i="51"/>
  <c r="A258" i="51"/>
  <c r="AF257" i="51"/>
  <c r="AE257" i="51"/>
  <c r="AD257" i="51"/>
  <c r="AC257" i="51"/>
  <c r="AB257" i="51"/>
  <c r="AA257" i="51"/>
  <c r="Z257" i="51"/>
  <c r="Y257" i="51"/>
  <c r="X257" i="51"/>
  <c r="W257" i="51"/>
  <c r="V257" i="51"/>
  <c r="U257" i="51"/>
  <c r="T257" i="51"/>
  <c r="S257" i="51"/>
  <c r="R257" i="51"/>
  <c r="Q257" i="51"/>
  <c r="P257" i="51"/>
  <c r="O257" i="51"/>
  <c r="N257" i="51"/>
  <c r="M257" i="51"/>
  <c r="L257" i="51"/>
  <c r="K257" i="51"/>
  <c r="J257" i="51"/>
  <c r="I257" i="51"/>
  <c r="H257" i="51"/>
  <c r="G257" i="51"/>
  <c r="F257" i="51"/>
  <c r="E257" i="51"/>
  <c r="D257" i="51"/>
  <c r="C257" i="51"/>
  <c r="B257" i="51"/>
  <c r="A257" i="51"/>
  <c r="AF256" i="51"/>
  <c r="AE256" i="51"/>
  <c r="AD256" i="51"/>
  <c r="AC256" i="51"/>
  <c r="AB256" i="51"/>
  <c r="AA256" i="51"/>
  <c r="Z256" i="51"/>
  <c r="Y256" i="51"/>
  <c r="X256" i="51"/>
  <c r="W256" i="51"/>
  <c r="V256" i="51"/>
  <c r="U256" i="51"/>
  <c r="T256" i="51"/>
  <c r="S256" i="51"/>
  <c r="R256" i="51"/>
  <c r="Q256" i="51"/>
  <c r="P256" i="51"/>
  <c r="O256" i="51"/>
  <c r="N256" i="51"/>
  <c r="M256" i="51"/>
  <c r="L256" i="51"/>
  <c r="K256" i="51"/>
  <c r="J256" i="51"/>
  <c r="I256" i="51"/>
  <c r="H256" i="51"/>
  <c r="G256" i="51"/>
  <c r="F256" i="51"/>
  <c r="E256" i="51"/>
  <c r="D256" i="51"/>
  <c r="C256" i="51"/>
  <c r="B256" i="51"/>
  <c r="A256" i="51"/>
  <c r="AE255" i="51"/>
  <c r="AD255" i="51"/>
  <c r="AC255" i="51"/>
  <c r="AB255" i="51"/>
  <c r="AA255" i="51"/>
  <c r="Z255" i="51"/>
  <c r="Y255" i="51"/>
  <c r="X255" i="51"/>
  <c r="W255" i="51"/>
  <c r="V255" i="51"/>
  <c r="U255" i="51"/>
  <c r="T255" i="51"/>
  <c r="S255" i="51"/>
  <c r="R255" i="51"/>
  <c r="Q255" i="51"/>
  <c r="P255" i="51"/>
  <c r="C255" i="51"/>
  <c r="B255" i="51"/>
  <c r="S230" i="51"/>
  <c r="AG220" i="51"/>
  <c r="AF220" i="51"/>
  <c r="AE220" i="51"/>
  <c r="AD220" i="51"/>
  <c r="AC220" i="51"/>
  <c r="AB220" i="51"/>
  <c r="AA220" i="51"/>
  <c r="Z220" i="51"/>
  <c r="Y220" i="51"/>
  <c r="X220" i="51"/>
  <c r="W220" i="51"/>
  <c r="V220" i="51"/>
  <c r="U220" i="51"/>
  <c r="T220" i="51"/>
  <c r="S220" i="51"/>
  <c r="R220" i="51"/>
  <c r="Q220" i="51"/>
  <c r="C220" i="51"/>
  <c r="E219" i="51"/>
  <c r="D255" i="51" s="1"/>
  <c r="D219" i="51"/>
  <c r="B219" i="51"/>
  <c r="AF255" i="51" s="1"/>
  <c r="D218" i="51"/>
  <c r="E218" i="51" s="1"/>
  <c r="F218" i="51" s="1"/>
  <c r="G218" i="51" s="1"/>
  <c r="H218" i="51" s="1"/>
  <c r="I218" i="51" s="1"/>
  <c r="J218" i="51" s="1"/>
  <c r="K218" i="51" s="1"/>
  <c r="L218" i="51" s="1"/>
  <c r="M218" i="51" s="1"/>
  <c r="N218" i="51" s="1"/>
  <c r="O218" i="51" s="1"/>
  <c r="P218" i="51" s="1"/>
  <c r="B218" i="51"/>
  <c r="E217" i="51"/>
  <c r="F217" i="51" s="1"/>
  <c r="G217" i="51" s="1"/>
  <c r="H217" i="51" s="1"/>
  <c r="I217" i="51" s="1"/>
  <c r="J217" i="51" s="1"/>
  <c r="K217" i="51" s="1"/>
  <c r="L217" i="51" s="1"/>
  <c r="M217" i="51" s="1"/>
  <c r="N217" i="51" s="1"/>
  <c r="O217" i="51" s="1"/>
  <c r="P217" i="51" s="1"/>
  <c r="D217" i="51"/>
  <c r="B217" i="51"/>
  <c r="E216" i="51"/>
  <c r="F216" i="51" s="1"/>
  <c r="G216" i="51" s="1"/>
  <c r="H216" i="51" s="1"/>
  <c r="I216" i="51" s="1"/>
  <c r="J216" i="51" s="1"/>
  <c r="K216" i="51" s="1"/>
  <c r="L216" i="51" s="1"/>
  <c r="M216" i="51" s="1"/>
  <c r="N216" i="51" s="1"/>
  <c r="O216" i="51" s="1"/>
  <c r="P216" i="51" s="1"/>
  <c r="D216" i="51"/>
  <c r="B216" i="51"/>
  <c r="E215" i="51"/>
  <c r="F215" i="51" s="1"/>
  <c r="G215" i="51" s="1"/>
  <c r="H215" i="51" s="1"/>
  <c r="I215" i="51" s="1"/>
  <c r="J215" i="51" s="1"/>
  <c r="K215" i="51" s="1"/>
  <c r="L215" i="51" s="1"/>
  <c r="M215" i="51" s="1"/>
  <c r="N215" i="51" s="1"/>
  <c r="O215" i="51" s="1"/>
  <c r="P215" i="51" s="1"/>
  <c r="D215" i="51"/>
  <c r="B215" i="51"/>
  <c r="D214" i="51"/>
  <c r="D220" i="51" s="1"/>
  <c r="B214" i="51"/>
  <c r="B220" i="51" s="1"/>
  <c r="AG212" i="51"/>
  <c r="AF212" i="51"/>
  <c r="AE212" i="51"/>
  <c r="AD212" i="51"/>
  <c r="AC212" i="51"/>
  <c r="AB212" i="51"/>
  <c r="AA212" i="51"/>
  <c r="Z212" i="51"/>
  <c r="Y212" i="51"/>
  <c r="X212" i="51"/>
  <c r="W212" i="51"/>
  <c r="V212" i="51"/>
  <c r="U212" i="51"/>
  <c r="T212" i="51"/>
  <c r="S212" i="51"/>
  <c r="R212" i="51"/>
  <c r="Q212" i="51"/>
  <c r="P212" i="51"/>
  <c r="O212" i="51"/>
  <c r="N212" i="51"/>
  <c r="M212" i="51"/>
  <c r="L212" i="51"/>
  <c r="K212" i="51"/>
  <c r="J212" i="51"/>
  <c r="I212" i="51"/>
  <c r="H212" i="51"/>
  <c r="G212" i="51"/>
  <c r="F212" i="51"/>
  <c r="E212" i="51"/>
  <c r="D212" i="51"/>
  <c r="C212" i="51"/>
  <c r="B212" i="51"/>
  <c r="AH105" i="51"/>
  <c r="AI105" i="51" s="1"/>
  <c r="AH104" i="51"/>
  <c r="AI104" i="51" s="1"/>
  <c r="AH103" i="51"/>
  <c r="AI103" i="51" s="1"/>
  <c r="AH102" i="51"/>
  <c r="AI102" i="51" s="1"/>
  <c r="AH101" i="51"/>
  <c r="AI101" i="51" s="1"/>
  <c r="AH100" i="51"/>
  <c r="AI100" i="51" s="1"/>
  <c r="AH99" i="51"/>
  <c r="AI99" i="51" s="1"/>
  <c r="AF98" i="51"/>
  <c r="AE98" i="51"/>
  <c r="AD98" i="51"/>
  <c r="AC98" i="51"/>
  <c r="AB98" i="51"/>
  <c r="AA98" i="51"/>
  <c r="Z98" i="51"/>
  <c r="Y98" i="51"/>
  <c r="X98" i="51"/>
  <c r="W98" i="51"/>
  <c r="V98" i="51"/>
  <c r="U98" i="51"/>
  <c r="T98" i="51"/>
  <c r="S98" i="51"/>
  <c r="R98" i="51"/>
  <c r="Q98" i="51"/>
  <c r="C98" i="51"/>
  <c r="AI97" i="51"/>
  <c r="AH97" i="51"/>
  <c r="AI96" i="51"/>
  <c r="AH96" i="51"/>
  <c r="AI95" i="51"/>
  <c r="AH95" i="51"/>
  <c r="AI94" i="51"/>
  <c r="AH94" i="51"/>
  <c r="AI93" i="51"/>
  <c r="AH93" i="51"/>
  <c r="AI92" i="51"/>
  <c r="AH92" i="51"/>
  <c r="AI91" i="51"/>
  <c r="AH91" i="51"/>
  <c r="AI90" i="51"/>
  <c r="AH90" i="51"/>
  <c r="AI89" i="51"/>
  <c r="AH89" i="51"/>
  <c r="O87" i="51"/>
  <c r="E87" i="51"/>
  <c r="AI86" i="51"/>
  <c r="AH86" i="51"/>
  <c r="AF85" i="51"/>
  <c r="AE85" i="51"/>
  <c r="AD85" i="51"/>
  <c r="AC85" i="51"/>
  <c r="AB85" i="51"/>
  <c r="AA85" i="51"/>
  <c r="Z85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M87" i="51" s="1"/>
  <c r="L85" i="51"/>
  <c r="K85" i="51"/>
  <c r="J85" i="51"/>
  <c r="I85" i="51"/>
  <c r="H85" i="51"/>
  <c r="G85" i="51"/>
  <c r="F85" i="51"/>
  <c r="E85" i="51"/>
  <c r="D85" i="51"/>
  <c r="C85" i="51"/>
  <c r="B85" i="51"/>
  <c r="AF84" i="51"/>
  <c r="AE84" i="51"/>
  <c r="AD84" i="51"/>
  <c r="AC84" i="51"/>
  <c r="AB84" i="51"/>
  <c r="AA84" i="51"/>
  <c r="Z84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AF83" i="51"/>
  <c r="AE83" i="51"/>
  <c r="AD83" i="51"/>
  <c r="AC83" i="51"/>
  <c r="AB83" i="51"/>
  <c r="AA83" i="51"/>
  <c r="Z83" i="51"/>
  <c r="Y83" i="51"/>
  <c r="X83" i="51"/>
  <c r="W83" i="51"/>
  <c r="V83" i="51"/>
  <c r="U83" i="51"/>
  <c r="T83" i="51"/>
  <c r="S83" i="51"/>
  <c r="R83" i="51"/>
  <c r="Q83" i="51"/>
  <c r="P83" i="51"/>
  <c r="O83" i="51"/>
  <c r="N83" i="51"/>
  <c r="M83" i="51"/>
  <c r="L83" i="51"/>
  <c r="K83" i="51"/>
  <c r="J83" i="51"/>
  <c r="I83" i="51"/>
  <c r="H83" i="51"/>
  <c r="G83" i="51"/>
  <c r="F83" i="51"/>
  <c r="E83" i="51"/>
  <c r="D83" i="51"/>
  <c r="C83" i="51"/>
  <c r="B83" i="51"/>
  <c r="AF82" i="51"/>
  <c r="AE82" i="51"/>
  <c r="AD82" i="51"/>
  <c r="AC82" i="51"/>
  <c r="AB82" i="51"/>
  <c r="AA82" i="51"/>
  <c r="Z82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AF81" i="51"/>
  <c r="AE81" i="51"/>
  <c r="AD81" i="51"/>
  <c r="AC81" i="51"/>
  <c r="AB81" i="51"/>
  <c r="AA81" i="51"/>
  <c r="Z81" i="51"/>
  <c r="Y81" i="51"/>
  <c r="X81" i="51"/>
  <c r="W81" i="51"/>
  <c r="V81" i="51"/>
  <c r="U81" i="51"/>
  <c r="T81" i="51"/>
  <c r="S81" i="51"/>
  <c r="R81" i="51"/>
  <c r="Q81" i="51"/>
  <c r="P81" i="51"/>
  <c r="P87" i="51" s="1"/>
  <c r="O81" i="51"/>
  <c r="N81" i="51"/>
  <c r="M81" i="51"/>
  <c r="L81" i="51"/>
  <c r="K81" i="51"/>
  <c r="J81" i="51"/>
  <c r="I81" i="51"/>
  <c r="I87" i="51" s="1"/>
  <c r="H81" i="51"/>
  <c r="H87" i="51" s="1"/>
  <c r="G81" i="51"/>
  <c r="F81" i="51"/>
  <c r="E81" i="51"/>
  <c r="D81" i="51"/>
  <c r="C81" i="51"/>
  <c r="B81" i="51"/>
  <c r="AI78" i="51"/>
  <c r="AH78" i="51"/>
  <c r="AI76" i="51"/>
  <c r="AH76" i="51"/>
  <c r="AG76" i="51"/>
  <c r="AG79" i="51" s="1"/>
  <c r="AI75" i="51"/>
  <c r="AH75" i="51"/>
  <c r="AI74" i="51"/>
  <c r="AH74" i="51"/>
  <c r="AI73" i="51"/>
  <c r="AH73" i="51"/>
  <c r="AG72" i="51"/>
  <c r="AF72" i="51"/>
  <c r="AE5" i="51" s="1"/>
  <c r="AE72" i="51"/>
  <c r="AD5" i="51" s="1"/>
  <c r="AD72" i="51"/>
  <c r="AC5" i="51" s="1"/>
  <c r="AC72" i="51"/>
  <c r="AB72" i="51"/>
  <c r="AA5" i="51" s="1"/>
  <c r="AA72" i="51"/>
  <c r="Z72" i="51"/>
  <c r="Y72" i="51"/>
  <c r="X5" i="51" s="1"/>
  <c r="X72" i="51"/>
  <c r="W72" i="51"/>
  <c r="V5" i="51" s="1"/>
  <c r="V72" i="51"/>
  <c r="U5" i="51" s="1"/>
  <c r="U72" i="51"/>
  <c r="T72" i="51"/>
  <c r="S5" i="51" s="1"/>
  <c r="S72" i="51"/>
  <c r="R72" i="51"/>
  <c r="Q72" i="51"/>
  <c r="P5" i="51" s="1"/>
  <c r="P72" i="51"/>
  <c r="O72" i="51"/>
  <c r="N72" i="51"/>
  <c r="M5" i="51" s="1"/>
  <c r="M72" i="51"/>
  <c r="L72" i="51"/>
  <c r="K5" i="51" s="1"/>
  <c r="K72" i="51"/>
  <c r="J72" i="51"/>
  <c r="I72" i="51"/>
  <c r="I88" i="51" s="1"/>
  <c r="H72" i="51"/>
  <c r="H88" i="51" s="1"/>
  <c r="G72" i="51"/>
  <c r="F5" i="51" s="1"/>
  <c r="F72" i="51"/>
  <c r="E5" i="51" s="1"/>
  <c r="E72" i="51"/>
  <c r="D5" i="51" s="1"/>
  <c r="D72" i="51"/>
  <c r="C5" i="51" s="1"/>
  <c r="C72" i="51"/>
  <c r="B5" i="51" s="1"/>
  <c r="B72" i="51"/>
  <c r="AF5" i="51" s="1"/>
  <c r="AI71" i="51"/>
  <c r="AH71" i="51"/>
  <c r="AI70" i="51"/>
  <c r="AH70" i="51"/>
  <c r="AI69" i="51"/>
  <c r="AH69" i="51"/>
  <c r="AI68" i="51"/>
  <c r="AH68" i="51"/>
  <c r="AI67" i="51"/>
  <c r="AH67" i="51"/>
  <c r="AI66" i="51"/>
  <c r="AH66" i="51"/>
  <c r="AI65" i="51"/>
  <c r="AH65" i="51"/>
  <c r="AI64" i="51"/>
  <c r="AH64" i="51"/>
  <c r="AI63" i="51"/>
  <c r="AH63" i="51"/>
  <c r="AI62" i="51"/>
  <c r="AH62" i="51"/>
  <c r="AI61" i="51"/>
  <c r="AH61" i="51"/>
  <c r="AG60" i="51"/>
  <c r="AF60" i="51"/>
  <c r="AE60" i="51"/>
  <c r="AD60" i="51"/>
  <c r="AC60" i="51"/>
  <c r="AB60" i="51"/>
  <c r="AA60" i="51"/>
  <c r="Z60" i="51"/>
  <c r="Y60" i="51"/>
  <c r="X60" i="51"/>
  <c r="W60" i="51"/>
  <c r="V60" i="51"/>
  <c r="U60" i="51"/>
  <c r="T60" i="51"/>
  <c r="S60" i="51"/>
  <c r="R60" i="51"/>
  <c r="Q60" i="51"/>
  <c r="P60" i="51"/>
  <c r="O60" i="51"/>
  <c r="N60" i="51"/>
  <c r="M60" i="51"/>
  <c r="L60" i="51"/>
  <c r="K60" i="51"/>
  <c r="J60" i="51"/>
  <c r="I60" i="51"/>
  <c r="H60" i="51"/>
  <c r="G60" i="51"/>
  <c r="F60" i="51"/>
  <c r="E60" i="51"/>
  <c r="D60" i="51"/>
  <c r="C60" i="51"/>
  <c r="B60" i="51"/>
  <c r="AI59" i="51"/>
  <c r="AH59" i="51"/>
  <c r="AI58" i="51"/>
  <c r="AH58" i="51"/>
  <c r="AI57" i="51"/>
  <c r="AH57" i="51"/>
  <c r="AF56" i="51"/>
  <c r="AE56" i="51"/>
  <c r="AD56" i="51"/>
  <c r="AC56" i="51"/>
  <c r="AB56" i="51"/>
  <c r="AA56" i="51"/>
  <c r="Z56" i="51"/>
  <c r="Y56" i="51"/>
  <c r="X56" i="51"/>
  <c r="W56" i="51"/>
  <c r="V56" i="51"/>
  <c r="U56" i="51"/>
  <c r="T56" i="51"/>
  <c r="S56" i="51"/>
  <c r="R56" i="51"/>
  <c r="Q56" i="51"/>
  <c r="P56" i="51"/>
  <c r="O56" i="51"/>
  <c r="N56" i="51"/>
  <c r="M56" i="51"/>
  <c r="L56" i="51"/>
  <c r="K56" i="51"/>
  <c r="J56" i="51"/>
  <c r="I56" i="51"/>
  <c r="H56" i="51"/>
  <c r="G56" i="51"/>
  <c r="F56" i="51"/>
  <c r="E56" i="51"/>
  <c r="D56" i="51"/>
  <c r="C56" i="51"/>
  <c r="B56" i="51"/>
  <c r="AI55" i="51"/>
  <c r="AH55" i="51"/>
  <c r="AG55" i="51"/>
  <c r="AG56" i="51" s="1"/>
  <c r="AG3" i="51" s="1"/>
  <c r="AG6" i="51" s="1"/>
  <c r="AI54" i="51"/>
  <c r="AH54" i="51"/>
  <c r="AI53" i="51"/>
  <c r="AH53" i="51"/>
  <c r="AI52" i="51"/>
  <c r="AH52" i="51"/>
  <c r="AI51" i="51"/>
  <c r="AH51" i="51"/>
  <c r="AI50" i="51"/>
  <c r="AH50" i="51"/>
  <c r="AI49" i="51"/>
  <c r="AH49" i="51"/>
  <c r="AI48" i="51"/>
  <c r="AH48" i="51"/>
  <c r="AI47" i="51"/>
  <c r="AH47" i="51"/>
  <c r="AI46" i="51"/>
  <c r="AH46" i="51"/>
  <c r="AI45" i="51"/>
  <c r="AH45" i="51"/>
  <c r="AI44" i="51"/>
  <c r="AH44" i="51"/>
  <c r="AI43" i="51"/>
  <c r="AH43" i="51"/>
  <c r="AG42" i="51"/>
  <c r="AF42" i="51"/>
  <c r="AE42" i="51"/>
  <c r="AD42" i="51"/>
  <c r="AC42" i="51"/>
  <c r="AB42" i="51"/>
  <c r="AA42" i="51"/>
  <c r="Z42" i="51"/>
  <c r="Y42" i="51"/>
  <c r="X42" i="51"/>
  <c r="W42" i="51"/>
  <c r="V42" i="51"/>
  <c r="U42" i="51"/>
  <c r="T42" i="51"/>
  <c r="S42" i="51"/>
  <c r="R42" i="51"/>
  <c r="Q42" i="51"/>
  <c r="P42" i="51"/>
  <c r="O42" i="51"/>
  <c r="N42" i="51"/>
  <c r="M42" i="51"/>
  <c r="L42" i="51"/>
  <c r="K42" i="51"/>
  <c r="J42" i="51"/>
  <c r="I42" i="51"/>
  <c r="H42" i="51"/>
  <c r="G42" i="51"/>
  <c r="F42" i="51"/>
  <c r="E42" i="51"/>
  <c r="D42" i="51"/>
  <c r="C42" i="51"/>
  <c r="B42" i="51"/>
  <c r="AI41" i="51"/>
  <c r="AH41" i="51"/>
  <c r="AI40" i="51"/>
  <c r="AH40" i="51"/>
  <c r="AI39" i="51"/>
  <c r="AH39" i="51"/>
  <c r="AG38" i="51"/>
  <c r="AF38" i="51"/>
  <c r="AE38" i="51"/>
  <c r="AD38" i="51"/>
  <c r="AC38" i="51"/>
  <c r="AB38" i="51"/>
  <c r="AA38" i="51"/>
  <c r="Z38" i="51"/>
  <c r="Y38" i="51"/>
  <c r="X38" i="51"/>
  <c r="W38" i="51"/>
  <c r="V38" i="51"/>
  <c r="U38" i="51"/>
  <c r="T38" i="51"/>
  <c r="S38" i="51"/>
  <c r="R38" i="51"/>
  <c r="Q38" i="51"/>
  <c r="P38" i="51"/>
  <c r="O38" i="51"/>
  <c r="N38" i="51"/>
  <c r="M38" i="51"/>
  <c r="L38" i="51"/>
  <c r="K38" i="51"/>
  <c r="J38" i="51"/>
  <c r="I38" i="51"/>
  <c r="I77" i="51" s="1"/>
  <c r="I79" i="51" s="1"/>
  <c r="H38" i="51"/>
  <c r="H77" i="51" s="1"/>
  <c r="H79" i="51" s="1"/>
  <c r="G38" i="51"/>
  <c r="F38" i="51"/>
  <c r="E38" i="51"/>
  <c r="D38" i="51"/>
  <c r="C38" i="51"/>
  <c r="B38" i="51"/>
  <c r="B77" i="51" s="1"/>
  <c r="AI37" i="51"/>
  <c r="AH37" i="51"/>
  <c r="AI36" i="51"/>
  <c r="AH36" i="51"/>
  <c r="AI35" i="51"/>
  <c r="AH35" i="51"/>
  <c r="AI34" i="51"/>
  <c r="AH34" i="51"/>
  <c r="AI33" i="51"/>
  <c r="AH33" i="51"/>
  <c r="AI32" i="51"/>
  <c r="AH32" i="51"/>
  <c r="AI31" i="51"/>
  <c r="AH31" i="51"/>
  <c r="AI30" i="51"/>
  <c r="AH30" i="51"/>
  <c r="AI29" i="51"/>
  <c r="AH29" i="51"/>
  <c r="AI28" i="51"/>
  <c r="AH28" i="51"/>
  <c r="AI27" i="51"/>
  <c r="AH27" i="51"/>
  <c r="AI26" i="51"/>
  <c r="AH26" i="51"/>
  <c r="AI25" i="51"/>
  <c r="AH25" i="51"/>
  <c r="AI24" i="51"/>
  <c r="AH24" i="51"/>
  <c r="AI23" i="51"/>
  <c r="AH23" i="51"/>
  <c r="AI22" i="51"/>
  <c r="AH22" i="51"/>
  <c r="AI21" i="51"/>
  <c r="AH21" i="51"/>
  <c r="AI20" i="51"/>
  <c r="AH20" i="51"/>
  <c r="AI19" i="51"/>
  <c r="AH19" i="51"/>
  <c r="AI18" i="51"/>
  <c r="AH18" i="51"/>
  <c r="AI17" i="51"/>
  <c r="AH17" i="51"/>
  <c r="AI16" i="51"/>
  <c r="AH16" i="51"/>
  <c r="AI15" i="51"/>
  <c r="AH15" i="51"/>
  <c r="AI14" i="51"/>
  <c r="AH14" i="51"/>
  <c r="AI13" i="51"/>
  <c r="AH13" i="51"/>
  <c r="AI12" i="51"/>
  <c r="AH12" i="51"/>
  <c r="AI11" i="51"/>
  <c r="AH11" i="51"/>
  <c r="Y5" i="51"/>
  <c r="O5" i="51"/>
  <c r="I5" i="51"/>
  <c r="H5" i="51"/>
  <c r="G5" i="51"/>
  <c r="AG4" i="51"/>
  <c r="K4" i="51"/>
  <c r="B4" i="51"/>
  <c r="D231" i="51" s="1"/>
  <c r="AG2" i="51"/>
  <c r="AF100" i="47"/>
  <c r="AF37" i="47"/>
  <c r="AE100" i="47"/>
  <c r="AE37" i="47"/>
  <c r="AD100" i="47"/>
  <c r="AD37" i="47"/>
  <c r="AC100" i="47"/>
  <c r="AC37" i="47"/>
  <c r="AB100" i="47"/>
  <c r="AB37" i="47"/>
  <c r="AA100" i="47"/>
  <c r="AA37" i="47"/>
  <c r="Z100" i="47"/>
  <c r="Z37" i="47"/>
  <c r="Y100" i="47"/>
  <c r="Y37" i="47"/>
  <c r="X100" i="47"/>
  <c r="X37" i="47"/>
  <c r="W100" i="47"/>
  <c r="V100" i="47"/>
  <c r="W37" i="47"/>
  <c r="V37" i="47"/>
  <c r="U100" i="47"/>
  <c r="U37" i="47"/>
  <c r="T100" i="47"/>
  <c r="R37" i="47"/>
  <c r="Q37" i="47"/>
  <c r="P100" i="47"/>
  <c r="P37" i="47"/>
  <c r="O100" i="47"/>
  <c r="N37" i="47"/>
  <c r="O37" i="47"/>
  <c r="M37" i="47"/>
  <c r="L37" i="47"/>
  <c r="E4" i="51"/>
  <c r="AF87" i="51" l="1"/>
  <c r="AE87" i="51"/>
  <c r="AE88" i="51" s="1"/>
  <c r="AD87" i="51"/>
  <c r="AF88" i="51"/>
  <c r="AE77" i="51"/>
  <c r="AE79" i="51" s="1"/>
  <c r="AF77" i="51"/>
  <c r="AF79" i="51" s="1"/>
  <c r="AF7" i="51" s="1"/>
  <c r="AC87" i="51"/>
  <c r="AC88" i="51" s="1"/>
  <c r="AC77" i="51"/>
  <c r="AC79" i="51" s="1"/>
  <c r="AD77" i="51"/>
  <c r="AD79" i="51" s="1"/>
  <c r="AD80" i="51" s="1"/>
  <c r="AB77" i="51"/>
  <c r="AB79" i="51" s="1"/>
  <c r="AB87" i="51"/>
  <c r="AB88" i="51" s="1"/>
  <c r="AA77" i="51"/>
  <c r="AA79" i="51" s="1"/>
  <c r="Z5" i="51"/>
  <c r="AA87" i="51"/>
  <c r="AA88" i="51" s="1"/>
  <c r="Z87" i="51"/>
  <c r="Z88" i="51" s="1"/>
  <c r="Z77" i="51"/>
  <c r="Z79" i="51" s="1"/>
  <c r="Y87" i="51"/>
  <c r="Y88" i="51" s="1"/>
  <c r="Y77" i="51"/>
  <c r="Y79" i="51" s="1"/>
  <c r="W5" i="51"/>
  <c r="X87" i="51"/>
  <c r="X88" i="51" s="1"/>
  <c r="X77" i="51"/>
  <c r="X79" i="51" s="1"/>
  <c r="W87" i="51"/>
  <c r="W88" i="51" s="1"/>
  <c r="W77" i="51"/>
  <c r="W79" i="51" s="1"/>
  <c r="V87" i="51"/>
  <c r="V77" i="51"/>
  <c r="V79" i="51" s="1"/>
  <c r="U87" i="51"/>
  <c r="U88" i="51" s="1"/>
  <c r="U77" i="51"/>
  <c r="U79" i="51" s="1"/>
  <c r="T87" i="51"/>
  <c r="T88" i="51" s="1"/>
  <c r="T77" i="51"/>
  <c r="T79" i="51" s="1"/>
  <c r="S87" i="51"/>
  <c r="S88" i="51" s="1"/>
  <c r="R5" i="51"/>
  <c r="S77" i="51"/>
  <c r="S79" i="51" s="1"/>
  <c r="R87" i="51"/>
  <c r="R88" i="51" s="1"/>
  <c r="Q5" i="51"/>
  <c r="R77" i="51"/>
  <c r="R79" i="51" s="1"/>
  <c r="Q87" i="51"/>
  <c r="Q88" i="51" s="1"/>
  <c r="Q77" i="51"/>
  <c r="Q79" i="51" s="1"/>
  <c r="P88" i="51"/>
  <c r="P77" i="51"/>
  <c r="P79" i="51" s="1"/>
  <c r="O88" i="51"/>
  <c r="N5" i="51"/>
  <c r="N87" i="51"/>
  <c r="O77" i="51"/>
  <c r="O79" i="51" s="1"/>
  <c r="O7" i="51" s="1"/>
  <c r="N77" i="51"/>
  <c r="N79" i="51" s="1"/>
  <c r="M88" i="51"/>
  <c r="M77" i="51"/>
  <c r="M79" i="51" s="1"/>
  <c r="L87" i="51"/>
  <c r="L88" i="51"/>
  <c r="L77" i="51"/>
  <c r="L79" i="51" s="1"/>
  <c r="L7" i="51" s="1"/>
  <c r="J87" i="51"/>
  <c r="J88" i="51" s="1"/>
  <c r="K87" i="51"/>
  <c r="K88" i="51" s="1"/>
  <c r="J5" i="51"/>
  <c r="J77" i="51"/>
  <c r="J79" i="51" s="1"/>
  <c r="J80" i="51" s="1"/>
  <c r="K77" i="51"/>
  <c r="K79" i="51" s="1"/>
  <c r="K7" i="51" s="1"/>
  <c r="G87" i="51"/>
  <c r="G88" i="51"/>
  <c r="G77" i="51"/>
  <c r="G79" i="51" s="1"/>
  <c r="Y234" i="51" s="1"/>
  <c r="F87" i="51"/>
  <c r="AI84" i="51"/>
  <c r="F77" i="51"/>
  <c r="F79" i="51" s="1"/>
  <c r="F7" i="51" s="1"/>
  <c r="E77" i="51"/>
  <c r="E79" i="51" s="1"/>
  <c r="E7" i="51" s="1"/>
  <c r="D87" i="51"/>
  <c r="D88" i="51" s="1"/>
  <c r="AI83" i="51"/>
  <c r="D77" i="51"/>
  <c r="D79" i="51" s="1"/>
  <c r="V234" i="51" s="1"/>
  <c r="AH84" i="51"/>
  <c r="AI81" i="51"/>
  <c r="C87" i="51"/>
  <c r="AI82" i="51"/>
  <c r="AH85" i="51"/>
  <c r="AI85" i="51"/>
  <c r="C88" i="51"/>
  <c r="AI60" i="51"/>
  <c r="C77" i="51"/>
  <c r="C79" i="51" s="1"/>
  <c r="U234" i="51" s="1"/>
  <c r="AI56" i="51"/>
  <c r="AH42" i="51"/>
  <c r="S231" i="51"/>
  <c r="H4" i="51"/>
  <c r="AA7" i="51"/>
  <c r="AS234" i="51"/>
  <c r="AA80" i="51"/>
  <c r="B79" i="51"/>
  <c r="AB234" i="51"/>
  <c r="J7" i="51"/>
  <c r="R80" i="51"/>
  <c r="R7" i="51"/>
  <c r="AJ234" i="51"/>
  <c r="Z80" i="51"/>
  <c r="Z7" i="51"/>
  <c r="AR234" i="51"/>
  <c r="T7" i="51"/>
  <c r="T80" i="51"/>
  <c r="AL234" i="51"/>
  <c r="E80" i="51"/>
  <c r="W234" i="51"/>
  <c r="M7" i="51"/>
  <c r="AE234" i="51"/>
  <c r="M80" i="51"/>
  <c r="U7" i="51"/>
  <c r="U80" i="51"/>
  <c r="AM234" i="51"/>
  <c r="AC7" i="51"/>
  <c r="AC80" i="51"/>
  <c r="AU234" i="51"/>
  <c r="X234" i="51"/>
  <c r="F80" i="51"/>
  <c r="AF234" i="51"/>
  <c r="N80" i="51"/>
  <c r="N7" i="51"/>
  <c r="AN234" i="51"/>
  <c r="V80" i="51"/>
  <c r="V7" i="51"/>
  <c r="G80" i="51"/>
  <c r="G7" i="51"/>
  <c r="AO234" i="51"/>
  <c r="W80" i="51"/>
  <c r="W7" i="51"/>
  <c r="AW234" i="51"/>
  <c r="AE7" i="51"/>
  <c r="AE80" i="51"/>
  <c r="AB80" i="51"/>
  <c r="AB7" i="51"/>
  <c r="AT234" i="51"/>
  <c r="H80" i="51"/>
  <c r="H7" i="51"/>
  <c r="Z234" i="51"/>
  <c r="P7" i="51"/>
  <c r="P80" i="51"/>
  <c r="AH234" i="51"/>
  <c r="X80" i="51"/>
  <c r="X7" i="51"/>
  <c r="AP234" i="51"/>
  <c r="AF80" i="51"/>
  <c r="S7" i="51"/>
  <c r="AK234" i="51"/>
  <c r="S80" i="51"/>
  <c r="D80" i="51"/>
  <c r="AA234" i="51"/>
  <c r="I80" i="51"/>
  <c r="I7" i="51"/>
  <c r="Q80" i="51"/>
  <c r="Q7" i="51"/>
  <c r="AI234" i="51"/>
  <c r="Y80" i="51"/>
  <c r="AQ234" i="51"/>
  <c r="Y7" i="51"/>
  <c r="AG77" i="51"/>
  <c r="AI38" i="51"/>
  <c r="AI42" i="51"/>
  <c r="AH83" i="51"/>
  <c r="AH38" i="51"/>
  <c r="B98" i="51"/>
  <c r="F219" i="51"/>
  <c r="F88" i="51"/>
  <c r="N88" i="51"/>
  <c r="V88" i="51"/>
  <c r="AD88" i="51"/>
  <c r="E214" i="51"/>
  <c r="E88" i="51"/>
  <c r="L5" i="51"/>
  <c r="T5" i="51"/>
  <c r="AB5" i="51"/>
  <c r="D98" i="51"/>
  <c r="AH56" i="51"/>
  <c r="AH60" i="51"/>
  <c r="AH72" i="51"/>
  <c r="AH81" i="51"/>
  <c r="B87" i="51"/>
  <c r="AI72" i="51"/>
  <c r="AH82" i="51"/>
  <c r="AX234" i="51" l="1"/>
  <c r="AV234" i="51"/>
  <c r="AD7" i="51"/>
  <c r="AG234" i="51"/>
  <c r="O80" i="51"/>
  <c r="AD234" i="51"/>
  <c r="L80" i="51"/>
  <c r="AI77" i="51"/>
  <c r="B229" i="51"/>
  <c r="K80" i="51"/>
  <c r="C229" i="51"/>
  <c r="AC234" i="51"/>
  <c r="D7" i="51"/>
  <c r="C7" i="51"/>
  <c r="C80" i="51"/>
  <c r="AH77" i="51"/>
  <c r="E255" i="51"/>
  <c r="G219" i="51"/>
  <c r="AI87" i="51"/>
  <c r="AH87" i="51"/>
  <c r="B80" i="51"/>
  <c r="AI79" i="51"/>
  <c r="AH79" i="51"/>
  <c r="B7" i="51"/>
  <c r="A7" i="51" s="1"/>
  <c r="T234" i="51"/>
  <c r="E98" i="51"/>
  <c r="F214" i="51"/>
  <c r="E220" i="51"/>
  <c r="B88" i="51"/>
  <c r="K37" i="47"/>
  <c r="J37" i="47"/>
  <c r="I37" i="47"/>
  <c r="H37" i="47"/>
  <c r="F37" i="47"/>
  <c r="E37" i="47"/>
  <c r="AF259" i="47"/>
  <c r="AE259" i="47"/>
  <c r="AD259" i="47"/>
  <c r="AC259" i="47"/>
  <c r="AB259" i="47"/>
  <c r="AA259" i="47"/>
  <c r="Z259" i="47"/>
  <c r="Y259" i="47"/>
  <c r="X259" i="47"/>
  <c r="W259" i="47"/>
  <c r="V259" i="47"/>
  <c r="U259" i="47"/>
  <c r="T259" i="47"/>
  <c r="S259" i="47"/>
  <c r="R259" i="47"/>
  <c r="Q259" i="47"/>
  <c r="P259" i="47"/>
  <c r="O259" i="47"/>
  <c r="N259" i="47"/>
  <c r="M259" i="47"/>
  <c r="L259" i="47"/>
  <c r="K259" i="47"/>
  <c r="J259" i="47"/>
  <c r="I259" i="47"/>
  <c r="H259" i="47"/>
  <c r="G259" i="47"/>
  <c r="F259" i="47"/>
  <c r="E259" i="47"/>
  <c r="D259" i="47"/>
  <c r="C259" i="47"/>
  <c r="B259" i="47"/>
  <c r="A259" i="47"/>
  <c r="AF258" i="47"/>
  <c r="AE258" i="47"/>
  <c r="AD258" i="47"/>
  <c r="AC258" i="47"/>
  <c r="AB258" i="47"/>
  <c r="AA258" i="47"/>
  <c r="Z258" i="47"/>
  <c r="Y258" i="47"/>
  <c r="X258" i="47"/>
  <c r="W258" i="47"/>
  <c r="V258" i="47"/>
  <c r="U258" i="47"/>
  <c r="T258" i="47"/>
  <c r="S258" i="47"/>
  <c r="R258" i="47"/>
  <c r="Q258" i="47"/>
  <c r="P258" i="47"/>
  <c r="O258" i="47"/>
  <c r="N258" i="47"/>
  <c r="M258" i="47"/>
  <c r="L258" i="47"/>
  <c r="K258" i="47"/>
  <c r="J258" i="47"/>
  <c r="I258" i="47"/>
  <c r="H258" i="47"/>
  <c r="G258" i="47"/>
  <c r="F258" i="47"/>
  <c r="E258" i="47"/>
  <c r="D258" i="47"/>
  <c r="C258" i="47"/>
  <c r="B258" i="47"/>
  <c r="A258" i="47"/>
  <c r="AF257" i="47"/>
  <c r="AE257" i="47"/>
  <c r="AD257" i="47"/>
  <c r="AC257" i="47"/>
  <c r="AB257" i="47"/>
  <c r="AA257" i="47"/>
  <c r="Z257" i="47"/>
  <c r="Y257" i="47"/>
  <c r="X257" i="47"/>
  <c r="W257" i="47"/>
  <c r="V257" i="47"/>
  <c r="U257" i="47"/>
  <c r="T257" i="47"/>
  <c r="S257" i="47"/>
  <c r="R257" i="47"/>
  <c r="Q257" i="47"/>
  <c r="P257" i="47"/>
  <c r="O257" i="47"/>
  <c r="N257" i="47"/>
  <c r="M257" i="47"/>
  <c r="L257" i="47"/>
  <c r="K257" i="47"/>
  <c r="J257" i="47"/>
  <c r="I257" i="47"/>
  <c r="H257" i="47"/>
  <c r="G257" i="47"/>
  <c r="F257" i="47"/>
  <c r="E257" i="47"/>
  <c r="D257" i="47"/>
  <c r="C257" i="47"/>
  <c r="B257" i="47"/>
  <c r="A257" i="47"/>
  <c r="AF256" i="47"/>
  <c r="AE256" i="47"/>
  <c r="AD256" i="47"/>
  <c r="AC256" i="47"/>
  <c r="AB256" i="47"/>
  <c r="AA256" i="47"/>
  <c r="Z256" i="47"/>
  <c r="Y256" i="47"/>
  <c r="X256" i="47"/>
  <c r="W256" i="47"/>
  <c r="V256" i="47"/>
  <c r="U256" i="47"/>
  <c r="T256" i="47"/>
  <c r="S256" i="47"/>
  <c r="R256" i="47"/>
  <c r="Q256" i="47"/>
  <c r="P256" i="47"/>
  <c r="O256" i="47"/>
  <c r="N256" i="47"/>
  <c r="M256" i="47"/>
  <c r="L256" i="47"/>
  <c r="K256" i="47"/>
  <c r="J256" i="47"/>
  <c r="I256" i="47"/>
  <c r="H256" i="47"/>
  <c r="G256" i="47"/>
  <c r="F256" i="47"/>
  <c r="E256" i="47"/>
  <c r="D256" i="47"/>
  <c r="C256" i="47"/>
  <c r="B256" i="47"/>
  <c r="A256" i="47"/>
  <c r="AE255" i="47"/>
  <c r="AD255" i="47"/>
  <c r="AC255" i="47"/>
  <c r="AB255" i="47"/>
  <c r="AA255" i="47"/>
  <c r="Z255" i="47"/>
  <c r="Y255" i="47"/>
  <c r="X255" i="47"/>
  <c r="W255" i="47"/>
  <c r="V255" i="47"/>
  <c r="U255" i="47"/>
  <c r="T255" i="47"/>
  <c r="S255" i="47"/>
  <c r="R255" i="47"/>
  <c r="Q255" i="47"/>
  <c r="P255" i="47"/>
  <c r="C255" i="47"/>
  <c r="B255" i="47"/>
  <c r="S230" i="47"/>
  <c r="AG220" i="47"/>
  <c r="AF220" i="47"/>
  <c r="AE220" i="47"/>
  <c r="AD220" i="47"/>
  <c r="AC220" i="47"/>
  <c r="AB220" i="47"/>
  <c r="AA220" i="47"/>
  <c r="Z220" i="47"/>
  <c r="Y220" i="47"/>
  <c r="X220" i="47"/>
  <c r="W220" i="47"/>
  <c r="V220" i="47"/>
  <c r="U220" i="47"/>
  <c r="T220" i="47"/>
  <c r="S220" i="47"/>
  <c r="R220" i="47"/>
  <c r="Q220" i="47"/>
  <c r="C220" i="47"/>
  <c r="F219" i="47"/>
  <c r="E255" i="47" s="1"/>
  <c r="E219" i="47"/>
  <c r="D255" i="47" s="1"/>
  <c r="D219" i="47"/>
  <c r="B219" i="47"/>
  <c r="AF255" i="47" s="1"/>
  <c r="D218" i="47"/>
  <c r="E218" i="47" s="1"/>
  <c r="F218" i="47" s="1"/>
  <c r="G218" i="47" s="1"/>
  <c r="H218" i="47" s="1"/>
  <c r="I218" i="47" s="1"/>
  <c r="J218" i="47" s="1"/>
  <c r="K218" i="47" s="1"/>
  <c r="L218" i="47" s="1"/>
  <c r="M218" i="47" s="1"/>
  <c r="N218" i="47" s="1"/>
  <c r="O218" i="47" s="1"/>
  <c r="P218" i="47" s="1"/>
  <c r="B218" i="47"/>
  <c r="D217" i="47"/>
  <c r="E217" i="47" s="1"/>
  <c r="F217" i="47" s="1"/>
  <c r="G217" i="47" s="1"/>
  <c r="H217" i="47" s="1"/>
  <c r="I217" i="47" s="1"/>
  <c r="J217" i="47" s="1"/>
  <c r="K217" i="47" s="1"/>
  <c r="L217" i="47" s="1"/>
  <c r="M217" i="47" s="1"/>
  <c r="N217" i="47" s="1"/>
  <c r="O217" i="47" s="1"/>
  <c r="P217" i="47" s="1"/>
  <c r="B217" i="47"/>
  <c r="E216" i="47"/>
  <c r="F216" i="47" s="1"/>
  <c r="G216" i="47" s="1"/>
  <c r="H216" i="47" s="1"/>
  <c r="I216" i="47" s="1"/>
  <c r="J216" i="47" s="1"/>
  <c r="K216" i="47" s="1"/>
  <c r="L216" i="47" s="1"/>
  <c r="M216" i="47" s="1"/>
  <c r="N216" i="47" s="1"/>
  <c r="O216" i="47" s="1"/>
  <c r="P216" i="47" s="1"/>
  <c r="D216" i="47"/>
  <c r="B216" i="47"/>
  <c r="F215" i="47"/>
  <c r="G215" i="47" s="1"/>
  <c r="H215" i="47" s="1"/>
  <c r="I215" i="47" s="1"/>
  <c r="J215" i="47" s="1"/>
  <c r="K215" i="47" s="1"/>
  <c r="L215" i="47" s="1"/>
  <c r="M215" i="47" s="1"/>
  <c r="N215" i="47" s="1"/>
  <c r="O215" i="47" s="1"/>
  <c r="P215" i="47" s="1"/>
  <c r="E215" i="47"/>
  <c r="D215" i="47"/>
  <c r="B215" i="47"/>
  <c r="D214" i="47"/>
  <c r="D220" i="47" s="1"/>
  <c r="B214" i="47"/>
  <c r="B220" i="47" s="1"/>
  <c r="AG212" i="47"/>
  <c r="AF212" i="47"/>
  <c r="AE212" i="47"/>
  <c r="AD212" i="47"/>
  <c r="AC212" i="47"/>
  <c r="AB212" i="47"/>
  <c r="AA212" i="47"/>
  <c r="Z212" i="47"/>
  <c r="Y212" i="47"/>
  <c r="X212" i="47"/>
  <c r="W212" i="47"/>
  <c r="V212" i="47"/>
  <c r="U212" i="47"/>
  <c r="T212" i="47"/>
  <c r="S212" i="47"/>
  <c r="R212" i="47"/>
  <c r="Q212" i="47"/>
  <c r="P212" i="47"/>
  <c r="O212" i="47"/>
  <c r="N212" i="47"/>
  <c r="M212" i="47"/>
  <c r="L212" i="47"/>
  <c r="K212" i="47"/>
  <c r="J212" i="47"/>
  <c r="I212" i="47"/>
  <c r="H212" i="47"/>
  <c r="G212" i="47"/>
  <c r="F212" i="47"/>
  <c r="E212" i="47"/>
  <c r="D212" i="47"/>
  <c r="C212" i="47"/>
  <c r="B212" i="47"/>
  <c r="AH105" i="47"/>
  <c r="AI105" i="47" s="1"/>
  <c r="AH104" i="47"/>
  <c r="AI104" i="47" s="1"/>
  <c r="AH103" i="47"/>
  <c r="AI103" i="47" s="1"/>
  <c r="AH102" i="47"/>
  <c r="AI102" i="47" s="1"/>
  <c r="AH101" i="47"/>
  <c r="AI101" i="47" s="1"/>
  <c r="AH100" i="47"/>
  <c r="AI100" i="47" s="1"/>
  <c r="AH99" i="47"/>
  <c r="AI99" i="47" s="1"/>
  <c r="AF98" i="47"/>
  <c r="AE98" i="47"/>
  <c r="AD98" i="47"/>
  <c r="AC98" i="47"/>
  <c r="AB98" i="47"/>
  <c r="AA98" i="47"/>
  <c r="Z98" i="47"/>
  <c r="Y98" i="47"/>
  <c r="X98" i="47"/>
  <c r="W98" i="47"/>
  <c r="V98" i="47"/>
  <c r="U98" i="47"/>
  <c r="T98" i="47"/>
  <c r="S98" i="47"/>
  <c r="R98" i="47"/>
  <c r="Q98" i="47"/>
  <c r="C98" i="47"/>
  <c r="B98" i="47"/>
  <c r="AI97" i="47"/>
  <c r="AH97" i="47"/>
  <c r="AI96" i="47"/>
  <c r="AH96" i="47"/>
  <c r="AI95" i="47"/>
  <c r="AH95" i="47"/>
  <c r="AI94" i="47"/>
  <c r="AH94" i="47"/>
  <c r="AI93" i="47"/>
  <c r="AH93" i="47"/>
  <c r="AI92" i="47"/>
  <c r="AH92" i="47"/>
  <c r="AI91" i="47"/>
  <c r="AH91" i="47"/>
  <c r="AI90" i="47"/>
  <c r="AH90" i="47"/>
  <c r="AI89" i="47"/>
  <c r="AH89" i="47"/>
  <c r="AI86" i="47"/>
  <c r="AH86" i="47"/>
  <c r="AF85" i="47"/>
  <c r="AE85" i="47"/>
  <c r="AD85" i="47"/>
  <c r="AC85" i="47"/>
  <c r="AB85" i="47"/>
  <c r="AA85" i="47"/>
  <c r="Z85" i="47"/>
  <c r="Y85" i="47"/>
  <c r="X85" i="47"/>
  <c r="W85" i="47"/>
  <c r="V85" i="47"/>
  <c r="U85" i="47"/>
  <c r="T85" i="47"/>
  <c r="S85" i="47"/>
  <c r="R85" i="47"/>
  <c r="Q85" i="47"/>
  <c r="P85" i="47"/>
  <c r="O85" i="47"/>
  <c r="N85" i="47"/>
  <c r="M85" i="47"/>
  <c r="L85" i="47"/>
  <c r="K85" i="47"/>
  <c r="J85" i="47"/>
  <c r="I85" i="47"/>
  <c r="H85" i="47"/>
  <c r="G85" i="47"/>
  <c r="F85" i="47"/>
  <c r="E85" i="47"/>
  <c r="D85" i="47"/>
  <c r="C85" i="47"/>
  <c r="B85" i="47"/>
  <c r="AF84" i="47"/>
  <c r="AE84" i="47"/>
  <c r="AD84" i="47"/>
  <c r="AC84" i="47"/>
  <c r="AB84" i="47"/>
  <c r="AA84" i="47"/>
  <c r="Z84" i="47"/>
  <c r="Y84" i="47"/>
  <c r="X84" i="47"/>
  <c r="W84" i="47"/>
  <c r="V84" i="47"/>
  <c r="U84" i="47"/>
  <c r="T84" i="47"/>
  <c r="S84" i="47"/>
  <c r="R84" i="47"/>
  <c r="Q84" i="47"/>
  <c r="P84" i="47"/>
  <c r="O84" i="47"/>
  <c r="N84" i="47"/>
  <c r="M84" i="47"/>
  <c r="L84" i="47"/>
  <c r="K84" i="47"/>
  <c r="J84" i="47"/>
  <c r="I84" i="47"/>
  <c r="H84" i="47"/>
  <c r="G84" i="47"/>
  <c r="F84" i="47"/>
  <c r="E84" i="47"/>
  <c r="D84" i="47"/>
  <c r="C84" i="47"/>
  <c r="B84" i="47"/>
  <c r="AF83" i="47"/>
  <c r="AE83" i="47"/>
  <c r="AD83" i="47"/>
  <c r="AC83" i="47"/>
  <c r="AB83" i="47"/>
  <c r="AA83" i="47"/>
  <c r="Z83" i="47"/>
  <c r="Y83" i="47"/>
  <c r="X83" i="47"/>
  <c r="W83" i="47"/>
  <c r="V83" i="47"/>
  <c r="U83" i="47"/>
  <c r="T83" i="47"/>
  <c r="S83" i="47"/>
  <c r="R83" i="47"/>
  <c r="Q83" i="47"/>
  <c r="P83" i="47"/>
  <c r="O83" i="47"/>
  <c r="N83" i="47"/>
  <c r="M83" i="47"/>
  <c r="L83" i="47"/>
  <c r="K83" i="47"/>
  <c r="J83" i="47"/>
  <c r="I83" i="47"/>
  <c r="H83" i="47"/>
  <c r="G83" i="47"/>
  <c r="F83" i="47"/>
  <c r="E83" i="47"/>
  <c r="D83" i="47"/>
  <c r="C83" i="47"/>
  <c r="B83" i="47"/>
  <c r="AF82" i="47"/>
  <c r="AE82" i="47"/>
  <c r="AD82" i="47"/>
  <c r="AC82" i="47"/>
  <c r="AB82" i="47"/>
  <c r="AA82" i="47"/>
  <c r="Z82" i="47"/>
  <c r="Y82" i="47"/>
  <c r="X82" i="47"/>
  <c r="W82" i="47"/>
  <c r="V82" i="47"/>
  <c r="V87" i="47" s="1"/>
  <c r="U82" i="47"/>
  <c r="T82" i="47"/>
  <c r="S82" i="47"/>
  <c r="R82" i="47"/>
  <c r="Q82" i="47"/>
  <c r="P82" i="47"/>
  <c r="O82" i="47"/>
  <c r="N82" i="47"/>
  <c r="N87" i="47" s="1"/>
  <c r="M82" i="47"/>
  <c r="L82" i="47"/>
  <c r="K82" i="47"/>
  <c r="J82" i="47"/>
  <c r="I82" i="47"/>
  <c r="H82" i="47"/>
  <c r="G82" i="47"/>
  <c r="F82" i="47"/>
  <c r="E82" i="47"/>
  <c r="D82" i="47"/>
  <c r="C82" i="47"/>
  <c r="B82" i="47"/>
  <c r="AF81" i="47"/>
  <c r="AE81" i="47"/>
  <c r="AE87" i="47" s="1"/>
  <c r="AD81" i="47"/>
  <c r="AC81" i="47"/>
  <c r="AB81" i="47"/>
  <c r="AA81" i="47"/>
  <c r="Z81" i="47"/>
  <c r="Y81" i="47"/>
  <c r="X81" i="47"/>
  <c r="W81" i="47"/>
  <c r="V81" i="47"/>
  <c r="U81" i="47"/>
  <c r="T81" i="47"/>
  <c r="T87" i="47" s="1"/>
  <c r="S81" i="47"/>
  <c r="R81" i="47"/>
  <c r="Q81" i="47"/>
  <c r="P81" i="47"/>
  <c r="O81" i="47"/>
  <c r="N81" i="47"/>
  <c r="M81" i="47"/>
  <c r="L81" i="47"/>
  <c r="K81" i="47"/>
  <c r="J81" i="47"/>
  <c r="I81" i="47"/>
  <c r="H81" i="47"/>
  <c r="G81" i="47"/>
  <c r="F81" i="47"/>
  <c r="F87" i="47" s="1"/>
  <c r="E81" i="47"/>
  <c r="D81" i="47"/>
  <c r="C81" i="47"/>
  <c r="B81" i="47"/>
  <c r="AI78" i="47"/>
  <c r="AH78" i="47"/>
  <c r="AI76" i="47"/>
  <c r="AH76" i="47"/>
  <c r="AG76" i="47"/>
  <c r="AI75" i="47"/>
  <c r="AH75" i="47"/>
  <c r="AI74" i="47"/>
  <c r="AH74" i="47"/>
  <c r="AI73" i="47"/>
  <c r="AH73" i="47"/>
  <c r="AG72" i="47"/>
  <c r="AF72" i="47"/>
  <c r="AE5" i="47" s="1"/>
  <c r="AE72" i="47"/>
  <c r="AD5" i="47" s="1"/>
  <c r="AD72" i="47"/>
  <c r="AC5" i="47" s="1"/>
  <c r="AC72" i="47"/>
  <c r="AB5" i="47" s="1"/>
  <c r="AB72" i="47"/>
  <c r="AA72" i="47"/>
  <c r="Z5" i="47" s="1"/>
  <c r="Z72" i="47"/>
  <c r="Y5" i="47" s="1"/>
  <c r="Y72" i="47"/>
  <c r="X5" i="47" s="1"/>
  <c r="X72" i="47"/>
  <c r="W5" i="47" s="1"/>
  <c r="W72" i="47"/>
  <c r="V5" i="47" s="1"/>
  <c r="V72" i="47"/>
  <c r="U5" i="47" s="1"/>
  <c r="U72" i="47"/>
  <c r="T5" i="47" s="1"/>
  <c r="T72" i="47"/>
  <c r="T88" i="47" s="1"/>
  <c r="S72" i="47"/>
  <c r="R72" i="47"/>
  <c r="Q72" i="47"/>
  <c r="P5" i="47" s="1"/>
  <c r="P72" i="47"/>
  <c r="O72" i="47"/>
  <c r="N5" i="47" s="1"/>
  <c r="N72" i="47"/>
  <c r="M5" i="47" s="1"/>
  <c r="M72" i="47"/>
  <c r="L5" i="47" s="1"/>
  <c r="L72" i="47"/>
  <c r="K72" i="47"/>
  <c r="J72" i="47"/>
  <c r="I72" i="47"/>
  <c r="H5" i="47" s="1"/>
  <c r="H72" i="47"/>
  <c r="G72" i="47"/>
  <c r="F5" i="47" s="1"/>
  <c r="F72" i="47"/>
  <c r="E5" i="47" s="1"/>
  <c r="E72" i="47"/>
  <c r="D5" i="47" s="1"/>
  <c r="D72" i="47"/>
  <c r="C72" i="47"/>
  <c r="B72" i="47"/>
  <c r="AF5" i="47" s="1"/>
  <c r="AI71" i="47"/>
  <c r="AH71" i="47"/>
  <c r="AI70" i="47"/>
  <c r="AH70" i="47"/>
  <c r="AI69" i="47"/>
  <c r="AH69" i="47"/>
  <c r="AI68" i="47"/>
  <c r="AH68" i="47"/>
  <c r="AI67" i="47"/>
  <c r="AH67" i="47"/>
  <c r="AI66" i="47"/>
  <c r="AH66" i="47"/>
  <c r="AI65" i="47"/>
  <c r="AH65" i="47"/>
  <c r="AI64" i="47"/>
  <c r="AH64" i="47"/>
  <c r="AI63" i="47"/>
  <c r="AH63" i="47"/>
  <c r="AI62" i="47"/>
  <c r="AH62" i="47"/>
  <c r="AI61" i="47"/>
  <c r="AH61" i="47"/>
  <c r="AG60" i="47"/>
  <c r="AG79" i="47" s="1"/>
  <c r="AF60" i="47"/>
  <c r="AE60" i="47"/>
  <c r="AD60" i="47"/>
  <c r="AC60" i="47"/>
  <c r="AB60" i="47"/>
  <c r="AA60" i="47"/>
  <c r="Z60" i="47"/>
  <c r="Y60" i="47"/>
  <c r="X60" i="47"/>
  <c r="W60" i="47"/>
  <c r="V60" i="47"/>
  <c r="U60" i="47"/>
  <c r="T60" i="47"/>
  <c r="S60" i="47"/>
  <c r="R60" i="47"/>
  <c r="Q60" i="47"/>
  <c r="P60" i="47"/>
  <c r="O60" i="47"/>
  <c r="N60" i="47"/>
  <c r="M60" i="47"/>
  <c r="L60" i="47"/>
  <c r="K60" i="47"/>
  <c r="J60" i="47"/>
  <c r="I60" i="47"/>
  <c r="H60" i="47"/>
  <c r="G60" i="47"/>
  <c r="F60" i="47"/>
  <c r="E60" i="47"/>
  <c r="D60" i="47"/>
  <c r="C60" i="47"/>
  <c r="B60" i="47"/>
  <c r="AI59" i="47"/>
  <c r="AH59" i="47"/>
  <c r="AI58" i="47"/>
  <c r="AH58" i="47"/>
  <c r="AI57" i="47"/>
  <c r="AH57" i="47"/>
  <c r="AF56" i="47"/>
  <c r="AE56" i="47"/>
  <c r="AD56" i="47"/>
  <c r="AC56" i="47"/>
  <c r="AB56" i="47"/>
  <c r="AA56" i="47"/>
  <c r="Z56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AI55" i="47"/>
  <c r="AH55" i="47"/>
  <c r="AG55" i="47"/>
  <c r="AG56" i="47" s="1"/>
  <c r="AG3" i="47" s="1"/>
  <c r="AG6" i="47" s="1"/>
  <c r="AI54" i="47"/>
  <c r="AH54" i="47"/>
  <c r="AI53" i="47"/>
  <c r="AH53" i="47"/>
  <c r="AI52" i="47"/>
  <c r="AH52" i="47"/>
  <c r="AI51" i="47"/>
  <c r="AH51" i="47"/>
  <c r="AI50" i="47"/>
  <c r="AH50" i="47"/>
  <c r="AI49" i="47"/>
  <c r="AH49" i="47"/>
  <c r="AI48" i="47"/>
  <c r="AH48" i="47"/>
  <c r="AI47" i="47"/>
  <c r="AH47" i="47"/>
  <c r="AI46" i="47"/>
  <c r="AH46" i="47"/>
  <c r="AI45" i="47"/>
  <c r="AH45" i="47"/>
  <c r="AI44" i="47"/>
  <c r="AH44" i="47"/>
  <c r="AI43" i="47"/>
  <c r="AH43" i="47"/>
  <c r="AG42" i="47"/>
  <c r="AF42" i="47"/>
  <c r="AE42" i="47"/>
  <c r="AD42" i="47"/>
  <c r="AC42" i="47"/>
  <c r="AB42" i="47"/>
  <c r="AA42" i="47"/>
  <c r="Z42" i="47"/>
  <c r="Y42" i="47"/>
  <c r="X42" i="47"/>
  <c r="W42" i="47"/>
  <c r="V42" i="47"/>
  <c r="U42" i="47"/>
  <c r="T42" i="47"/>
  <c r="S42" i="47"/>
  <c r="R42" i="47"/>
  <c r="Q42" i="47"/>
  <c r="P42" i="47"/>
  <c r="O42" i="47"/>
  <c r="N42" i="47"/>
  <c r="M42" i="47"/>
  <c r="L42" i="47"/>
  <c r="K42" i="47"/>
  <c r="J42" i="47"/>
  <c r="I42" i="47"/>
  <c r="H42" i="47"/>
  <c r="G42" i="47"/>
  <c r="F42" i="47"/>
  <c r="E42" i="47"/>
  <c r="D42" i="47"/>
  <c r="C42" i="47"/>
  <c r="B42" i="47"/>
  <c r="AI41" i="47"/>
  <c r="AH41" i="47"/>
  <c r="AI40" i="47"/>
  <c r="AH40" i="47"/>
  <c r="AI39" i="47"/>
  <c r="AH39" i="47"/>
  <c r="AG38" i="47"/>
  <c r="AF38" i="47"/>
  <c r="AE38" i="47"/>
  <c r="AD38" i="47"/>
  <c r="AC38" i="47"/>
  <c r="AB38" i="47"/>
  <c r="AA38" i="47"/>
  <c r="Z38" i="47"/>
  <c r="Y38" i="47"/>
  <c r="X38" i="47"/>
  <c r="W38" i="47"/>
  <c r="V38" i="47"/>
  <c r="U38" i="47"/>
  <c r="T38" i="47"/>
  <c r="S38" i="47"/>
  <c r="R38" i="47"/>
  <c r="Q38" i="47"/>
  <c r="P38" i="47"/>
  <c r="O38" i="47"/>
  <c r="N38" i="47"/>
  <c r="M38" i="47"/>
  <c r="L38" i="47"/>
  <c r="K38" i="47"/>
  <c r="J38" i="47"/>
  <c r="I38" i="47"/>
  <c r="H38" i="47"/>
  <c r="G38" i="47"/>
  <c r="F38" i="47"/>
  <c r="E38" i="47"/>
  <c r="D38" i="47"/>
  <c r="C38" i="47"/>
  <c r="B38" i="47"/>
  <c r="AI37" i="47"/>
  <c r="AH37" i="47"/>
  <c r="AI36" i="47"/>
  <c r="AH36" i="47"/>
  <c r="AI35" i="47"/>
  <c r="AH35" i="47"/>
  <c r="AI34" i="47"/>
  <c r="AH34" i="47"/>
  <c r="AI33" i="47"/>
  <c r="AH33" i="47"/>
  <c r="AI32" i="47"/>
  <c r="AH32" i="47"/>
  <c r="AI31" i="47"/>
  <c r="AH31" i="47"/>
  <c r="AI30" i="47"/>
  <c r="AH30" i="47"/>
  <c r="AI29" i="47"/>
  <c r="AH29" i="47"/>
  <c r="AI28" i="47"/>
  <c r="AH28" i="47"/>
  <c r="AI27" i="47"/>
  <c r="AH27" i="47"/>
  <c r="AI26" i="47"/>
  <c r="AH26" i="47"/>
  <c r="AI25" i="47"/>
  <c r="AH25" i="47"/>
  <c r="AI24" i="47"/>
  <c r="AH24" i="47"/>
  <c r="AI23" i="47"/>
  <c r="AH23" i="47"/>
  <c r="AI22" i="47"/>
  <c r="AH22" i="47"/>
  <c r="AI21" i="47"/>
  <c r="AH21" i="47"/>
  <c r="AI20" i="47"/>
  <c r="AH20" i="47"/>
  <c r="AI19" i="47"/>
  <c r="AH19" i="47"/>
  <c r="AI18" i="47"/>
  <c r="AH18" i="47"/>
  <c r="AI17" i="47"/>
  <c r="AH17" i="47"/>
  <c r="AI16" i="47"/>
  <c r="AH16" i="47"/>
  <c r="AI15" i="47"/>
  <c r="AH15" i="47"/>
  <c r="AI14" i="47"/>
  <c r="AH14" i="47"/>
  <c r="AI13" i="47"/>
  <c r="AH13" i="47"/>
  <c r="AI12" i="47"/>
  <c r="AH12" i="47"/>
  <c r="AI11" i="47"/>
  <c r="AH11" i="47"/>
  <c r="AA5" i="47"/>
  <c r="AG4" i="47"/>
  <c r="K4" i="47"/>
  <c r="B4" i="47"/>
  <c r="S231" i="47" s="1"/>
  <c r="AG2" i="47"/>
  <c r="AC37" i="46"/>
  <c r="AB37" i="46"/>
  <c r="AA100" i="46"/>
  <c r="AA37" i="46"/>
  <c r="Z100" i="46"/>
  <c r="Z37" i="46"/>
  <c r="Y100" i="46"/>
  <c r="Y37" i="46"/>
  <c r="X100" i="46"/>
  <c r="X37" i="46"/>
  <c r="W100" i="46"/>
  <c r="W37" i="46"/>
  <c r="V100" i="46"/>
  <c r="V37" i="46"/>
  <c r="V15" i="46"/>
  <c r="U100" i="46"/>
  <c r="U37" i="46"/>
  <c r="E4" i="47"/>
  <c r="K6" i="51" l="1"/>
  <c r="AH80" i="51"/>
  <c r="AI88" i="51"/>
  <c r="AH88" i="51"/>
  <c r="F98" i="51"/>
  <c r="G214" i="51"/>
  <c r="F220" i="51"/>
  <c r="F255" i="51"/>
  <c r="H219" i="51"/>
  <c r="AF87" i="47"/>
  <c r="AF88" i="47" s="1"/>
  <c r="AF77" i="47"/>
  <c r="AF79" i="47" s="1"/>
  <c r="AE77" i="47"/>
  <c r="AE79" i="47" s="1"/>
  <c r="AD87" i="47"/>
  <c r="AD77" i="47"/>
  <c r="AD79" i="47" s="1"/>
  <c r="AC87" i="47"/>
  <c r="AC88" i="47" s="1"/>
  <c r="AC77" i="47"/>
  <c r="AC79" i="47" s="1"/>
  <c r="AB87" i="47"/>
  <c r="AB88" i="47" s="1"/>
  <c r="AB77" i="47"/>
  <c r="AB79" i="47" s="1"/>
  <c r="AB7" i="47" s="1"/>
  <c r="AA87" i="47"/>
  <c r="AA77" i="47"/>
  <c r="AA79" i="47" s="1"/>
  <c r="AA88" i="47"/>
  <c r="Z87" i="47"/>
  <c r="Z88" i="47" s="1"/>
  <c r="Z77" i="47"/>
  <c r="Z79" i="47" s="1"/>
  <c r="Y87" i="47"/>
  <c r="Y77" i="47"/>
  <c r="Y79" i="47" s="1"/>
  <c r="X87" i="47"/>
  <c r="X88" i="47"/>
  <c r="X77" i="47"/>
  <c r="X79" i="47" s="1"/>
  <c r="V77" i="47"/>
  <c r="V79" i="47" s="1"/>
  <c r="U87" i="47"/>
  <c r="U88" i="47" s="1"/>
  <c r="U77" i="47"/>
  <c r="U79" i="47" s="1"/>
  <c r="T77" i="47"/>
  <c r="T79" i="47" s="1"/>
  <c r="S5" i="47"/>
  <c r="S77" i="47"/>
  <c r="S79" i="47" s="1"/>
  <c r="S7" i="47" s="1"/>
  <c r="R5" i="47"/>
  <c r="S87" i="47"/>
  <c r="S88" i="47" s="1"/>
  <c r="R87" i="47"/>
  <c r="R88" i="47" s="1"/>
  <c r="Q5" i="47"/>
  <c r="R77" i="47"/>
  <c r="R79" i="47" s="1"/>
  <c r="AJ234" i="47" s="1"/>
  <c r="W77" i="47"/>
  <c r="W79" i="47" s="1"/>
  <c r="AO234" i="47" s="1"/>
  <c r="W87" i="47"/>
  <c r="Q87" i="47"/>
  <c r="Q77" i="47"/>
  <c r="Q79" i="47" s="1"/>
  <c r="Q7" i="47" s="1"/>
  <c r="O5" i="47"/>
  <c r="P87" i="47"/>
  <c r="P88" i="47" s="1"/>
  <c r="P77" i="47"/>
  <c r="P79" i="47" s="1"/>
  <c r="P7" i="47" s="1"/>
  <c r="O87" i="47"/>
  <c r="O77" i="47"/>
  <c r="O79" i="47" s="1"/>
  <c r="AG234" i="47" s="1"/>
  <c r="N77" i="47"/>
  <c r="N79" i="47" s="1"/>
  <c r="AF234" i="47" s="1"/>
  <c r="M87" i="47"/>
  <c r="M88" i="47" s="1"/>
  <c r="M77" i="47"/>
  <c r="M79" i="47" s="1"/>
  <c r="M7" i="47" s="1"/>
  <c r="L87" i="47"/>
  <c r="L88" i="47" s="1"/>
  <c r="K87" i="47"/>
  <c r="K88" i="47" s="1"/>
  <c r="K77" i="47"/>
  <c r="K79" i="47" s="1"/>
  <c r="K7" i="47" s="1"/>
  <c r="J87" i="47"/>
  <c r="J88" i="47" s="1"/>
  <c r="I87" i="47"/>
  <c r="H87" i="47"/>
  <c r="H88" i="47"/>
  <c r="G5" i="47"/>
  <c r="H77" i="47"/>
  <c r="H79" i="47" s="1"/>
  <c r="H80" i="47" s="1"/>
  <c r="G87" i="47"/>
  <c r="AI81" i="47"/>
  <c r="F77" i="47"/>
  <c r="F79" i="47" s="1"/>
  <c r="F7" i="47" s="1"/>
  <c r="I5" i="47"/>
  <c r="J5" i="47"/>
  <c r="I77" i="47"/>
  <c r="I79" i="47" s="1"/>
  <c r="I80" i="47" s="1"/>
  <c r="K5" i="47"/>
  <c r="L77" i="47"/>
  <c r="L79" i="47" s="1"/>
  <c r="L7" i="47" s="1"/>
  <c r="G77" i="47"/>
  <c r="G79" i="47" s="1"/>
  <c r="J77" i="47"/>
  <c r="J79" i="47" s="1"/>
  <c r="J80" i="47" s="1"/>
  <c r="E77" i="47"/>
  <c r="E79" i="47" s="1"/>
  <c r="E7" i="47" s="1"/>
  <c r="AI83" i="47"/>
  <c r="E87" i="47"/>
  <c r="E88" i="47" s="1"/>
  <c r="C5" i="47"/>
  <c r="D87" i="47"/>
  <c r="D88" i="47" s="1"/>
  <c r="AI60" i="47"/>
  <c r="AI56" i="47"/>
  <c r="AH42" i="47"/>
  <c r="D77" i="47"/>
  <c r="D79" i="47" s="1"/>
  <c r="AI84" i="47"/>
  <c r="AI82" i="47"/>
  <c r="AH82" i="47"/>
  <c r="B5" i="47"/>
  <c r="C87" i="47"/>
  <c r="C88" i="47" s="1"/>
  <c r="AH85" i="47"/>
  <c r="AI85" i="47"/>
  <c r="AI38" i="47"/>
  <c r="B77" i="47"/>
  <c r="AI42" i="47"/>
  <c r="H4" i="47"/>
  <c r="O80" i="47"/>
  <c r="AN234" i="47"/>
  <c r="V80" i="47"/>
  <c r="V7" i="47"/>
  <c r="AV234" i="47"/>
  <c r="AD80" i="47"/>
  <c r="AD7" i="47"/>
  <c r="Q80" i="47"/>
  <c r="AI234" i="47"/>
  <c r="AG77" i="47"/>
  <c r="X80" i="47"/>
  <c r="X7" i="47"/>
  <c r="AP234" i="47"/>
  <c r="Y80" i="47"/>
  <c r="Y7" i="47"/>
  <c r="AQ234" i="47"/>
  <c r="B79" i="47"/>
  <c r="R80" i="47"/>
  <c r="Z80" i="47"/>
  <c r="Z7" i="47"/>
  <c r="AR234" i="47"/>
  <c r="AA7" i="47"/>
  <c r="AS234" i="47"/>
  <c r="AA80" i="47"/>
  <c r="G88" i="47"/>
  <c r="O88" i="47"/>
  <c r="W88" i="47"/>
  <c r="AE88" i="47"/>
  <c r="AW234" i="47"/>
  <c r="AE80" i="47"/>
  <c r="AE7" i="47"/>
  <c r="AF7" i="47"/>
  <c r="AF80" i="47"/>
  <c r="AX234" i="47"/>
  <c r="T7" i="47"/>
  <c r="AL234" i="47"/>
  <c r="T80" i="47"/>
  <c r="P80" i="47"/>
  <c r="AH234" i="47"/>
  <c r="K80" i="47"/>
  <c r="U7" i="47"/>
  <c r="U80" i="47"/>
  <c r="AM234" i="47"/>
  <c r="AC7" i="47"/>
  <c r="AU234" i="47"/>
  <c r="AC80" i="47"/>
  <c r="I88" i="47"/>
  <c r="Q88" i="47"/>
  <c r="Y88" i="47"/>
  <c r="AH83" i="47"/>
  <c r="D231" i="47"/>
  <c r="C77" i="47"/>
  <c r="C79" i="47" s="1"/>
  <c r="AH38" i="47"/>
  <c r="AH84" i="47"/>
  <c r="F88" i="47"/>
  <c r="N88" i="47"/>
  <c r="V88" i="47"/>
  <c r="AD88" i="47"/>
  <c r="E214" i="47"/>
  <c r="G219" i="47"/>
  <c r="D98" i="47"/>
  <c r="AH56" i="47"/>
  <c r="AH60" i="47"/>
  <c r="AH72" i="47"/>
  <c r="AH81" i="47"/>
  <c r="B87" i="47"/>
  <c r="AI72" i="47"/>
  <c r="G255" i="51" l="1"/>
  <c r="I219" i="51"/>
  <c r="G98" i="51"/>
  <c r="H214" i="51"/>
  <c r="G220" i="51"/>
  <c r="AB80" i="47"/>
  <c r="AT234" i="47"/>
  <c r="W7" i="47"/>
  <c r="W80" i="47"/>
  <c r="S80" i="47"/>
  <c r="AK234" i="47"/>
  <c r="R7" i="47"/>
  <c r="O7" i="47"/>
  <c r="N7" i="47"/>
  <c r="N80" i="47"/>
  <c r="M80" i="47"/>
  <c r="AE234" i="47"/>
  <c r="L80" i="47"/>
  <c r="AC234" i="47"/>
  <c r="AA234" i="47"/>
  <c r="I7" i="47"/>
  <c r="Z234" i="47"/>
  <c r="H7" i="47"/>
  <c r="B229" i="47"/>
  <c r="W234" i="47"/>
  <c r="E80" i="47"/>
  <c r="C229" i="47"/>
  <c r="K6" i="47" s="1"/>
  <c r="Y234" i="47"/>
  <c r="F80" i="47"/>
  <c r="X234" i="47"/>
  <c r="AB234" i="47"/>
  <c r="J7" i="47"/>
  <c r="G80" i="47"/>
  <c r="G7" i="47"/>
  <c r="AD234" i="47"/>
  <c r="D80" i="47"/>
  <c r="D7" i="47"/>
  <c r="V234" i="47"/>
  <c r="AH77" i="47"/>
  <c r="AI77" i="47"/>
  <c r="AI87" i="47"/>
  <c r="AH87" i="47"/>
  <c r="E98" i="47"/>
  <c r="F214" i="47"/>
  <c r="E220" i="47"/>
  <c r="F255" i="47"/>
  <c r="H219" i="47"/>
  <c r="C7" i="47"/>
  <c r="U234" i="47"/>
  <c r="C80" i="47"/>
  <c r="B80" i="47"/>
  <c r="B7" i="47"/>
  <c r="AI79" i="47"/>
  <c r="AH79" i="47"/>
  <c r="T234" i="47"/>
  <c r="B88" i="47"/>
  <c r="I214" i="51" l="1"/>
  <c r="H220" i="51"/>
  <c r="H98" i="51"/>
  <c r="H255" i="51"/>
  <c r="J219" i="51"/>
  <c r="A7" i="47"/>
  <c r="AH80" i="47"/>
  <c r="F98" i="47"/>
  <c r="G214" i="47"/>
  <c r="F220" i="47"/>
  <c r="AI88" i="47"/>
  <c r="AH88" i="47"/>
  <c r="G255" i="47"/>
  <c r="I219" i="47"/>
  <c r="K219" i="51" l="1"/>
  <c r="I255" i="51"/>
  <c r="I220" i="51"/>
  <c r="I98" i="51"/>
  <c r="J214" i="51"/>
  <c r="H255" i="47"/>
  <c r="J219" i="47"/>
  <c r="G98" i="47"/>
  <c r="H214" i="47"/>
  <c r="G220" i="47"/>
  <c r="J98" i="51" l="1"/>
  <c r="K214" i="51"/>
  <c r="J220" i="51"/>
  <c r="J255" i="51"/>
  <c r="L219" i="51"/>
  <c r="I214" i="47"/>
  <c r="H220" i="47"/>
  <c r="H98" i="47"/>
  <c r="K219" i="47"/>
  <c r="I255" i="47"/>
  <c r="M219" i="51" l="1"/>
  <c r="K255" i="51"/>
  <c r="K220" i="51"/>
  <c r="L214" i="51"/>
  <c r="K98" i="51"/>
  <c r="I220" i="47"/>
  <c r="I98" i="47"/>
  <c r="J214" i="47"/>
  <c r="J255" i="47"/>
  <c r="L219" i="47"/>
  <c r="L220" i="51" l="1"/>
  <c r="L98" i="51"/>
  <c r="M214" i="51"/>
  <c r="N219" i="51"/>
  <c r="L255" i="51"/>
  <c r="K255" i="47"/>
  <c r="M219" i="47"/>
  <c r="J98" i="47"/>
  <c r="J220" i="47"/>
  <c r="K214" i="47"/>
  <c r="M255" i="51" l="1"/>
  <c r="O219" i="51"/>
  <c r="M98" i="51"/>
  <c r="N214" i="51"/>
  <c r="M220" i="51"/>
  <c r="L214" i="47"/>
  <c r="K220" i="47"/>
  <c r="K98" i="47"/>
  <c r="N219" i="47"/>
  <c r="L255" i="47"/>
  <c r="N98" i="51" l="1"/>
  <c r="N220" i="51"/>
  <c r="O214" i="51"/>
  <c r="N255" i="51"/>
  <c r="P219" i="51"/>
  <c r="O255" i="51" s="1"/>
  <c r="M255" i="47"/>
  <c r="O219" i="47"/>
  <c r="L220" i="47"/>
  <c r="L98" i="47"/>
  <c r="M214" i="47"/>
  <c r="O98" i="51" l="1"/>
  <c r="P214" i="51"/>
  <c r="O220" i="51"/>
  <c r="M98" i="47"/>
  <c r="N214" i="47"/>
  <c r="M220" i="47"/>
  <c r="N255" i="47"/>
  <c r="P219" i="47"/>
  <c r="O255" i="47" s="1"/>
  <c r="P220" i="51" l="1"/>
  <c r="P98" i="51"/>
  <c r="N98" i="47"/>
  <c r="O214" i="47"/>
  <c r="N220" i="47"/>
  <c r="AI98" i="51" l="1"/>
  <c r="AH98" i="51"/>
  <c r="O98" i="47"/>
  <c r="P214" i="47"/>
  <c r="O220" i="47"/>
  <c r="P220" i="47" l="1"/>
  <c r="P98" i="47"/>
  <c r="AH98" i="47" l="1"/>
  <c r="AI98" i="47"/>
  <c r="T37" i="46" l="1"/>
  <c r="S100" i="46" l="1"/>
  <c r="S37" i="46"/>
  <c r="R105" i="46" l="1"/>
  <c r="P100" i="46"/>
  <c r="Q100" i="46"/>
  <c r="R100" i="46"/>
  <c r="R96" i="46"/>
  <c r="Q37" i="46"/>
  <c r="P37" i="46"/>
  <c r="O100" i="46"/>
  <c r="O37" i="46" l="1"/>
  <c r="N100" i="46"/>
  <c r="N37" i="46"/>
  <c r="K100" i="46"/>
  <c r="K37" i="46"/>
  <c r="G100" i="46" l="1"/>
  <c r="AF259" i="46"/>
  <c r="AE259" i="46"/>
  <c r="AD259" i="46"/>
  <c r="AC259" i="46"/>
  <c r="AB259" i="46"/>
  <c r="AA259" i="46"/>
  <c r="Z259" i="46"/>
  <c r="Y259" i="46"/>
  <c r="X259" i="46"/>
  <c r="W259" i="46"/>
  <c r="V259" i="46"/>
  <c r="U259" i="46"/>
  <c r="T259" i="46"/>
  <c r="S259" i="46"/>
  <c r="R259" i="46"/>
  <c r="Q259" i="46"/>
  <c r="P259" i="46"/>
  <c r="O259" i="46"/>
  <c r="N259" i="46"/>
  <c r="M259" i="46"/>
  <c r="L259" i="46"/>
  <c r="K259" i="46"/>
  <c r="J259" i="46"/>
  <c r="I259" i="46"/>
  <c r="H259" i="46"/>
  <c r="G259" i="46"/>
  <c r="F259" i="46"/>
  <c r="E259" i="46"/>
  <c r="D259" i="46"/>
  <c r="C259" i="46"/>
  <c r="B259" i="46"/>
  <c r="A259" i="46"/>
  <c r="AF258" i="46"/>
  <c r="AE258" i="46"/>
  <c r="AD258" i="46"/>
  <c r="AC258" i="46"/>
  <c r="AB258" i="46"/>
  <c r="AA258" i="46"/>
  <c r="Z258" i="46"/>
  <c r="Y258" i="46"/>
  <c r="X258" i="46"/>
  <c r="W258" i="46"/>
  <c r="V258" i="46"/>
  <c r="U258" i="46"/>
  <c r="T258" i="46"/>
  <c r="S258" i="46"/>
  <c r="R258" i="46"/>
  <c r="Q258" i="46"/>
  <c r="P258" i="46"/>
  <c r="O258" i="46"/>
  <c r="N258" i="46"/>
  <c r="M258" i="46"/>
  <c r="L258" i="46"/>
  <c r="K258" i="46"/>
  <c r="J258" i="46"/>
  <c r="I258" i="46"/>
  <c r="H258" i="46"/>
  <c r="G258" i="46"/>
  <c r="F258" i="46"/>
  <c r="E258" i="46"/>
  <c r="D258" i="46"/>
  <c r="C258" i="46"/>
  <c r="B258" i="46"/>
  <c r="A258" i="46"/>
  <c r="AF257" i="46"/>
  <c r="AE257" i="46"/>
  <c r="AD257" i="46"/>
  <c r="AC257" i="46"/>
  <c r="AB257" i="46"/>
  <c r="AA257" i="46"/>
  <c r="Z257" i="46"/>
  <c r="Y257" i="46"/>
  <c r="X257" i="46"/>
  <c r="W257" i="46"/>
  <c r="V257" i="46"/>
  <c r="U257" i="46"/>
  <c r="T257" i="46"/>
  <c r="S257" i="46"/>
  <c r="R257" i="46"/>
  <c r="Q257" i="46"/>
  <c r="P257" i="46"/>
  <c r="O257" i="46"/>
  <c r="N257" i="46"/>
  <c r="M257" i="46"/>
  <c r="L257" i="46"/>
  <c r="K257" i="46"/>
  <c r="J257" i="46"/>
  <c r="I257" i="46"/>
  <c r="H257" i="46"/>
  <c r="G257" i="46"/>
  <c r="F257" i="46"/>
  <c r="E257" i="46"/>
  <c r="D257" i="46"/>
  <c r="C257" i="46"/>
  <c r="B257" i="46"/>
  <c r="A257" i="46"/>
  <c r="AF256" i="46"/>
  <c r="AE256" i="46"/>
  <c r="AD256" i="46"/>
  <c r="AC256" i="46"/>
  <c r="AB256" i="46"/>
  <c r="AA256" i="46"/>
  <c r="Z256" i="46"/>
  <c r="Y256" i="46"/>
  <c r="X256" i="46"/>
  <c r="W256" i="46"/>
  <c r="V256" i="46"/>
  <c r="U256" i="46"/>
  <c r="T256" i="46"/>
  <c r="S256" i="46"/>
  <c r="R256" i="46"/>
  <c r="Q256" i="46"/>
  <c r="P256" i="46"/>
  <c r="O256" i="46"/>
  <c r="N256" i="46"/>
  <c r="M256" i="46"/>
  <c r="L256" i="46"/>
  <c r="K256" i="46"/>
  <c r="J256" i="46"/>
  <c r="I256" i="46"/>
  <c r="H256" i="46"/>
  <c r="G256" i="46"/>
  <c r="F256" i="46"/>
  <c r="E256" i="46"/>
  <c r="D256" i="46"/>
  <c r="C256" i="46"/>
  <c r="B256" i="46"/>
  <c r="A256" i="46"/>
  <c r="AE255" i="46"/>
  <c r="AD255" i="46"/>
  <c r="AC255" i="46"/>
  <c r="AB255" i="46"/>
  <c r="AA255" i="46"/>
  <c r="Z255" i="46"/>
  <c r="Y255" i="46"/>
  <c r="X255" i="46"/>
  <c r="W255" i="46"/>
  <c r="V255" i="46"/>
  <c r="U255" i="46"/>
  <c r="T255" i="46"/>
  <c r="S255" i="46"/>
  <c r="R255" i="46"/>
  <c r="Q255" i="46"/>
  <c r="P255" i="46"/>
  <c r="B255" i="46"/>
  <c r="S230" i="46"/>
  <c r="AG220" i="46"/>
  <c r="AF220" i="46"/>
  <c r="AE220" i="46"/>
  <c r="AD220" i="46"/>
  <c r="AC220" i="46"/>
  <c r="AB220" i="46"/>
  <c r="AA220" i="46"/>
  <c r="Z220" i="46"/>
  <c r="Y220" i="46"/>
  <c r="X220" i="46"/>
  <c r="W220" i="46"/>
  <c r="V220" i="46"/>
  <c r="U220" i="46"/>
  <c r="T220" i="46"/>
  <c r="S220" i="46"/>
  <c r="R220" i="46"/>
  <c r="Q220" i="46"/>
  <c r="C220" i="46"/>
  <c r="D219" i="46"/>
  <c r="E219" i="46" s="1"/>
  <c r="B219" i="46"/>
  <c r="AF255" i="46" s="1"/>
  <c r="D218" i="46"/>
  <c r="E218" i="46" s="1"/>
  <c r="F218" i="46" s="1"/>
  <c r="G218" i="46" s="1"/>
  <c r="H218" i="46" s="1"/>
  <c r="I218" i="46" s="1"/>
  <c r="J218" i="46" s="1"/>
  <c r="K218" i="46" s="1"/>
  <c r="L218" i="46" s="1"/>
  <c r="M218" i="46" s="1"/>
  <c r="N218" i="46" s="1"/>
  <c r="O218" i="46" s="1"/>
  <c r="P218" i="46" s="1"/>
  <c r="B218" i="46"/>
  <c r="D217" i="46"/>
  <c r="E217" i="46" s="1"/>
  <c r="F217" i="46" s="1"/>
  <c r="G217" i="46" s="1"/>
  <c r="H217" i="46" s="1"/>
  <c r="I217" i="46" s="1"/>
  <c r="J217" i="46" s="1"/>
  <c r="K217" i="46" s="1"/>
  <c r="L217" i="46" s="1"/>
  <c r="M217" i="46" s="1"/>
  <c r="N217" i="46" s="1"/>
  <c r="O217" i="46" s="1"/>
  <c r="P217" i="46" s="1"/>
  <c r="B217" i="46"/>
  <c r="D216" i="46"/>
  <c r="E216" i="46" s="1"/>
  <c r="F216" i="46" s="1"/>
  <c r="G216" i="46" s="1"/>
  <c r="H216" i="46" s="1"/>
  <c r="I216" i="46" s="1"/>
  <c r="J216" i="46" s="1"/>
  <c r="K216" i="46" s="1"/>
  <c r="L216" i="46" s="1"/>
  <c r="M216" i="46" s="1"/>
  <c r="N216" i="46" s="1"/>
  <c r="O216" i="46" s="1"/>
  <c r="P216" i="46" s="1"/>
  <c r="B216" i="46"/>
  <c r="D215" i="46"/>
  <c r="E215" i="46" s="1"/>
  <c r="F215" i="46" s="1"/>
  <c r="G215" i="46" s="1"/>
  <c r="H215" i="46" s="1"/>
  <c r="I215" i="46" s="1"/>
  <c r="J215" i="46" s="1"/>
  <c r="K215" i="46" s="1"/>
  <c r="L215" i="46" s="1"/>
  <c r="M215" i="46" s="1"/>
  <c r="N215" i="46" s="1"/>
  <c r="O215" i="46" s="1"/>
  <c r="P215" i="46" s="1"/>
  <c r="B215" i="46"/>
  <c r="D214" i="46"/>
  <c r="B214" i="46"/>
  <c r="AG212" i="46"/>
  <c r="AF212" i="46"/>
  <c r="AE212" i="46"/>
  <c r="AD212" i="46"/>
  <c r="AC212" i="46"/>
  <c r="AB212" i="46"/>
  <c r="AA212" i="46"/>
  <c r="Z212" i="46"/>
  <c r="Y212" i="46"/>
  <c r="X212" i="46"/>
  <c r="W212" i="46"/>
  <c r="V212" i="46"/>
  <c r="U212" i="46"/>
  <c r="T212" i="46"/>
  <c r="S212" i="46"/>
  <c r="R212" i="46"/>
  <c r="Q212" i="46"/>
  <c r="P212" i="46"/>
  <c r="O212" i="46"/>
  <c r="N212" i="46"/>
  <c r="M212" i="46"/>
  <c r="L212" i="46"/>
  <c r="K212" i="46"/>
  <c r="J212" i="46"/>
  <c r="I212" i="46"/>
  <c r="H212" i="46"/>
  <c r="G212" i="46"/>
  <c r="F212" i="46"/>
  <c r="E212" i="46"/>
  <c r="D212" i="46"/>
  <c r="C212" i="46"/>
  <c r="B212" i="46"/>
  <c r="AH105" i="46"/>
  <c r="AI105" i="46" s="1"/>
  <c r="AH104" i="46"/>
  <c r="AI104" i="46" s="1"/>
  <c r="AH103" i="46"/>
  <c r="AI103" i="46" s="1"/>
  <c r="AH102" i="46"/>
  <c r="AI102" i="46" s="1"/>
  <c r="AH101" i="46"/>
  <c r="AI101" i="46" s="1"/>
  <c r="AH100" i="46"/>
  <c r="AI100" i="46" s="1"/>
  <c r="AH99" i="46"/>
  <c r="AI99" i="46" s="1"/>
  <c r="AF98" i="46"/>
  <c r="AE98" i="46"/>
  <c r="AD98" i="46"/>
  <c r="AC98" i="46"/>
  <c r="AB98" i="46"/>
  <c r="AA98" i="46"/>
  <c r="Z98" i="46"/>
  <c r="Y98" i="46"/>
  <c r="X98" i="46"/>
  <c r="W98" i="46"/>
  <c r="V98" i="46"/>
  <c r="U98" i="46"/>
  <c r="T98" i="46"/>
  <c r="S98" i="46"/>
  <c r="R98" i="46"/>
  <c r="Q98" i="46"/>
  <c r="C98" i="46"/>
  <c r="AI97" i="46"/>
  <c r="AH97" i="46"/>
  <c r="AI96" i="46"/>
  <c r="AH96" i="46"/>
  <c r="AI95" i="46"/>
  <c r="AH95" i="46"/>
  <c r="AI94" i="46"/>
  <c r="AH94" i="46"/>
  <c r="AI93" i="46"/>
  <c r="AH93" i="46"/>
  <c r="AI92" i="46"/>
  <c r="AH92" i="46"/>
  <c r="AI91" i="46"/>
  <c r="AH91" i="46"/>
  <c r="AI90" i="46"/>
  <c r="AH90" i="46"/>
  <c r="AI89" i="46"/>
  <c r="AH89" i="46"/>
  <c r="AI86" i="46"/>
  <c r="AH86" i="46"/>
  <c r="AF85" i="46"/>
  <c r="AE85" i="46"/>
  <c r="AD85" i="46"/>
  <c r="AC85" i="46"/>
  <c r="AB85" i="46"/>
  <c r="AA85" i="46"/>
  <c r="Z85" i="46"/>
  <c r="Y85" i="46"/>
  <c r="X85" i="46"/>
  <c r="W85" i="46"/>
  <c r="V85" i="46"/>
  <c r="U85" i="46"/>
  <c r="T85" i="46"/>
  <c r="S85" i="46"/>
  <c r="R85" i="46"/>
  <c r="Q85" i="46"/>
  <c r="P85" i="46"/>
  <c r="O85" i="46"/>
  <c r="N85" i="46"/>
  <c r="M85" i="46"/>
  <c r="L85" i="46"/>
  <c r="K85" i="46"/>
  <c r="J85" i="46"/>
  <c r="I85" i="46"/>
  <c r="H85" i="46"/>
  <c r="G85" i="46"/>
  <c r="F85" i="46"/>
  <c r="E85" i="46"/>
  <c r="D85" i="46"/>
  <c r="C85" i="46"/>
  <c r="B85" i="46"/>
  <c r="AF84" i="46"/>
  <c r="AE84" i="46"/>
  <c r="AD84" i="46"/>
  <c r="AC84" i="46"/>
  <c r="AB84" i="46"/>
  <c r="AA84" i="46"/>
  <c r="Z84" i="46"/>
  <c r="Y84" i="46"/>
  <c r="X84" i="46"/>
  <c r="W84" i="46"/>
  <c r="V84" i="46"/>
  <c r="U84" i="46"/>
  <c r="T84" i="46"/>
  <c r="S84" i="46"/>
  <c r="R84" i="46"/>
  <c r="Q84" i="46"/>
  <c r="P84" i="46"/>
  <c r="O84" i="46"/>
  <c r="N84" i="46"/>
  <c r="M84" i="46"/>
  <c r="L84" i="46"/>
  <c r="K84" i="46"/>
  <c r="J84" i="46"/>
  <c r="I84" i="46"/>
  <c r="H84" i="46"/>
  <c r="G84" i="46"/>
  <c r="F84" i="46"/>
  <c r="E84" i="46"/>
  <c r="D84" i="46"/>
  <c r="C84" i="46"/>
  <c r="B84" i="46"/>
  <c r="AF83" i="46"/>
  <c r="AE83" i="46"/>
  <c r="AD83" i="46"/>
  <c r="AC83" i="46"/>
  <c r="AB83" i="46"/>
  <c r="AA83" i="46"/>
  <c r="Z83" i="46"/>
  <c r="Y83" i="46"/>
  <c r="X83" i="46"/>
  <c r="W83" i="46"/>
  <c r="V83" i="46"/>
  <c r="U83" i="46"/>
  <c r="T83" i="46"/>
  <c r="S83" i="46"/>
  <c r="R83" i="46"/>
  <c r="Q83" i="46"/>
  <c r="P83" i="46"/>
  <c r="O83" i="46"/>
  <c r="N83" i="46"/>
  <c r="M83" i="46"/>
  <c r="L83" i="46"/>
  <c r="K83" i="46"/>
  <c r="J83" i="46"/>
  <c r="I83" i="46"/>
  <c r="H83" i="46"/>
  <c r="G83" i="46"/>
  <c r="F83" i="46"/>
  <c r="E83" i="46"/>
  <c r="D83" i="46"/>
  <c r="C83" i="46"/>
  <c r="B83" i="46"/>
  <c r="AF82" i="46"/>
  <c r="AE82" i="46"/>
  <c r="AD82" i="46"/>
  <c r="AC82" i="46"/>
  <c r="AB82" i="46"/>
  <c r="AA82" i="46"/>
  <c r="Z82" i="46"/>
  <c r="Y82" i="46"/>
  <c r="X82" i="46"/>
  <c r="W82" i="46"/>
  <c r="V82" i="46"/>
  <c r="U82" i="46"/>
  <c r="T82" i="46"/>
  <c r="S82" i="46"/>
  <c r="R82" i="46"/>
  <c r="Q82" i="46"/>
  <c r="P82" i="46"/>
  <c r="O82" i="46"/>
  <c r="N82" i="46"/>
  <c r="M82" i="46"/>
  <c r="L82" i="46"/>
  <c r="K82" i="46"/>
  <c r="J82" i="46"/>
  <c r="I82" i="46"/>
  <c r="H82" i="46"/>
  <c r="G82" i="46"/>
  <c r="F82" i="46"/>
  <c r="E82" i="46"/>
  <c r="D82" i="46"/>
  <c r="C82" i="46"/>
  <c r="B82" i="46"/>
  <c r="AF81" i="46"/>
  <c r="AE81" i="46"/>
  <c r="AD81" i="46"/>
  <c r="AC81" i="46"/>
  <c r="AB81" i="46"/>
  <c r="AA81" i="46"/>
  <c r="Z81" i="46"/>
  <c r="Y81" i="46"/>
  <c r="X81" i="46"/>
  <c r="W81" i="46"/>
  <c r="V81" i="46"/>
  <c r="U81" i="46"/>
  <c r="T81" i="46"/>
  <c r="S81" i="46"/>
  <c r="R81" i="46"/>
  <c r="Q81" i="46"/>
  <c r="P81" i="46"/>
  <c r="O81" i="46"/>
  <c r="N81" i="46"/>
  <c r="M81" i="46"/>
  <c r="L81" i="46"/>
  <c r="K81" i="46"/>
  <c r="J81" i="46"/>
  <c r="I81" i="46"/>
  <c r="H81" i="46"/>
  <c r="G81" i="46"/>
  <c r="F81" i="46"/>
  <c r="E81" i="46"/>
  <c r="D81" i="46"/>
  <c r="C81" i="46"/>
  <c r="B81" i="46"/>
  <c r="AI78" i="46"/>
  <c r="AH78" i="46"/>
  <c r="AI76" i="46"/>
  <c r="AH76" i="46"/>
  <c r="AG76" i="46"/>
  <c r="AI75" i="46"/>
  <c r="AH75" i="46"/>
  <c r="AI74" i="46"/>
  <c r="AH74" i="46"/>
  <c r="AI73" i="46"/>
  <c r="AH73" i="46"/>
  <c r="AG72" i="46"/>
  <c r="AF72" i="46"/>
  <c r="AE5" i="46" s="1"/>
  <c r="AE72" i="46"/>
  <c r="AD5" i="46" s="1"/>
  <c r="AD72" i="46"/>
  <c r="AC5" i="46" s="1"/>
  <c r="AC72" i="46"/>
  <c r="AB72" i="46"/>
  <c r="AA5" i="46" s="1"/>
  <c r="AA72" i="46"/>
  <c r="Z72" i="46"/>
  <c r="Y5" i="46" s="1"/>
  <c r="Y72" i="46"/>
  <c r="X5" i="46" s="1"/>
  <c r="X72" i="46"/>
  <c r="W5" i="46" s="1"/>
  <c r="W72" i="46"/>
  <c r="V5" i="46" s="1"/>
  <c r="V72" i="46"/>
  <c r="U5" i="46" s="1"/>
  <c r="U72" i="46"/>
  <c r="T5" i="46" s="1"/>
  <c r="T72" i="46"/>
  <c r="S72" i="46"/>
  <c r="R72" i="46"/>
  <c r="Q5" i="46" s="1"/>
  <c r="Q72" i="46"/>
  <c r="P5" i="46" s="1"/>
  <c r="P72" i="46"/>
  <c r="O5" i="46" s="1"/>
  <c r="O72" i="46"/>
  <c r="N5" i="46" s="1"/>
  <c r="N72" i="46"/>
  <c r="M5" i="46" s="1"/>
  <c r="M72" i="46"/>
  <c r="L5" i="46" s="1"/>
  <c r="L72" i="46"/>
  <c r="K5" i="46" s="1"/>
  <c r="K72" i="46"/>
  <c r="J5" i="46" s="1"/>
  <c r="J72" i="46"/>
  <c r="I5" i="46" s="1"/>
  <c r="I72" i="46"/>
  <c r="H72" i="46"/>
  <c r="G5" i="46" s="1"/>
  <c r="G72" i="46"/>
  <c r="F5" i="46" s="1"/>
  <c r="F72" i="46"/>
  <c r="E5" i="46" s="1"/>
  <c r="E72" i="46"/>
  <c r="D72" i="46"/>
  <c r="C5" i="46" s="1"/>
  <c r="C72" i="46"/>
  <c r="B72" i="46"/>
  <c r="AF5" i="46" s="1"/>
  <c r="AI71" i="46"/>
  <c r="AH71" i="46"/>
  <c r="AI70" i="46"/>
  <c r="AH70" i="46"/>
  <c r="AI69" i="46"/>
  <c r="AH69" i="46"/>
  <c r="AI68" i="46"/>
  <c r="AH68" i="46"/>
  <c r="AI67" i="46"/>
  <c r="AH67" i="46"/>
  <c r="AI66" i="46"/>
  <c r="AH66" i="46"/>
  <c r="AI65" i="46"/>
  <c r="AH65" i="46"/>
  <c r="AI64" i="46"/>
  <c r="AH64" i="46"/>
  <c r="AI63" i="46"/>
  <c r="AH63" i="46"/>
  <c r="AI62" i="46"/>
  <c r="AH62" i="46"/>
  <c r="AI61" i="46"/>
  <c r="AH61" i="46"/>
  <c r="AG60" i="46"/>
  <c r="AF60" i="46"/>
  <c r="AE60" i="46"/>
  <c r="AD60" i="46"/>
  <c r="AC60" i="46"/>
  <c r="AB60" i="46"/>
  <c r="AA60" i="46"/>
  <c r="Z60" i="46"/>
  <c r="Y60" i="46"/>
  <c r="X60" i="46"/>
  <c r="W60" i="46"/>
  <c r="V60" i="46"/>
  <c r="U60" i="46"/>
  <c r="T60" i="46"/>
  <c r="S60" i="46"/>
  <c r="R60" i="46"/>
  <c r="Q60" i="46"/>
  <c r="P60" i="46"/>
  <c r="O60" i="46"/>
  <c r="N60" i="46"/>
  <c r="M60" i="46"/>
  <c r="L60" i="46"/>
  <c r="K60" i="46"/>
  <c r="J60" i="46"/>
  <c r="I60" i="46"/>
  <c r="H60" i="46"/>
  <c r="G60" i="46"/>
  <c r="F60" i="46"/>
  <c r="E60" i="46"/>
  <c r="D60" i="46"/>
  <c r="C60" i="46"/>
  <c r="B60" i="46"/>
  <c r="AI59" i="46"/>
  <c r="AH59" i="46"/>
  <c r="AI58" i="46"/>
  <c r="AH58" i="46"/>
  <c r="AI57" i="46"/>
  <c r="AH57" i="46"/>
  <c r="AF56" i="46"/>
  <c r="AE56" i="46"/>
  <c r="AD56" i="46"/>
  <c r="AC56" i="46"/>
  <c r="AB56" i="46"/>
  <c r="AA56" i="46"/>
  <c r="Z56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AI55" i="46"/>
  <c r="AH55" i="46"/>
  <c r="AG55" i="46"/>
  <c r="AG56" i="46" s="1"/>
  <c r="AG3" i="46" s="1"/>
  <c r="AI54" i="46"/>
  <c r="AH54" i="46"/>
  <c r="AI53" i="46"/>
  <c r="AH53" i="46"/>
  <c r="AI52" i="46"/>
  <c r="AH52" i="46"/>
  <c r="AI51" i="46"/>
  <c r="AH51" i="46"/>
  <c r="AI50" i="46"/>
  <c r="AH50" i="46"/>
  <c r="AI49" i="46"/>
  <c r="AH49" i="46"/>
  <c r="AI48" i="46"/>
  <c r="AH48" i="46"/>
  <c r="AI47" i="46"/>
  <c r="AH47" i="46"/>
  <c r="AI46" i="46"/>
  <c r="AH46" i="46"/>
  <c r="AI45" i="46"/>
  <c r="AH45" i="46"/>
  <c r="AI44" i="46"/>
  <c r="AH44" i="46"/>
  <c r="AI43" i="46"/>
  <c r="AH43" i="46"/>
  <c r="AG42" i="46"/>
  <c r="AF42" i="46"/>
  <c r="AE42" i="46"/>
  <c r="AD42" i="46"/>
  <c r="AC42" i="46"/>
  <c r="AB42" i="46"/>
  <c r="AA42" i="46"/>
  <c r="Z42" i="46"/>
  <c r="Y42" i="46"/>
  <c r="X42" i="46"/>
  <c r="W42" i="46"/>
  <c r="V42" i="46"/>
  <c r="U42" i="46"/>
  <c r="T42" i="46"/>
  <c r="S42" i="46"/>
  <c r="R42" i="46"/>
  <c r="Q42" i="46"/>
  <c r="P42" i="46"/>
  <c r="O42" i="46"/>
  <c r="N42" i="46"/>
  <c r="M42" i="46"/>
  <c r="L42" i="46"/>
  <c r="K42" i="46"/>
  <c r="J42" i="46"/>
  <c r="I42" i="46"/>
  <c r="H42" i="46"/>
  <c r="G42" i="46"/>
  <c r="F42" i="46"/>
  <c r="E42" i="46"/>
  <c r="D42" i="46"/>
  <c r="C42" i="46"/>
  <c r="B42" i="46"/>
  <c r="AI41" i="46"/>
  <c r="AH41" i="46"/>
  <c r="AI40" i="46"/>
  <c r="AH40" i="46"/>
  <c r="AI39" i="46"/>
  <c r="AH39" i="46"/>
  <c r="AG38" i="46"/>
  <c r="AF38" i="46"/>
  <c r="AE38" i="46"/>
  <c r="AD38" i="46"/>
  <c r="AC38" i="46"/>
  <c r="AB38" i="46"/>
  <c r="AA38" i="46"/>
  <c r="Z38" i="46"/>
  <c r="Y38" i="46"/>
  <c r="X38" i="46"/>
  <c r="W38" i="46"/>
  <c r="V38" i="46"/>
  <c r="U38" i="46"/>
  <c r="T38" i="46"/>
  <c r="S38" i="46"/>
  <c r="R38" i="46"/>
  <c r="Q38" i="46"/>
  <c r="P38" i="46"/>
  <c r="O38" i="46"/>
  <c r="N38" i="46"/>
  <c r="M38" i="46"/>
  <c r="L38" i="46"/>
  <c r="K38" i="46"/>
  <c r="J38" i="46"/>
  <c r="I38" i="46"/>
  <c r="H38" i="46"/>
  <c r="G38" i="46"/>
  <c r="F38" i="46"/>
  <c r="E38" i="46"/>
  <c r="D38" i="46"/>
  <c r="C38" i="46"/>
  <c r="B38" i="46"/>
  <c r="AI37" i="46"/>
  <c r="AH37" i="46"/>
  <c r="AI36" i="46"/>
  <c r="AH36" i="46"/>
  <c r="AI35" i="46"/>
  <c r="AH35" i="46"/>
  <c r="AI34" i="46"/>
  <c r="AH34" i="46"/>
  <c r="AI33" i="46"/>
  <c r="AH33" i="46"/>
  <c r="AI32" i="46"/>
  <c r="AH32" i="46"/>
  <c r="AI31" i="46"/>
  <c r="AH31" i="46"/>
  <c r="AI30" i="46"/>
  <c r="AH30" i="46"/>
  <c r="AI29" i="46"/>
  <c r="AH29" i="46"/>
  <c r="AI28" i="46"/>
  <c r="AH28" i="46"/>
  <c r="AI27" i="46"/>
  <c r="AH27" i="46"/>
  <c r="AI26" i="46"/>
  <c r="AH26" i="46"/>
  <c r="AI25" i="46"/>
  <c r="AH25" i="46"/>
  <c r="AI24" i="46"/>
  <c r="AH24" i="46"/>
  <c r="AI23" i="46"/>
  <c r="AH23" i="46"/>
  <c r="AI22" i="46"/>
  <c r="AH22" i="46"/>
  <c r="AI21" i="46"/>
  <c r="AH21" i="46"/>
  <c r="AI20" i="46"/>
  <c r="AH20" i="46"/>
  <c r="AI19" i="46"/>
  <c r="AH19" i="46"/>
  <c r="AI18" i="46"/>
  <c r="AH18" i="46"/>
  <c r="AI17" i="46"/>
  <c r="AH17" i="46"/>
  <c r="AI16" i="46"/>
  <c r="AH16" i="46"/>
  <c r="AI15" i="46"/>
  <c r="AH15" i="46"/>
  <c r="AI14" i="46"/>
  <c r="AH14" i="46"/>
  <c r="AI13" i="46"/>
  <c r="AH13" i="46"/>
  <c r="AI12" i="46"/>
  <c r="AH12" i="46"/>
  <c r="AI11" i="46"/>
  <c r="AH11" i="46"/>
  <c r="AB5" i="46"/>
  <c r="Z5" i="46"/>
  <c r="S5" i="46"/>
  <c r="R5" i="46"/>
  <c r="AG4" i="46"/>
  <c r="K4" i="46"/>
  <c r="B4" i="46"/>
  <c r="S231" i="46" s="1"/>
  <c r="AG2" i="46"/>
  <c r="AE37" i="45"/>
  <c r="AC37" i="45"/>
  <c r="AD37" i="45"/>
  <c r="AB37" i="45"/>
  <c r="Z100" i="45"/>
  <c r="Z37" i="45"/>
  <c r="Y100" i="45"/>
  <c r="Y37" i="45"/>
  <c r="X100" i="45"/>
  <c r="X37" i="45"/>
  <c r="W100" i="45"/>
  <c r="W37" i="45"/>
  <c r="V100" i="45"/>
  <c r="V37" i="45"/>
  <c r="U100" i="45"/>
  <c r="U37" i="45"/>
  <c r="T100" i="45"/>
  <c r="T37" i="45"/>
  <c r="R99" i="45"/>
  <c r="R37" i="45"/>
  <c r="Q99" i="45"/>
  <c r="Q37" i="45"/>
  <c r="P100" i="45"/>
  <c r="P37" i="45"/>
  <c r="O99" i="45"/>
  <c r="O37" i="45"/>
  <c r="N99" i="45"/>
  <c r="N37" i="45"/>
  <c r="M99" i="45"/>
  <c r="M37" i="45"/>
  <c r="L56" i="45"/>
  <c r="L37" i="45"/>
  <c r="E4" i="46"/>
  <c r="B98" i="46" l="1"/>
  <c r="AE77" i="46"/>
  <c r="AE79" i="46" s="1"/>
  <c r="AE7" i="46" s="1"/>
  <c r="AC77" i="46"/>
  <c r="AC79" i="46" s="1"/>
  <c r="AC7" i="46" s="1"/>
  <c r="AA77" i="46"/>
  <c r="AA79" i="46" s="1"/>
  <c r="AB77" i="46"/>
  <c r="AB79" i="46" s="1"/>
  <c r="AT234" i="46" s="1"/>
  <c r="AE87" i="46"/>
  <c r="W87" i="46"/>
  <c r="W88" i="46" s="1"/>
  <c r="W77" i="46"/>
  <c r="W79" i="46" s="1"/>
  <c r="AO234" i="46" s="1"/>
  <c r="U77" i="46"/>
  <c r="U79" i="46" s="1"/>
  <c r="AM234" i="46" s="1"/>
  <c r="T77" i="46"/>
  <c r="T79" i="46" s="1"/>
  <c r="S77" i="46"/>
  <c r="S79" i="46" s="1"/>
  <c r="S7" i="46" s="1"/>
  <c r="O87" i="46"/>
  <c r="O77" i="46"/>
  <c r="O79" i="46" s="1"/>
  <c r="AG234" i="46" s="1"/>
  <c r="B220" i="46"/>
  <c r="AG6" i="46"/>
  <c r="M77" i="46"/>
  <c r="M79" i="46" s="1"/>
  <c r="M7" i="46" s="1"/>
  <c r="K77" i="46"/>
  <c r="K79" i="46" s="1"/>
  <c r="K7" i="46" s="1"/>
  <c r="L77" i="46"/>
  <c r="L79" i="46" s="1"/>
  <c r="N77" i="46"/>
  <c r="N79" i="46" s="1"/>
  <c r="AF234" i="46" s="1"/>
  <c r="V77" i="46"/>
  <c r="V79" i="46" s="1"/>
  <c r="AN234" i="46" s="1"/>
  <c r="AD77" i="46"/>
  <c r="AD79" i="46" s="1"/>
  <c r="P77" i="46"/>
  <c r="P79" i="46" s="1"/>
  <c r="X77" i="46"/>
  <c r="X79" i="46" s="1"/>
  <c r="X7" i="46" s="1"/>
  <c r="AF77" i="46"/>
  <c r="AF79" i="46" s="1"/>
  <c r="AX234" i="46" s="1"/>
  <c r="AG79" i="46"/>
  <c r="P87" i="46"/>
  <c r="P88" i="46" s="1"/>
  <c r="X87" i="46"/>
  <c r="X88" i="46" s="1"/>
  <c r="AF87" i="46"/>
  <c r="AF88" i="46" s="1"/>
  <c r="Q77" i="46"/>
  <c r="Q79" i="46" s="1"/>
  <c r="AI234" i="46" s="1"/>
  <c r="Y77" i="46"/>
  <c r="Y79" i="46" s="1"/>
  <c r="AG77" i="46"/>
  <c r="R77" i="46"/>
  <c r="R79" i="46" s="1"/>
  <c r="AJ234" i="46" s="1"/>
  <c r="Z77" i="46"/>
  <c r="Z79" i="46" s="1"/>
  <c r="AR234" i="46" s="1"/>
  <c r="R87" i="46"/>
  <c r="R88" i="46" s="1"/>
  <c r="Z87" i="46"/>
  <c r="Z88" i="46" s="1"/>
  <c r="K87" i="46"/>
  <c r="K88" i="46" s="1"/>
  <c r="S87" i="46"/>
  <c r="S88" i="46" s="1"/>
  <c r="AA87" i="46"/>
  <c r="AA88" i="46" s="1"/>
  <c r="D98" i="46"/>
  <c r="O88" i="46"/>
  <c r="D220" i="46"/>
  <c r="C255" i="46"/>
  <c r="E87" i="46"/>
  <c r="M87" i="46"/>
  <c r="M88" i="46" s="1"/>
  <c r="U87" i="46"/>
  <c r="U88" i="46" s="1"/>
  <c r="AC87" i="46"/>
  <c r="AC88" i="46" s="1"/>
  <c r="L87" i="46"/>
  <c r="L88" i="46" s="1"/>
  <c r="T87" i="46"/>
  <c r="T88" i="46" s="1"/>
  <c r="AB87" i="46"/>
  <c r="AB88" i="46" s="1"/>
  <c r="N87" i="46"/>
  <c r="N88" i="46" s="1"/>
  <c r="V87" i="46"/>
  <c r="V88" i="46" s="1"/>
  <c r="AD87" i="46"/>
  <c r="AD88" i="46" s="1"/>
  <c r="Q87" i="46"/>
  <c r="Q88" i="46" s="1"/>
  <c r="Y87" i="46"/>
  <c r="Y88" i="46" s="1"/>
  <c r="J77" i="46"/>
  <c r="J79" i="46" s="1"/>
  <c r="J7" i="46" s="1"/>
  <c r="J87" i="46"/>
  <c r="I87" i="46"/>
  <c r="I88" i="46" s="1"/>
  <c r="H5" i="46"/>
  <c r="I77" i="46"/>
  <c r="I79" i="46" s="1"/>
  <c r="AA234" i="46" s="1"/>
  <c r="H87" i="46"/>
  <c r="H88" i="46" s="1"/>
  <c r="H77" i="46"/>
  <c r="H79" i="46" s="1"/>
  <c r="H7" i="46" s="1"/>
  <c r="AI83" i="46"/>
  <c r="AH83" i="46"/>
  <c r="G87" i="46"/>
  <c r="G88" i="46" s="1"/>
  <c r="G77" i="46"/>
  <c r="G79" i="46" s="1"/>
  <c r="Y234" i="46" s="1"/>
  <c r="AI82" i="46"/>
  <c r="F87" i="46"/>
  <c r="F88" i="46" s="1"/>
  <c r="AI60" i="46"/>
  <c r="F77" i="46"/>
  <c r="F79" i="46" s="1"/>
  <c r="X234" i="46" s="1"/>
  <c r="E88" i="46"/>
  <c r="D5" i="46"/>
  <c r="E77" i="46"/>
  <c r="E79" i="46" s="1"/>
  <c r="W234" i="46" s="1"/>
  <c r="AI81" i="46"/>
  <c r="D77" i="46"/>
  <c r="D79" i="46" s="1"/>
  <c r="V234" i="46" s="1"/>
  <c r="D87" i="46"/>
  <c r="D88" i="46" s="1"/>
  <c r="AI85" i="46"/>
  <c r="AI84" i="46"/>
  <c r="C87" i="46"/>
  <c r="C88" i="46" s="1"/>
  <c r="B5" i="46"/>
  <c r="AI56" i="46"/>
  <c r="AH42" i="46"/>
  <c r="C77" i="46"/>
  <c r="C79" i="46" s="1"/>
  <c r="U234" i="46" s="1"/>
  <c r="AH82" i="46"/>
  <c r="AH85" i="46"/>
  <c r="AI42" i="46"/>
  <c r="B77" i="46"/>
  <c r="H4" i="46"/>
  <c r="D255" i="46"/>
  <c r="F219" i="46"/>
  <c r="AA7" i="46"/>
  <c r="AS234" i="46"/>
  <c r="L7" i="46"/>
  <c r="T7" i="46"/>
  <c r="AL234" i="46"/>
  <c r="U7" i="46"/>
  <c r="AV234" i="46"/>
  <c r="D231" i="46"/>
  <c r="AH38" i="46"/>
  <c r="AH84" i="46"/>
  <c r="AI38" i="46"/>
  <c r="E214" i="46"/>
  <c r="AH56" i="46"/>
  <c r="AH60" i="46"/>
  <c r="AH72" i="46"/>
  <c r="AH81" i="46"/>
  <c r="B87" i="46"/>
  <c r="B88" i="46" s="1"/>
  <c r="AI72" i="46"/>
  <c r="J80" i="46" l="1"/>
  <c r="Q7" i="46"/>
  <c r="AD80" i="46"/>
  <c r="AF80" i="46"/>
  <c r="AF7" i="46"/>
  <c r="AW234" i="46"/>
  <c r="AE80" i="46"/>
  <c r="AD7" i="46"/>
  <c r="AC80" i="46"/>
  <c r="AU234" i="46"/>
  <c r="AB7" i="46"/>
  <c r="AB80" i="46"/>
  <c r="W7" i="46"/>
  <c r="Z80" i="46"/>
  <c r="Z7" i="46"/>
  <c r="Y80" i="46"/>
  <c r="Y7" i="46"/>
  <c r="AQ234" i="46"/>
  <c r="J88" i="46"/>
  <c r="T80" i="46"/>
  <c r="AE88" i="46"/>
  <c r="AA80" i="46"/>
  <c r="AP234" i="46"/>
  <c r="X80" i="46"/>
  <c r="W80" i="46"/>
  <c r="V80" i="46"/>
  <c r="V7" i="46"/>
  <c r="U80" i="46"/>
  <c r="AK234" i="46"/>
  <c r="S80" i="46"/>
  <c r="R7" i="46"/>
  <c r="R80" i="46"/>
  <c r="P80" i="46"/>
  <c r="AH234" i="46"/>
  <c r="P7" i="46"/>
  <c r="O7" i="46"/>
  <c r="O80" i="46"/>
  <c r="L80" i="46"/>
  <c r="N7" i="46"/>
  <c r="N80" i="46"/>
  <c r="AD234" i="46"/>
  <c r="M80" i="46"/>
  <c r="AE234" i="46"/>
  <c r="E7" i="46"/>
  <c r="AC234" i="46"/>
  <c r="K80" i="46"/>
  <c r="I80" i="46"/>
  <c r="AB234" i="46"/>
  <c r="H80" i="46"/>
  <c r="Q80" i="46"/>
  <c r="D7" i="46"/>
  <c r="I7" i="46"/>
  <c r="Z234" i="46"/>
  <c r="G7" i="46"/>
  <c r="G80" i="46"/>
  <c r="B229" i="46"/>
  <c r="C229" i="46"/>
  <c r="F80" i="46"/>
  <c r="F7" i="46"/>
  <c r="E80" i="46"/>
  <c r="D80" i="46"/>
  <c r="C7" i="46"/>
  <c r="C80" i="46"/>
  <c r="AI77" i="46"/>
  <c r="AH77" i="46"/>
  <c r="B79" i="46"/>
  <c r="T234" i="46" s="1"/>
  <c r="AI88" i="46"/>
  <c r="AH88" i="46"/>
  <c r="AI87" i="46"/>
  <c r="AH87" i="46"/>
  <c r="E255" i="46"/>
  <c r="G219" i="46"/>
  <c r="E98" i="46"/>
  <c r="F214" i="46"/>
  <c r="E220" i="46"/>
  <c r="D37" i="45"/>
  <c r="C37" i="45"/>
  <c r="B80" i="46" l="1"/>
  <c r="B7" i="46"/>
  <c r="AH79" i="46"/>
  <c r="AI79" i="46"/>
  <c r="AH80" i="46"/>
  <c r="A7" i="46"/>
  <c r="K6" i="46"/>
  <c r="F98" i="46"/>
  <c r="G214" i="46"/>
  <c r="F220" i="46"/>
  <c r="F255" i="46"/>
  <c r="H219" i="46"/>
  <c r="G255" i="46" l="1"/>
  <c r="I219" i="46"/>
  <c r="G98" i="46"/>
  <c r="H214" i="46"/>
  <c r="G220" i="46"/>
  <c r="I214" i="46" l="1"/>
  <c r="H220" i="46"/>
  <c r="H98" i="46"/>
  <c r="H255" i="46"/>
  <c r="J219" i="46"/>
  <c r="K219" i="46" l="1"/>
  <c r="I255" i="46"/>
  <c r="I220" i="46"/>
  <c r="I98" i="46"/>
  <c r="J214" i="46"/>
  <c r="J220" i="46" l="1"/>
  <c r="J98" i="46"/>
  <c r="K214" i="46"/>
  <c r="J255" i="46"/>
  <c r="L219" i="46"/>
  <c r="K255" i="46" l="1"/>
  <c r="M219" i="46"/>
  <c r="K220" i="46"/>
  <c r="K98" i="46"/>
  <c r="L214" i="46"/>
  <c r="B37" i="45"/>
  <c r="B72" i="45"/>
  <c r="B60" i="45"/>
  <c r="B56" i="45"/>
  <c r="B42" i="45"/>
  <c r="B38" i="45"/>
  <c r="AF259" i="45"/>
  <c r="AE259" i="45"/>
  <c r="AD259" i="45"/>
  <c r="AC259" i="45"/>
  <c r="AB259" i="45"/>
  <c r="AA259" i="45"/>
  <c r="Z259" i="45"/>
  <c r="Y259" i="45"/>
  <c r="X259" i="45"/>
  <c r="W259" i="45"/>
  <c r="V259" i="45"/>
  <c r="U259" i="45"/>
  <c r="T259" i="45"/>
  <c r="S259" i="45"/>
  <c r="R259" i="45"/>
  <c r="Q259" i="45"/>
  <c r="P259" i="45"/>
  <c r="O259" i="45"/>
  <c r="N259" i="45"/>
  <c r="M259" i="45"/>
  <c r="L259" i="45"/>
  <c r="K259" i="45"/>
  <c r="J259" i="45"/>
  <c r="I259" i="45"/>
  <c r="H259" i="45"/>
  <c r="G259" i="45"/>
  <c r="F259" i="45"/>
  <c r="E259" i="45"/>
  <c r="D259" i="45"/>
  <c r="C259" i="45"/>
  <c r="B259" i="45"/>
  <c r="A259" i="45"/>
  <c r="AF258" i="45"/>
  <c r="AE258" i="45"/>
  <c r="AD258" i="45"/>
  <c r="AC258" i="45"/>
  <c r="AB258" i="45"/>
  <c r="AA258" i="45"/>
  <c r="Z258" i="45"/>
  <c r="Y258" i="45"/>
  <c r="X258" i="45"/>
  <c r="W258" i="45"/>
  <c r="V258" i="45"/>
  <c r="U258" i="45"/>
  <c r="T258" i="45"/>
  <c r="S258" i="45"/>
  <c r="R258" i="45"/>
  <c r="Q258" i="45"/>
  <c r="P258" i="45"/>
  <c r="O258" i="45"/>
  <c r="N258" i="45"/>
  <c r="M258" i="45"/>
  <c r="L258" i="45"/>
  <c r="K258" i="45"/>
  <c r="J258" i="45"/>
  <c r="I258" i="45"/>
  <c r="H258" i="45"/>
  <c r="G258" i="45"/>
  <c r="F258" i="45"/>
  <c r="E258" i="45"/>
  <c r="D258" i="45"/>
  <c r="C258" i="45"/>
  <c r="B258" i="45"/>
  <c r="A258" i="45"/>
  <c r="AF257" i="45"/>
  <c r="AE257" i="45"/>
  <c r="AD257" i="45"/>
  <c r="AC257" i="45"/>
  <c r="AB257" i="45"/>
  <c r="AA257" i="45"/>
  <c r="Z257" i="45"/>
  <c r="Y257" i="45"/>
  <c r="X257" i="45"/>
  <c r="W257" i="45"/>
  <c r="V257" i="45"/>
  <c r="U257" i="45"/>
  <c r="T257" i="45"/>
  <c r="S257" i="45"/>
  <c r="R257" i="45"/>
  <c r="Q257" i="45"/>
  <c r="P257" i="45"/>
  <c r="O257" i="45"/>
  <c r="N257" i="45"/>
  <c r="M257" i="45"/>
  <c r="L257" i="45"/>
  <c r="K257" i="45"/>
  <c r="J257" i="45"/>
  <c r="I257" i="45"/>
  <c r="H257" i="45"/>
  <c r="G257" i="45"/>
  <c r="F257" i="45"/>
  <c r="E257" i="45"/>
  <c r="D257" i="45"/>
  <c r="C257" i="45"/>
  <c r="B257" i="45"/>
  <c r="A257" i="45"/>
  <c r="AF256" i="45"/>
  <c r="AE256" i="45"/>
  <c r="AD256" i="45"/>
  <c r="AC256" i="45"/>
  <c r="AB256" i="45"/>
  <c r="AA256" i="45"/>
  <c r="Z256" i="45"/>
  <c r="Y256" i="45"/>
  <c r="X256" i="45"/>
  <c r="W256" i="45"/>
  <c r="V256" i="45"/>
  <c r="U256" i="45"/>
  <c r="T256" i="45"/>
  <c r="S256" i="45"/>
  <c r="R256" i="45"/>
  <c r="Q256" i="45"/>
  <c r="P256" i="45"/>
  <c r="O256" i="45"/>
  <c r="N256" i="45"/>
  <c r="M256" i="45"/>
  <c r="L256" i="45"/>
  <c r="K256" i="45"/>
  <c r="J256" i="45"/>
  <c r="I256" i="45"/>
  <c r="H256" i="45"/>
  <c r="G256" i="45"/>
  <c r="F256" i="45"/>
  <c r="E256" i="45"/>
  <c r="D256" i="45"/>
  <c r="C256" i="45"/>
  <c r="B256" i="45"/>
  <c r="A256" i="45"/>
  <c r="AE255" i="45"/>
  <c r="AD255" i="45"/>
  <c r="AC255" i="45"/>
  <c r="AB255" i="45"/>
  <c r="AA255" i="45"/>
  <c r="Z255" i="45"/>
  <c r="Y255" i="45"/>
  <c r="X255" i="45"/>
  <c r="W255" i="45"/>
  <c r="V255" i="45"/>
  <c r="U255" i="45"/>
  <c r="T255" i="45"/>
  <c r="S255" i="45"/>
  <c r="R255" i="45"/>
  <c r="Q255" i="45"/>
  <c r="P255" i="45"/>
  <c r="B255" i="45"/>
  <c r="S230" i="45"/>
  <c r="AG220" i="45"/>
  <c r="AF220" i="45"/>
  <c r="AE220" i="45"/>
  <c r="AD220" i="45"/>
  <c r="AC220" i="45"/>
  <c r="AB220" i="45"/>
  <c r="AA220" i="45"/>
  <c r="Z220" i="45"/>
  <c r="Y220" i="45"/>
  <c r="X220" i="45"/>
  <c r="W220" i="45"/>
  <c r="V220" i="45"/>
  <c r="U220" i="45"/>
  <c r="T220" i="45"/>
  <c r="S220" i="45"/>
  <c r="R220" i="45"/>
  <c r="Q220" i="45"/>
  <c r="C220" i="45"/>
  <c r="D219" i="45"/>
  <c r="D98" i="45" s="1"/>
  <c r="B219" i="45"/>
  <c r="AF255" i="45" s="1"/>
  <c r="E218" i="45"/>
  <c r="F218" i="45" s="1"/>
  <c r="G218" i="45" s="1"/>
  <c r="H218" i="45" s="1"/>
  <c r="I218" i="45" s="1"/>
  <c r="J218" i="45" s="1"/>
  <c r="K218" i="45" s="1"/>
  <c r="L218" i="45" s="1"/>
  <c r="M218" i="45" s="1"/>
  <c r="N218" i="45" s="1"/>
  <c r="O218" i="45" s="1"/>
  <c r="P218" i="45" s="1"/>
  <c r="D218" i="45"/>
  <c r="B218" i="45"/>
  <c r="H217" i="45"/>
  <c r="I217" i="45" s="1"/>
  <c r="J217" i="45" s="1"/>
  <c r="K217" i="45" s="1"/>
  <c r="L217" i="45" s="1"/>
  <c r="M217" i="45" s="1"/>
  <c r="N217" i="45" s="1"/>
  <c r="O217" i="45" s="1"/>
  <c r="P217" i="45" s="1"/>
  <c r="G217" i="45"/>
  <c r="F217" i="45"/>
  <c r="E217" i="45"/>
  <c r="D217" i="45"/>
  <c r="B217" i="45"/>
  <c r="F216" i="45"/>
  <c r="G216" i="45" s="1"/>
  <c r="H216" i="45" s="1"/>
  <c r="I216" i="45" s="1"/>
  <c r="J216" i="45" s="1"/>
  <c r="K216" i="45" s="1"/>
  <c r="L216" i="45" s="1"/>
  <c r="M216" i="45" s="1"/>
  <c r="N216" i="45" s="1"/>
  <c r="O216" i="45" s="1"/>
  <c r="P216" i="45" s="1"/>
  <c r="E216" i="45"/>
  <c r="D216" i="45"/>
  <c r="B216" i="45"/>
  <c r="D215" i="45"/>
  <c r="D220" i="45" s="1"/>
  <c r="B215" i="45"/>
  <c r="E214" i="45"/>
  <c r="D214" i="45"/>
  <c r="B214" i="45"/>
  <c r="B220" i="45" s="1"/>
  <c r="AG212" i="45"/>
  <c r="AF212" i="45"/>
  <c r="AE212" i="45"/>
  <c r="AD212" i="45"/>
  <c r="AC212" i="45"/>
  <c r="AB212" i="45"/>
  <c r="AA212" i="45"/>
  <c r="Z212" i="45"/>
  <c r="Y212" i="45"/>
  <c r="X212" i="45"/>
  <c r="W212" i="45"/>
  <c r="V212" i="45"/>
  <c r="U212" i="45"/>
  <c r="T212" i="45"/>
  <c r="S212" i="45"/>
  <c r="R212" i="45"/>
  <c r="Q212" i="45"/>
  <c r="P212" i="45"/>
  <c r="O212" i="45"/>
  <c r="N212" i="45"/>
  <c r="M212" i="45"/>
  <c r="L212" i="45"/>
  <c r="K212" i="45"/>
  <c r="J212" i="45"/>
  <c r="I212" i="45"/>
  <c r="H212" i="45"/>
  <c r="G212" i="45"/>
  <c r="F212" i="45"/>
  <c r="E212" i="45"/>
  <c r="D212" i="45"/>
  <c r="C212" i="45"/>
  <c r="B212" i="45"/>
  <c r="AH105" i="45"/>
  <c r="AI105" i="45" s="1"/>
  <c r="AH104" i="45"/>
  <c r="AI104" i="45" s="1"/>
  <c r="AH103" i="45"/>
  <c r="AI103" i="45" s="1"/>
  <c r="AH102" i="45"/>
  <c r="AI102" i="45" s="1"/>
  <c r="AH101" i="45"/>
  <c r="AI101" i="45" s="1"/>
  <c r="AH100" i="45"/>
  <c r="AI100" i="45" s="1"/>
  <c r="AH99" i="45"/>
  <c r="AI99" i="45" s="1"/>
  <c r="AF98" i="45"/>
  <c r="AE98" i="45"/>
  <c r="AD98" i="45"/>
  <c r="AC98" i="45"/>
  <c r="AB98" i="45"/>
  <c r="AA98" i="45"/>
  <c r="Z98" i="45"/>
  <c r="Y98" i="45"/>
  <c r="X98" i="45"/>
  <c r="W98" i="45"/>
  <c r="V98" i="45"/>
  <c r="U98" i="45"/>
  <c r="T98" i="45"/>
  <c r="S98" i="45"/>
  <c r="R98" i="45"/>
  <c r="Q98" i="45"/>
  <c r="C98" i="45"/>
  <c r="B98" i="45"/>
  <c r="AI97" i="45"/>
  <c r="AH97" i="45"/>
  <c r="AI96" i="45"/>
  <c r="AH96" i="45"/>
  <c r="AI95" i="45"/>
  <c r="AH95" i="45"/>
  <c r="AI94" i="45"/>
  <c r="AH94" i="45"/>
  <c r="AI93" i="45"/>
  <c r="AH93" i="45"/>
  <c r="AI92" i="45"/>
  <c r="AH92" i="45"/>
  <c r="AI91" i="45"/>
  <c r="AH91" i="45"/>
  <c r="AI90" i="45"/>
  <c r="AH90" i="45"/>
  <c r="AI89" i="45"/>
  <c r="AH89" i="45"/>
  <c r="AI86" i="45"/>
  <c r="AH86" i="45"/>
  <c r="AF85" i="45"/>
  <c r="AE85" i="45"/>
  <c r="AD85" i="45"/>
  <c r="AC85" i="45"/>
  <c r="AB85" i="45"/>
  <c r="AA85" i="45"/>
  <c r="Z85" i="45"/>
  <c r="Y85" i="45"/>
  <c r="X85" i="45"/>
  <c r="W85" i="45"/>
  <c r="V85" i="45"/>
  <c r="U85" i="45"/>
  <c r="T85" i="45"/>
  <c r="S85" i="45"/>
  <c r="R85" i="45"/>
  <c r="Q85" i="45"/>
  <c r="P85" i="45"/>
  <c r="O85" i="45"/>
  <c r="N85" i="45"/>
  <c r="M85" i="45"/>
  <c r="L85" i="45"/>
  <c r="K85" i="45"/>
  <c r="J85" i="45"/>
  <c r="I85" i="45"/>
  <c r="H85" i="45"/>
  <c r="G85" i="45"/>
  <c r="F85" i="45"/>
  <c r="E85" i="45"/>
  <c r="D85" i="45"/>
  <c r="C85" i="45"/>
  <c r="B85" i="45"/>
  <c r="AF84" i="45"/>
  <c r="AE84" i="45"/>
  <c r="AD84" i="45"/>
  <c r="AC84" i="45"/>
  <c r="AB84" i="45"/>
  <c r="AA84" i="45"/>
  <c r="Z84" i="45"/>
  <c r="Y84" i="45"/>
  <c r="X84" i="45"/>
  <c r="W84" i="45"/>
  <c r="V84" i="45"/>
  <c r="U84" i="45"/>
  <c r="T84" i="45"/>
  <c r="S84" i="45"/>
  <c r="R84" i="45"/>
  <c r="Q84" i="45"/>
  <c r="P84" i="45"/>
  <c r="O84" i="45"/>
  <c r="N84" i="45"/>
  <c r="M84" i="45"/>
  <c r="L84" i="45"/>
  <c r="K84" i="45"/>
  <c r="J84" i="45"/>
  <c r="I84" i="45"/>
  <c r="H84" i="45"/>
  <c r="G84" i="45"/>
  <c r="F84" i="45"/>
  <c r="E84" i="45"/>
  <c r="D84" i="45"/>
  <c r="C84" i="45"/>
  <c r="B84" i="45"/>
  <c r="AF83" i="45"/>
  <c r="AE83" i="45"/>
  <c r="AD83" i="45"/>
  <c r="AC83" i="45"/>
  <c r="AB83" i="45"/>
  <c r="AA83" i="45"/>
  <c r="Z83" i="45"/>
  <c r="Y83" i="45"/>
  <c r="X83" i="45"/>
  <c r="W83" i="45"/>
  <c r="V83" i="45"/>
  <c r="U83" i="45"/>
  <c r="T83" i="45"/>
  <c r="S83" i="45"/>
  <c r="R83" i="45"/>
  <c r="Q83" i="45"/>
  <c r="P83" i="45"/>
  <c r="O83" i="45"/>
  <c r="N83" i="45"/>
  <c r="M83" i="45"/>
  <c r="L83" i="45"/>
  <c r="K83" i="45"/>
  <c r="J83" i="45"/>
  <c r="I83" i="45"/>
  <c r="H83" i="45"/>
  <c r="G83" i="45"/>
  <c r="F83" i="45"/>
  <c r="E83" i="45"/>
  <c r="D83" i="45"/>
  <c r="C83" i="45"/>
  <c r="B83" i="45"/>
  <c r="AF82" i="45"/>
  <c r="AE82" i="45"/>
  <c r="AD82" i="45"/>
  <c r="AC82" i="45"/>
  <c r="AB82" i="45"/>
  <c r="AA82" i="45"/>
  <c r="Z82" i="45"/>
  <c r="Y82" i="45"/>
  <c r="X82" i="45"/>
  <c r="W82" i="45"/>
  <c r="V82" i="45"/>
  <c r="U82" i="45"/>
  <c r="T82" i="45"/>
  <c r="S82" i="45"/>
  <c r="R82" i="45"/>
  <c r="Q82" i="45"/>
  <c r="P82" i="45"/>
  <c r="O82" i="45"/>
  <c r="N82" i="45"/>
  <c r="M82" i="45"/>
  <c r="L82" i="45"/>
  <c r="K82" i="45"/>
  <c r="J82" i="45"/>
  <c r="I82" i="45"/>
  <c r="H82" i="45"/>
  <c r="G82" i="45"/>
  <c r="F82" i="45"/>
  <c r="E82" i="45"/>
  <c r="D82" i="45"/>
  <c r="C82" i="45"/>
  <c r="B82" i="45"/>
  <c r="AF81" i="45"/>
  <c r="AE81" i="45"/>
  <c r="AD81" i="45"/>
  <c r="AC81" i="45"/>
  <c r="AB81" i="45"/>
  <c r="AA81" i="45"/>
  <c r="Z81" i="45"/>
  <c r="Y81" i="45"/>
  <c r="X81" i="45"/>
  <c r="W81" i="45"/>
  <c r="V81" i="45"/>
  <c r="U81" i="45"/>
  <c r="T81" i="45"/>
  <c r="S81" i="45"/>
  <c r="R81" i="45"/>
  <c r="R87" i="45" s="1"/>
  <c r="Q81" i="45"/>
  <c r="P81" i="45"/>
  <c r="O81" i="45"/>
  <c r="N81" i="45"/>
  <c r="M81" i="45"/>
  <c r="L81" i="45"/>
  <c r="K81" i="45"/>
  <c r="J81" i="45"/>
  <c r="I81" i="45"/>
  <c r="H81" i="45"/>
  <c r="G81" i="45"/>
  <c r="F81" i="45"/>
  <c r="F87" i="45" s="1"/>
  <c r="E81" i="45"/>
  <c r="E87" i="45" s="1"/>
  <c r="D81" i="45"/>
  <c r="C81" i="45"/>
  <c r="B81" i="45"/>
  <c r="AI78" i="45"/>
  <c r="AH78" i="45"/>
  <c r="AI76" i="45"/>
  <c r="AH76" i="45"/>
  <c r="AG76" i="45"/>
  <c r="AG79" i="45" s="1"/>
  <c r="AI75" i="45"/>
  <c r="AH75" i="45"/>
  <c r="AI74" i="45"/>
  <c r="AH74" i="45"/>
  <c r="AI73" i="45"/>
  <c r="AH73" i="45"/>
  <c r="AG72" i="45"/>
  <c r="AF72" i="45"/>
  <c r="AE5" i="45" s="1"/>
  <c r="AE72" i="45"/>
  <c r="AD5" i="45" s="1"/>
  <c r="AD72" i="45"/>
  <c r="AC5" i="45" s="1"/>
  <c r="AC72" i="45"/>
  <c r="AB5" i="45" s="1"/>
  <c r="AB72" i="45"/>
  <c r="AA5" i="45" s="1"/>
  <c r="AA72" i="45"/>
  <c r="Z5" i="45" s="1"/>
  <c r="Z72" i="45"/>
  <c r="Y5" i="45" s="1"/>
  <c r="Y72" i="45"/>
  <c r="X5" i="45" s="1"/>
  <c r="X72" i="45"/>
  <c r="W5" i="45" s="1"/>
  <c r="W72" i="45"/>
  <c r="V5" i="45" s="1"/>
  <c r="V72" i="45"/>
  <c r="U5" i="45" s="1"/>
  <c r="U72" i="45"/>
  <c r="T5" i="45" s="1"/>
  <c r="T72" i="45"/>
  <c r="S5" i="45" s="1"/>
  <c r="S72" i="45"/>
  <c r="R72" i="45"/>
  <c r="Q5" i="45" s="1"/>
  <c r="Q72" i="45"/>
  <c r="P5" i="45" s="1"/>
  <c r="P72" i="45"/>
  <c r="O5" i="45" s="1"/>
  <c r="O72" i="45"/>
  <c r="N5" i="45" s="1"/>
  <c r="N72" i="45"/>
  <c r="M5" i="45" s="1"/>
  <c r="M72" i="45"/>
  <c r="L5" i="45" s="1"/>
  <c r="L72" i="45"/>
  <c r="K5" i="45" s="1"/>
  <c r="K72" i="45"/>
  <c r="J5" i="45" s="1"/>
  <c r="J72" i="45"/>
  <c r="I72" i="45"/>
  <c r="H72" i="45"/>
  <c r="G72" i="45"/>
  <c r="F5" i="45" s="1"/>
  <c r="F72" i="45"/>
  <c r="E72" i="45"/>
  <c r="D5" i="45" s="1"/>
  <c r="D72" i="45"/>
  <c r="C5" i="45" s="1"/>
  <c r="C72" i="45"/>
  <c r="B5" i="45" s="1"/>
  <c r="AI71" i="45"/>
  <c r="AH71" i="45"/>
  <c r="AI70" i="45"/>
  <c r="AH70" i="45"/>
  <c r="AI69" i="45"/>
  <c r="AH69" i="45"/>
  <c r="AI68" i="45"/>
  <c r="AH68" i="45"/>
  <c r="AI67" i="45"/>
  <c r="AH67" i="45"/>
  <c r="AI66" i="45"/>
  <c r="AH66" i="45"/>
  <c r="AI65" i="45"/>
  <c r="AH65" i="45"/>
  <c r="AI64" i="45"/>
  <c r="AH64" i="45"/>
  <c r="AI63" i="45"/>
  <c r="AH63" i="45"/>
  <c r="AI62" i="45"/>
  <c r="AH62" i="45"/>
  <c r="AI61" i="45"/>
  <c r="AH61" i="45"/>
  <c r="AG60" i="45"/>
  <c r="AF60" i="45"/>
  <c r="AE60" i="45"/>
  <c r="AD60" i="45"/>
  <c r="AC60" i="45"/>
  <c r="AB60" i="45"/>
  <c r="AA60" i="45"/>
  <c r="Z60" i="45"/>
  <c r="Y60" i="45"/>
  <c r="X60" i="45"/>
  <c r="W60" i="45"/>
  <c r="V60" i="45"/>
  <c r="U60" i="45"/>
  <c r="T60" i="45"/>
  <c r="S60" i="45"/>
  <c r="R60" i="45"/>
  <c r="Q60" i="45"/>
  <c r="P60" i="45"/>
  <c r="O60" i="45"/>
  <c r="N60" i="45"/>
  <c r="M60" i="45"/>
  <c r="L60" i="45"/>
  <c r="K60" i="45"/>
  <c r="J60" i="45"/>
  <c r="I60" i="45"/>
  <c r="H60" i="45"/>
  <c r="G60" i="45"/>
  <c r="F60" i="45"/>
  <c r="E60" i="45"/>
  <c r="D60" i="45"/>
  <c r="C60" i="45"/>
  <c r="AI59" i="45"/>
  <c r="AH59" i="45"/>
  <c r="AI58" i="45"/>
  <c r="AH58" i="45"/>
  <c r="AI57" i="45"/>
  <c r="AH57" i="45"/>
  <c r="AF56" i="45"/>
  <c r="AE56" i="45"/>
  <c r="AD56" i="45"/>
  <c r="AC56" i="45"/>
  <c r="AB56" i="45"/>
  <c r="AA56" i="45"/>
  <c r="Z56" i="45"/>
  <c r="Y56" i="45"/>
  <c r="X56" i="45"/>
  <c r="W56" i="45"/>
  <c r="V56" i="45"/>
  <c r="U56" i="45"/>
  <c r="T56" i="45"/>
  <c r="S56" i="45"/>
  <c r="R56" i="45"/>
  <c r="Q56" i="45"/>
  <c r="P56" i="45"/>
  <c r="O56" i="45"/>
  <c r="N56" i="45"/>
  <c r="M56" i="45"/>
  <c r="K56" i="45"/>
  <c r="J56" i="45"/>
  <c r="I56" i="45"/>
  <c r="H56" i="45"/>
  <c r="G56" i="45"/>
  <c r="F56" i="45"/>
  <c r="E56" i="45"/>
  <c r="D56" i="45"/>
  <c r="C56" i="45"/>
  <c r="AI55" i="45"/>
  <c r="AH55" i="45"/>
  <c r="AG55" i="45"/>
  <c r="AG56" i="45" s="1"/>
  <c r="AG3" i="45" s="1"/>
  <c r="AI54" i="45"/>
  <c r="AH54" i="45"/>
  <c r="AI53" i="45"/>
  <c r="AH53" i="45"/>
  <c r="AI52" i="45"/>
  <c r="AH52" i="45"/>
  <c r="AI51" i="45"/>
  <c r="AH51" i="45"/>
  <c r="AI50" i="45"/>
  <c r="AH50" i="45"/>
  <c r="AI49" i="45"/>
  <c r="AH49" i="45"/>
  <c r="AI48" i="45"/>
  <c r="AH48" i="45"/>
  <c r="AI47" i="45"/>
  <c r="AH47" i="45"/>
  <c r="AI46" i="45"/>
  <c r="AH46" i="45"/>
  <c r="AI45" i="45"/>
  <c r="AH45" i="45"/>
  <c r="AI44" i="45"/>
  <c r="AH44" i="45"/>
  <c r="AI43" i="45"/>
  <c r="AH43" i="45"/>
  <c r="AG42" i="45"/>
  <c r="AF42" i="45"/>
  <c r="AE42" i="45"/>
  <c r="AD42" i="45"/>
  <c r="AC42" i="45"/>
  <c r="AB42" i="45"/>
  <c r="AA42" i="45"/>
  <c r="Z42" i="45"/>
  <c r="Y42" i="45"/>
  <c r="X42" i="45"/>
  <c r="W42" i="45"/>
  <c r="V42" i="45"/>
  <c r="U42" i="45"/>
  <c r="T42" i="45"/>
  <c r="S42" i="45"/>
  <c r="S77" i="45" s="1"/>
  <c r="S79" i="45" s="1"/>
  <c r="R42" i="45"/>
  <c r="Q42" i="45"/>
  <c r="P42" i="45"/>
  <c r="O42" i="45"/>
  <c r="N42" i="45"/>
  <c r="M42" i="45"/>
  <c r="L42" i="45"/>
  <c r="K42" i="45"/>
  <c r="J42" i="45"/>
  <c r="I42" i="45"/>
  <c r="H42" i="45"/>
  <c r="G42" i="45"/>
  <c r="F42" i="45"/>
  <c r="E42" i="45"/>
  <c r="D42" i="45"/>
  <c r="C42" i="45"/>
  <c r="AI41" i="45"/>
  <c r="AH41" i="45"/>
  <c r="AI40" i="45"/>
  <c r="AH40" i="45"/>
  <c r="AI39" i="45"/>
  <c r="AH39" i="45"/>
  <c r="AG38" i="45"/>
  <c r="AG77" i="45" s="1"/>
  <c r="AF38" i="45"/>
  <c r="AE38" i="45"/>
  <c r="AD38" i="45"/>
  <c r="AC38" i="45"/>
  <c r="AB38" i="45"/>
  <c r="AA77" i="45"/>
  <c r="AA79" i="45" s="1"/>
  <c r="Z38" i="45"/>
  <c r="Y38" i="45"/>
  <c r="X38" i="45"/>
  <c r="W38" i="45"/>
  <c r="V38" i="45"/>
  <c r="U38" i="45"/>
  <c r="T38" i="45"/>
  <c r="T77" i="45" s="1"/>
  <c r="T79" i="45" s="1"/>
  <c r="R38" i="45"/>
  <c r="Q38" i="45"/>
  <c r="P38" i="45"/>
  <c r="O38" i="45"/>
  <c r="N38" i="45"/>
  <c r="M38" i="45"/>
  <c r="M77" i="45" s="1"/>
  <c r="M79" i="45" s="1"/>
  <c r="L38" i="45"/>
  <c r="K38" i="45"/>
  <c r="J38" i="45"/>
  <c r="I38" i="45"/>
  <c r="H38" i="45"/>
  <c r="G38" i="45"/>
  <c r="G77" i="45" s="1"/>
  <c r="G79" i="45" s="1"/>
  <c r="F38" i="45"/>
  <c r="E38" i="45"/>
  <c r="D38" i="45"/>
  <c r="C38" i="45"/>
  <c r="AI37" i="45"/>
  <c r="AH37" i="45"/>
  <c r="AI36" i="45"/>
  <c r="AH36" i="45"/>
  <c r="AI35" i="45"/>
  <c r="AH35" i="45"/>
  <c r="AI34" i="45"/>
  <c r="AH34" i="45"/>
  <c r="AI33" i="45"/>
  <c r="AH33" i="45"/>
  <c r="AI32" i="45"/>
  <c r="AH32" i="45"/>
  <c r="AI31" i="45"/>
  <c r="AH31" i="45"/>
  <c r="AI30" i="45"/>
  <c r="AH30" i="45"/>
  <c r="AI29" i="45"/>
  <c r="AH29" i="45"/>
  <c r="AI28" i="45"/>
  <c r="AH28" i="45"/>
  <c r="AI27" i="45"/>
  <c r="AH27" i="45"/>
  <c r="AI26" i="45"/>
  <c r="AH26" i="45"/>
  <c r="AI25" i="45"/>
  <c r="AH25" i="45"/>
  <c r="AI24" i="45"/>
  <c r="AH24" i="45"/>
  <c r="AI23" i="45"/>
  <c r="AH23" i="45"/>
  <c r="AI22" i="45"/>
  <c r="AH22" i="45"/>
  <c r="AI21" i="45"/>
  <c r="AH21" i="45"/>
  <c r="AI20" i="45"/>
  <c r="AH20" i="45"/>
  <c r="AI19" i="45"/>
  <c r="AH19" i="45"/>
  <c r="AI18" i="45"/>
  <c r="AH18" i="45"/>
  <c r="AI17" i="45"/>
  <c r="AH17" i="45"/>
  <c r="AI16" i="45"/>
  <c r="AH16" i="45"/>
  <c r="AI15" i="45"/>
  <c r="AH15" i="45"/>
  <c r="AI14" i="45"/>
  <c r="AH14" i="45"/>
  <c r="AI13" i="45"/>
  <c r="AH13" i="45"/>
  <c r="AI12" i="45"/>
  <c r="AH12" i="45"/>
  <c r="AI11" i="45"/>
  <c r="AH11" i="45"/>
  <c r="AF5" i="45"/>
  <c r="R5" i="45"/>
  <c r="I5" i="45"/>
  <c r="H5" i="45"/>
  <c r="E5" i="45"/>
  <c r="AG4" i="45"/>
  <c r="K4" i="45"/>
  <c r="B4" i="45"/>
  <c r="S231" i="45" s="1"/>
  <c r="AG2" i="45"/>
  <c r="AG6" i="45" s="1"/>
  <c r="AF37" i="44"/>
  <c r="AE37" i="44"/>
  <c r="AD37" i="44"/>
  <c r="AC37" i="44"/>
  <c r="AB37" i="44"/>
  <c r="W37" i="44"/>
  <c r="V37" i="44"/>
  <c r="T37" i="44"/>
  <c r="U37" i="44"/>
  <c r="S37" i="44"/>
  <c r="R99" i="44"/>
  <c r="R37" i="44"/>
  <c r="Q99" i="44"/>
  <c r="Q37" i="44"/>
  <c r="P99" i="44"/>
  <c r="P37" i="44"/>
  <c r="O37" i="44"/>
  <c r="N99" i="44"/>
  <c r="N37" i="44"/>
  <c r="M99" i="44"/>
  <c r="M37" i="44"/>
  <c r="L100" i="44"/>
  <c r="J100" i="44"/>
  <c r="K100" i="44"/>
  <c r="J37" i="44"/>
  <c r="K37" i="44"/>
  <c r="L37" i="44"/>
  <c r="H37" i="44"/>
  <c r="I37" i="44"/>
  <c r="H38" i="44"/>
  <c r="I38" i="44"/>
  <c r="H42" i="44"/>
  <c r="I42" i="44"/>
  <c r="H56" i="44"/>
  <c r="I56" i="44"/>
  <c r="H60" i="44"/>
  <c r="I60" i="44"/>
  <c r="H72" i="44"/>
  <c r="I72" i="44"/>
  <c r="H81" i="44"/>
  <c r="I81" i="44"/>
  <c r="H82" i="44"/>
  <c r="I82" i="44"/>
  <c r="H83" i="44"/>
  <c r="I83" i="44"/>
  <c r="H84" i="44"/>
  <c r="I84" i="44"/>
  <c r="H85" i="44"/>
  <c r="I85" i="44"/>
  <c r="H100" i="44"/>
  <c r="H98" i="44" s="1"/>
  <c r="I100" i="44"/>
  <c r="I98" i="44" s="1"/>
  <c r="E4" i="45"/>
  <c r="AF87" i="45" l="1"/>
  <c r="Y87" i="45"/>
  <c r="Y88" i="45" s="1"/>
  <c r="T87" i="45"/>
  <c r="T88" i="45" s="1"/>
  <c r="S87" i="45"/>
  <c r="S88" i="45" s="1"/>
  <c r="O87" i="45"/>
  <c r="AE87" i="45"/>
  <c r="L220" i="46"/>
  <c r="L98" i="46"/>
  <c r="M214" i="46"/>
  <c r="L255" i="46"/>
  <c r="N219" i="46"/>
  <c r="AF88" i="45"/>
  <c r="AF77" i="45"/>
  <c r="AF79" i="45" s="1"/>
  <c r="AF80" i="45" s="1"/>
  <c r="AE77" i="45"/>
  <c r="AE79" i="45" s="1"/>
  <c r="AE7" i="45" s="1"/>
  <c r="AD87" i="45"/>
  <c r="AD88" i="45" s="1"/>
  <c r="AD77" i="45"/>
  <c r="AD79" i="45" s="1"/>
  <c r="AC87" i="45"/>
  <c r="AC88" i="45" s="1"/>
  <c r="AC77" i="45"/>
  <c r="AC79" i="45" s="1"/>
  <c r="AC7" i="45" s="1"/>
  <c r="AA87" i="45"/>
  <c r="AA88" i="45" s="1"/>
  <c r="AB87" i="45"/>
  <c r="AB77" i="45"/>
  <c r="AB79" i="45" s="1"/>
  <c r="AT234" i="45" s="1"/>
  <c r="Z87" i="45"/>
  <c r="Z88" i="45" s="1"/>
  <c r="Z77" i="45"/>
  <c r="Z79" i="45" s="1"/>
  <c r="Z7" i="45" s="1"/>
  <c r="Y77" i="45"/>
  <c r="Y79" i="45" s="1"/>
  <c r="Y7" i="45" s="1"/>
  <c r="X87" i="45"/>
  <c r="X88" i="45" s="1"/>
  <c r="X77" i="45"/>
  <c r="X79" i="45" s="1"/>
  <c r="W87" i="45"/>
  <c r="W77" i="45"/>
  <c r="W79" i="45" s="1"/>
  <c r="W80" i="45" s="1"/>
  <c r="V87" i="45"/>
  <c r="V88" i="45" s="1"/>
  <c r="V77" i="45"/>
  <c r="V79" i="45" s="1"/>
  <c r="V7" i="45" s="1"/>
  <c r="U77" i="45"/>
  <c r="U79" i="45" s="1"/>
  <c r="U80" i="45" s="1"/>
  <c r="U87" i="45"/>
  <c r="R77" i="45"/>
  <c r="R79" i="45" s="1"/>
  <c r="R80" i="45" s="1"/>
  <c r="Q87" i="45"/>
  <c r="Q88" i="45" s="1"/>
  <c r="Q77" i="45"/>
  <c r="Q79" i="45" s="1"/>
  <c r="Q7" i="45" s="1"/>
  <c r="P87" i="45"/>
  <c r="P88" i="45" s="1"/>
  <c r="P77" i="45"/>
  <c r="P79" i="45" s="1"/>
  <c r="AH234" i="45" s="1"/>
  <c r="O77" i="45"/>
  <c r="O79" i="45" s="1"/>
  <c r="O80" i="45" s="1"/>
  <c r="N87" i="45"/>
  <c r="N88" i="45" s="1"/>
  <c r="N77" i="45"/>
  <c r="N79" i="45" s="1"/>
  <c r="M87" i="45"/>
  <c r="M88" i="45" s="1"/>
  <c r="AI60" i="45"/>
  <c r="K87" i="45"/>
  <c r="K77" i="45"/>
  <c r="K79" i="45" s="1"/>
  <c r="AC234" i="45" s="1"/>
  <c r="J87" i="45"/>
  <c r="J88" i="45" s="1"/>
  <c r="I77" i="45"/>
  <c r="I79" i="45" s="1"/>
  <c r="I80" i="45" s="1"/>
  <c r="AH85" i="45"/>
  <c r="H87" i="45"/>
  <c r="H88" i="45" s="1"/>
  <c r="L77" i="45"/>
  <c r="L79" i="45" s="1"/>
  <c r="AD234" i="45" s="1"/>
  <c r="H77" i="45"/>
  <c r="H79" i="45" s="1"/>
  <c r="Z234" i="45" s="1"/>
  <c r="G87" i="45"/>
  <c r="AH82" i="45"/>
  <c r="F88" i="45"/>
  <c r="AI83" i="45"/>
  <c r="I87" i="45"/>
  <c r="I88" i="45" s="1"/>
  <c r="L87" i="45"/>
  <c r="L88" i="45" s="1"/>
  <c r="G5" i="45"/>
  <c r="K88" i="45"/>
  <c r="F77" i="45"/>
  <c r="F79" i="45" s="1"/>
  <c r="X234" i="45" s="1"/>
  <c r="J77" i="45"/>
  <c r="J79" i="45" s="1"/>
  <c r="E77" i="45"/>
  <c r="E79" i="45" s="1"/>
  <c r="W234" i="45" s="1"/>
  <c r="AI42" i="45"/>
  <c r="D87" i="45"/>
  <c r="D88" i="45" s="1"/>
  <c r="AI56" i="45"/>
  <c r="D77" i="45"/>
  <c r="D79" i="45" s="1"/>
  <c r="D80" i="45" s="1"/>
  <c r="AI81" i="45"/>
  <c r="AI84" i="45"/>
  <c r="C87" i="45"/>
  <c r="C88" i="45"/>
  <c r="C77" i="45"/>
  <c r="C79" i="45" s="1"/>
  <c r="U234" i="45" s="1"/>
  <c r="AI38" i="45"/>
  <c r="AI85" i="45"/>
  <c r="H4" i="45"/>
  <c r="E88" i="45"/>
  <c r="U88" i="45"/>
  <c r="K7" i="45"/>
  <c r="S7" i="45"/>
  <c r="S80" i="45"/>
  <c r="AK234" i="45"/>
  <c r="AA7" i="45"/>
  <c r="AS234" i="45"/>
  <c r="AA80" i="45"/>
  <c r="E98" i="45"/>
  <c r="M7" i="45"/>
  <c r="AE234" i="45"/>
  <c r="M80" i="45"/>
  <c r="N7" i="45"/>
  <c r="R88" i="45"/>
  <c r="T7" i="45"/>
  <c r="AL234" i="45"/>
  <c r="T80" i="45"/>
  <c r="Y234" i="45"/>
  <c r="G80" i="45"/>
  <c r="G7" i="45"/>
  <c r="W7" i="45"/>
  <c r="AW234" i="45"/>
  <c r="AE80" i="45"/>
  <c r="H7" i="45"/>
  <c r="AB88" i="45"/>
  <c r="AI82" i="45"/>
  <c r="AH83" i="45"/>
  <c r="D231" i="45"/>
  <c r="AH38" i="45"/>
  <c r="AH42" i="45"/>
  <c r="B77" i="45"/>
  <c r="AH84" i="45"/>
  <c r="E215" i="45"/>
  <c r="F215" i="45" s="1"/>
  <c r="G215" i="45" s="1"/>
  <c r="H215" i="45" s="1"/>
  <c r="I215" i="45" s="1"/>
  <c r="J215" i="45" s="1"/>
  <c r="K215" i="45" s="1"/>
  <c r="L215" i="45" s="1"/>
  <c r="M215" i="45" s="1"/>
  <c r="N215" i="45" s="1"/>
  <c r="O215" i="45" s="1"/>
  <c r="P215" i="45" s="1"/>
  <c r="E219" i="45"/>
  <c r="C255" i="45"/>
  <c r="G88" i="45"/>
  <c r="O88" i="45"/>
  <c r="W88" i="45"/>
  <c r="F214" i="45"/>
  <c r="AH56" i="45"/>
  <c r="AH60" i="45"/>
  <c r="AH72" i="45"/>
  <c r="AH81" i="45"/>
  <c r="B87" i="45"/>
  <c r="B88" i="45" s="1"/>
  <c r="AI72" i="45"/>
  <c r="I87" i="44"/>
  <c r="H87" i="44"/>
  <c r="I77" i="44"/>
  <c r="I79" i="44" s="1"/>
  <c r="H77" i="44"/>
  <c r="H79" i="44" s="1"/>
  <c r="I80" i="44"/>
  <c r="I88" i="44"/>
  <c r="H88" i="44"/>
  <c r="H80" i="44"/>
  <c r="AD80" i="45" l="1"/>
  <c r="Z80" i="45"/>
  <c r="AO234" i="45"/>
  <c r="X80" i="45"/>
  <c r="AX234" i="45"/>
  <c r="U7" i="45"/>
  <c r="N80" i="45"/>
  <c r="I7" i="45"/>
  <c r="K80" i="45"/>
  <c r="V80" i="45"/>
  <c r="E7" i="45"/>
  <c r="AA234" i="45"/>
  <c r="AN234" i="45"/>
  <c r="AM234" i="45"/>
  <c r="AV234" i="45"/>
  <c r="AB80" i="45"/>
  <c r="AB7" i="45"/>
  <c r="M255" i="46"/>
  <c r="O219" i="46"/>
  <c r="M98" i="46"/>
  <c r="N214" i="46"/>
  <c r="M220" i="46"/>
  <c r="AF7" i="45"/>
  <c r="AD7" i="45"/>
  <c r="AC80" i="45"/>
  <c r="AU234" i="45"/>
  <c r="AP234" i="45"/>
  <c r="X7" i="45"/>
  <c r="AQ234" i="45"/>
  <c r="Y80" i="45"/>
  <c r="AR234" i="45"/>
  <c r="AF234" i="45"/>
  <c r="AJ234" i="45"/>
  <c r="R7" i="45"/>
  <c r="AI234" i="45"/>
  <c r="Q80" i="45"/>
  <c r="P7" i="45"/>
  <c r="P80" i="45"/>
  <c r="AG234" i="45"/>
  <c r="O7" i="45"/>
  <c r="L80" i="45"/>
  <c r="L7" i="45"/>
  <c r="C229" i="45"/>
  <c r="H80" i="45"/>
  <c r="J7" i="45"/>
  <c r="F7" i="45"/>
  <c r="F80" i="45"/>
  <c r="E80" i="45"/>
  <c r="AB234" i="45"/>
  <c r="B229" i="45"/>
  <c r="J80" i="45"/>
  <c r="V234" i="45"/>
  <c r="D7" i="45"/>
  <c r="C80" i="45"/>
  <c r="C7" i="45"/>
  <c r="AI88" i="45"/>
  <c r="AH88" i="45"/>
  <c r="F219" i="45"/>
  <c r="D255" i="45"/>
  <c r="E220" i="45"/>
  <c r="F98" i="45"/>
  <c r="G214" i="45"/>
  <c r="B79" i="45"/>
  <c r="AI77" i="45"/>
  <c r="AH77" i="45"/>
  <c r="AI87" i="45"/>
  <c r="AH87" i="45"/>
  <c r="N98" i="46" l="1"/>
  <c r="O214" i="46"/>
  <c r="N220" i="46"/>
  <c r="N255" i="46"/>
  <c r="P219" i="46"/>
  <c r="O255" i="46" s="1"/>
  <c r="K6" i="45"/>
  <c r="G219" i="45"/>
  <c r="E255" i="45"/>
  <c r="B80" i="45"/>
  <c r="AH80" i="45" s="1"/>
  <c r="AI79" i="45"/>
  <c r="AH79" i="45"/>
  <c r="B7" i="45"/>
  <c r="A7" i="45" s="1"/>
  <c r="T234" i="45"/>
  <c r="F220" i="45"/>
  <c r="G98" i="45"/>
  <c r="H214" i="45"/>
  <c r="G220" i="45"/>
  <c r="O98" i="46" l="1"/>
  <c r="P214" i="46"/>
  <c r="O220" i="46"/>
  <c r="I214" i="45"/>
  <c r="F255" i="45"/>
  <c r="H219" i="45"/>
  <c r="P220" i="46" l="1"/>
  <c r="P98" i="46"/>
  <c r="G255" i="45"/>
  <c r="I219" i="45"/>
  <c r="H220" i="45"/>
  <c r="H98" i="45"/>
  <c r="I220" i="45"/>
  <c r="I98" i="45"/>
  <c r="J214" i="45"/>
  <c r="AI98" i="46" l="1"/>
  <c r="AH98" i="46"/>
  <c r="H255" i="45"/>
  <c r="J219" i="45"/>
  <c r="J220" i="45"/>
  <c r="J98" i="45"/>
  <c r="K214" i="45"/>
  <c r="K98" i="45" l="1"/>
  <c r="L214" i="45"/>
  <c r="K219" i="45"/>
  <c r="I255" i="45"/>
  <c r="J255" i="45" l="1"/>
  <c r="L219" i="45"/>
  <c r="L220" i="45"/>
  <c r="M214" i="45"/>
  <c r="L98" i="45"/>
  <c r="K220" i="45"/>
  <c r="N214" i="45" l="1"/>
  <c r="K255" i="45"/>
  <c r="M219" i="45"/>
  <c r="M220" i="45" s="1"/>
  <c r="L255" i="45" l="1"/>
  <c r="N219" i="45"/>
  <c r="N98" i="45"/>
  <c r="O214" i="45"/>
  <c r="N220" i="45"/>
  <c r="M98" i="45"/>
  <c r="P214" i="45" l="1"/>
  <c r="M255" i="45"/>
  <c r="O219" i="45"/>
  <c r="N255" i="45" l="1"/>
  <c r="P219" i="45"/>
  <c r="O255" i="45" s="1"/>
  <c r="O220" i="45"/>
  <c r="P220" i="45"/>
  <c r="P98" i="45"/>
  <c r="O98" i="45"/>
  <c r="AI98" i="45" l="1"/>
  <c r="AH98" i="45"/>
  <c r="G100" i="44" l="1"/>
  <c r="G37" i="44"/>
  <c r="F100" i="44"/>
  <c r="F37" i="44"/>
  <c r="E100" i="44"/>
  <c r="E60" i="44"/>
  <c r="AA7" i="43" l="1"/>
  <c r="B7" i="44"/>
  <c r="AF259" i="44"/>
  <c r="AE259" i="44"/>
  <c r="AD259" i="44"/>
  <c r="AC259" i="44"/>
  <c r="AB259" i="44"/>
  <c r="AA259" i="44"/>
  <c r="Z259" i="44"/>
  <c r="Y259" i="44"/>
  <c r="X259" i="44"/>
  <c r="W259" i="44"/>
  <c r="V259" i="44"/>
  <c r="U259" i="44"/>
  <c r="T259" i="44"/>
  <c r="S259" i="44"/>
  <c r="R259" i="44"/>
  <c r="Q259" i="44"/>
  <c r="P259" i="44"/>
  <c r="O259" i="44"/>
  <c r="N259" i="44"/>
  <c r="M259" i="44"/>
  <c r="L259" i="44"/>
  <c r="K259" i="44"/>
  <c r="J259" i="44"/>
  <c r="I259" i="44"/>
  <c r="H259" i="44"/>
  <c r="G259" i="44"/>
  <c r="F259" i="44"/>
  <c r="E259" i="44"/>
  <c r="D259" i="44"/>
  <c r="C259" i="44"/>
  <c r="B259" i="44"/>
  <c r="A259" i="44"/>
  <c r="AF258" i="44"/>
  <c r="AE258" i="44"/>
  <c r="AD258" i="44"/>
  <c r="AC258" i="44"/>
  <c r="AB258" i="44"/>
  <c r="AA258" i="44"/>
  <c r="Z258" i="44"/>
  <c r="Y258" i="44"/>
  <c r="X258" i="44"/>
  <c r="W258" i="44"/>
  <c r="V258" i="44"/>
  <c r="U258" i="44"/>
  <c r="T258" i="44"/>
  <c r="S258" i="44"/>
  <c r="R258" i="44"/>
  <c r="Q258" i="44"/>
  <c r="P258" i="44"/>
  <c r="O258" i="44"/>
  <c r="N258" i="44"/>
  <c r="M258" i="44"/>
  <c r="L258" i="44"/>
  <c r="K258" i="44"/>
  <c r="J258" i="44"/>
  <c r="I258" i="44"/>
  <c r="H258" i="44"/>
  <c r="G258" i="44"/>
  <c r="F258" i="44"/>
  <c r="E258" i="44"/>
  <c r="D258" i="44"/>
  <c r="C258" i="44"/>
  <c r="B258" i="44"/>
  <c r="A258" i="44"/>
  <c r="AF257" i="44"/>
  <c r="AE257" i="44"/>
  <c r="AD257" i="44"/>
  <c r="AC257" i="44"/>
  <c r="AB257" i="44"/>
  <c r="AA257" i="44"/>
  <c r="Z257" i="44"/>
  <c r="Y257" i="44"/>
  <c r="X257" i="44"/>
  <c r="W257" i="44"/>
  <c r="V257" i="44"/>
  <c r="U257" i="44"/>
  <c r="T257" i="44"/>
  <c r="S257" i="44"/>
  <c r="R257" i="44"/>
  <c r="Q257" i="44"/>
  <c r="P257" i="44"/>
  <c r="O257" i="44"/>
  <c r="N257" i="44"/>
  <c r="M257" i="44"/>
  <c r="L257" i="44"/>
  <c r="K257" i="44"/>
  <c r="J257" i="44"/>
  <c r="I257" i="44"/>
  <c r="H257" i="44"/>
  <c r="G257" i="44"/>
  <c r="F257" i="44"/>
  <c r="E257" i="44"/>
  <c r="D257" i="44"/>
  <c r="C257" i="44"/>
  <c r="B257" i="44"/>
  <c r="A257" i="44"/>
  <c r="AF256" i="44"/>
  <c r="AE256" i="44"/>
  <c r="AD256" i="44"/>
  <c r="AC256" i="44"/>
  <c r="AB256" i="44"/>
  <c r="AA256" i="44"/>
  <c r="Z256" i="44"/>
  <c r="Y256" i="44"/>
  <c r="X256" i="44"/>
  <c r="W256" i="44"/>
  <c r="V256" i="44"/>
  <c r="U256" i="44"/>
  <c r="T256" i="44"/>
  <c r="S256" i="44"/>
  <c r="R256" i="44"/>
  <c r="Q256" i="44"/>
  <c r="P256" i="44"/>
  <c r="O256" i="44"/>
  <c r="N256" i="44"/>
  <c r="M256" i="44"/>
  <c r="L256" i="44"/>
  <c r="K256" i="44"/>
  <c r="J256" i="44"/>
  <c r="I256" i="44"/>
  <c r="H256" i="44"/>
  <c r="G256" i="44"/>
  <c r="F256" i="44"/>
  <c r="E256" i="44"/>
  <c r="D256" i="44"/>
  <c r="C256" i="44"/>
  <c r="B256" i="44"/>
  <c r="A256" i="44"/>
  <c r="AE255" i="44"/>
  <c r="AD255" i="44"/>
  <c r="AC255" i="44"/>
  <c r="AB255" i="44"/>
  <c r="AA255" i="44"/>
  <c r="Z255" i="44"/>
  <c r="Y255" i="44"/>
  <c r="X255" i="44"/>
  <c r="W255" i="44"/>
  <c r="V255" i="44"/>
  <c r="U255" i="44"/>
  <c r="T255" i="44"/>
  <c r="S255" i="44"/>
  <c r="R255" i="44"/>
  <c r="Q255" i="44"/>
  <c r="P255" i="44"/>
  <c r="C255" i="44"/>
  <c r="B255" i="44"/>
  <c r="S230" i="44"/>
  <c r="AG220" i="44"/>
  <c r="AF220" i="44"/>
  <c r="AE220" i="44"/>
  <c r="AD220" i="44"/>
  <c r="AC220" i="44"/>
  <c r="AB220" i="44"/>
  <c r="AA220" i="44"/>
  <c r="Z220" i="44"/>
  <c r="Y220" i="44"/>
  <c r="X220" i="44"/>
  <c r="W220" i="44"/>
  <c r="V220" i="44"/>
  <c r="U220" i="44"/>
  <c r="T220" i="44"/>
  <c r="S220" i="44"/>
  <c r="R220" i="44"/>
  <c r="Q220" i="44"/>
  <c r="C220" i="44"/>
  <c r="F219" i="44"/>
  <c r="E255" i="44" s="1"/>
  <c r="E219" i="44"/>
  <c r="D255" i="44" s="1"/>
  <c r="D219" i="44"/>
  <c r="B219" i="44"/>
  <c r="AF255" i="44" s="1"/>
  <c r="D218" i="44"/>
  <c r="E218" i="44" s="1"/>
  <c r="F218" i="44" s="1"/>
  <c r="G218" i="44" s="1"/>
  <c r="H218" i="44" s="1"/>
  <c r="I218" i="44" s="1"/>
  <c r="J218" i="44" s="1"/>
  <c r="K218" i="44" s="1"/>
  <c r="L218" i="44" s="1"/>
  <c r="M218" i="44" s="1"/>
  <c r="N218" i="44" s="1"/>
  <c r="O218" i="44" s="1"/>
  <c r="P218" i="44" s="1"/>
  <c r="B218" i="44"/>
  <c r="G217" i="44"/>
  <c r="H217" i="44" s="1"/>
  <c r="I217" i="44" s="1"/>
  <c r="J217" i="44" s="1"/>
  <c r="K217" i="44" s="1"/>
  <c r="L217" i="44" s="1"/>
  <c r="M217" i="44" s="1"/>
  <c r="N217" i="44" s="1"/>
  <c r="O217" i="44" s="1"/>
  <c r="P217" i="44" s="1"/>
  <c r="F217" i="44"/>
  <c r="E217" i="44"/>
  <c r="D217" i="44"/>
  <c r="B217" i="44"/>
  <c r="E216" i="44"/>
  <c r="F216" i="44" s="1"/>
  <c r="G216" i="44" s="1"/>
  <c r="H216" i="44" s="1"/>
  <c r="I216" i="44" s="1"/>
  <c r="J216" i="44" s="1"/>
  <c r="K216" i="44" s="1"/>
  <c r="L216" i="44" s="1"/>
  <c r="M216" i="44" s="1"/>
  <c r="N216" i="44" s="1"/>
  <c r="O216" i="44" s="1"/>
  <c r="P216" i="44" s="1"/>
  <c r="D216" i="44"/>
  <c r="B216" i="44"/>
  <c r="F215" i="44"/>
  <c r="G215" i="44" s="1"/>
  <c r="H215" i="44" s="1"/>
  <c r="I215" i="44" s="1"/>
  <c r="J215" i="44" s="1"/>
  <c r="K215" i="44" s="1"/>
  <c r="L215" i="44" s="1"/>
  <c r="M215" i="44" s="1"/>
  <c r="N215" i="44" s="1"/>
  <c r="O215" i="44" s="1"/>
  <c r="P215" i="44" s="1"/>
  <c r="E215" i="44"/>
  <c r="D215" i="44"/>
  <c r="B215" i="44"/>
  <c r="D214" i="44"/>
  <c r="D220" i="44" s="1"/>
  <c r="B214" i="44"/>
  <c r="B220" i="44" s="1"/>
  <c r="AG212" i="44"/>
  <c r="AF212" i="44"/>
  <c r="AE212" i="44"/>
  <c r="AD212" i="44"/>
  <c r="AC212" i="44"/>
  <c r="AB212" i="44"/>
  <c r="AA212" i="44"/>
  <c r="Z212" i="44"/>
  <c r="Y212" i="44"/>
  <c r="X212" i="44"/>
  <c r="W212" i="44"/>
  <c r="V212" i="44"/>
  <c r="U212" i="44"/>
  <c r="T212" i="44"/>
  <c r="S212" i="44"/>
  <c r="R212" i="44"/>
  <c r="Q212" i="44"/>
  <c r="P212" i="44"/>
  <c r="O212" i="44"/>
  <c r="N212" i="44"/>
  <c r="M212" i="44"/>
  <c r="L212" i="44"/>
  <c r="K212" i="44"/>
  <c r="J212" i="44"/>
  <c r="I212" i="44"/>
  <c r="H212" i="44"/>
  <c r="G212" i="44"/>
  <c r="F212" i="44"/>
  <c r="E212" i="44"/>
  <c r="D212" i="44"/>
  <c r="C212" i="44"/>
  <c r="B212" i="44"/>
  <c r="AH105" i="44"/>
  <c r="AI105" i="44" s="1"/>
  <c r="AH104" i="44"/>
  <c r="AI104" i="44" s="1"/>
  <c r="AH103" i="44"/>
  <c r="AI103" i="44" s="1"/>
  <c r="AH102" i="44"/>
  <c r="AI102" i="44" s="1"/>
  <c r="AH101" i="44"/>
  <c r="AI101" i="44" s="1"/>
  <c r="AH100" i="44"/>
  <c r="AI100" i="44" s="1"/>
  <c r="AH99" i="44"/>
  <c r="AI99" i="44" s="1"/>
  <c r="AF98" i="44"/>
  <c r="AE98" i="44"/>
  <c r="AD98" i="44"/>
  <c r="AC98" i="44"/>
  <c r="AB98" i="44"/>
  <c r="AA98" i="44"/>
  <c r="Z98" i="44"/>
  <c r="Y98" i="44"/>
  <c r="X98" i="44"/>
  <c r="W98" i="44"/>
  <c r="V98" i="44"/>
  <c r="U98" i="44"/>
  <c r="T98" i="44"/>
  <c r="S98" i="44"/>
  <c r="R98" i="44"/>
  <c r="Q98" i="44"/>
  <c r="D98" i="44"/>
  <c r="C98" i="44"/>
  <c r="B98" i="44"/>
  <c r="AI97" i="44"/>
  <c r="AH97" i="44"/>
  <c r="AI96" i="44"/>
  <c r="AH96" i="44"/>
  <c r="AI95" i="44"/>
  <c r="AH95" i="44"/>
  <c r="AI94" i="44"/>
  <c r="AH94" i="44"/>
  <c r="AI93" i="44"/>
  <c r="AH93" i="44"/>
  <c r="AI92" i="44"/>
  <c r="AH92" i="44"/>
  <c r="AI91" i="44"/>
  <c r="AH91" i="44"/>
  <c r="AI90" i="44"/>
  <c r="AH90" i="44"/>
  <c r="AI89" i="44"/>
  <c r="AH89" i="44"/>
  <c r="AI86" i="44"/>
  <c r="AH86" i="44"/>
  <c r="AF85" i="44"/>
  <c r="AE85" i="44"/>
  <c r="AD85" i="44"/>
  <c r="AC85" i="44"/>
  <c r="AB85" i="44"/>
  <c r="AA85" i="44"/>
  <c r="Z85" i="44"/>
  <c r="Y85" i="44"/>
  <c r="X85" i="44"/>
  <c r="W85" i="44"/>
  <c r="V85" i="44"/>
  <c r="U85" i="44"/>
  <c r="T85" i="44"/>
  <c r="S85" i="44"/>
  <c r="R85" i="44"/>
  <c r="Q85" i="44"/>
  <c r="P85" i="44"/>
  <c r="O85" i="44"/>
  <c r="N85" i="44"/>
  <c r="M85" i="44"/>
  <c r="L85" i="44"/>
  <c r="K85" i="44"/>
  <c r="J85" i="44"/>
  <c r="G85" i="44"/>
  <c r="F85" i="44"/>
  <c r="E85" i="44"/>
  <c r="D85" i="44"/>
  <c r="C85" i="44"/>
  <c r="B85" i="44"/>
  <c r="AF84" i="44"/>
  <c r="AE84" i="44"/>
  <c r="AD84" i="44"/>
  <c r="AC84" i="44"/>
  <c r="AB84" i="44"/>
  <c r="AA84" i="44"/>
  <c r="Z84" i="44"/>
  <c r="Y84" i="44"/>
  <c r="X84" i="44"/>
  <c r="W84" i="44"/>
  <c r="V84" i="44"/>
  <c r="U84" i="44"/>
  <c r="T84" i="44"/>
  <c r="S84" i="44"/>
  <c r="R84" i="44"/>
  <c r="Q84" i="44"/>
  <c r="P84" i="44"/>
  <c r="O84" i="44"/>
  <c r="N84" i="44"/>
  <c r="M84" i="44"/>
  <c r="L84" i="44"/>
  <c r="K84" i="44"/>
  <c r="J84" i="44"/>
  <c r="G84" i="44"/>
  <c r="F84" i="44"/>
  <c r="E84" i="44"/>
  <c r="D84" i="44"/>
  <c r="C84" i="44"/>
  <c r="B84" i="44"/>
  <c r="AF83" i="44"/>
  <c r="AE83" i="44"/>
  <c r="AD83" i="44"/>
  <c r="AC83" i="44"/>
  <c r="AB83" i="44"/>
  <c r="AA83" i="44"/>
  <c r="Z83" i="44"/>
  <c r="Y83" i="44"/>
  <c r="X83" i="44"/>
  <c r="W83" i="44"/>
  <c r="V83" i="44"/>
  <c r="U83" i="44"/>
  <c r="T83" i="44"/>
  <c r="S83" i="44"/>
  <c r="R83" i="44"/>
  <c r="Q83" i="44"/>
  <c r="P83" i="44"/>
  <c r="O83" i="44"/>
  <c r="N83" i="44"/>
  <c r="M83" i="44"/>
  <c r="L83" i="44"/>
  <c r="K83" i="44"/>
  <c r="J83" i="44"/>
  <c r="G83" i="44"/>
  <c r="F83" i="44"/>
  <c r="E83" i="44"/>
  <c r="D83" i="44"/>
  <c r="C83" i="44"/>
  <c r="AH83" i="44" s="1"/>
  <c r="B83" i="44"/>
  <c r="AI83" i="44" s="1"/>
  <c r="AF82" i="44"/>
  <c r="AE82" i="44"/>
  <c r="AD82" i="44"/>
  <c r="AC82" i="44"/>
  <c r="AB82" i="44"/>
  <c r="AA82" i="44"/>
  <c r="Z82" i="44"/>
  <c r="Y82" i="44"/>
  <c r="X82" i="44"/>
  <c r="W82" i="44"/>
  <c r="V82" i="44"/>
  <c r="U82" i="44"/>
  <c r="T82" i="44"/>
  <c r="S82" i="44"/>
  <c r="R82" i="44"/>
  <c r="Q82" i="44"/>
  <c r="P82" i="44"/>
  <c r="O82" i="44"/>
  <c r="N82" i="44"/>
  <c r="M82" i="44"/>
  <c r="L82" i="44"/>
  <c r="K82" i="44"/>
  <c r="J82" i="44"/>
  <c r="G82" i="44"/>
  <c r="F82" i="44"/>
  <c r="E82" i="44"/>
  <c r="D82" i="44"/>
  <c r="C82" i="44"/>
  <c r="B82" i="44"/>
  <c r="AF81" i="44"/>
  <c r="AE81" i="44"/>
  <c r="AD81" i="44"/>
  <c r="AC81" i="44"/>
  <c r="AB81" i="44"/>
  <c r="AA81" i="44"/>
  <c r="Z81" i="44"/>
  <c r="Y81" i="44"/>
  <c r="X81" i="44"/>
  <c r="W81" i="44"/>
  <c r="V81" i="44"/>
  <c r="U81" i="44"/>
  <c r="T81" i="44"/>
  <c r="S81" i="44"/>
  <c r="R81" i="44"/>
  <c r="Q81" i="44"/>
  <c r="P81" i="44"/>
  <c r="O81" i="44"/>
  <c r="N81" i="44"/>
  <c r="M81" i="44"/>
  <c r="L81" i="44"/>
  <c r="K81" i="44"/>
  <c r="J81" i="44"/>
  <c r="G81" i="44"/>
  <c r="F81" i="44"/>
  <c r="E81" i="44"/>
  <c r="D81" i="44"/>
  <c r="C81" i="44"/>
  <c r="B81" i="44"/>
  <c r="AI78" i="44"/>
  <c r="AH78" i="44"/>
  <c r="AI76" i="44"/>
  <c r="AH76" i="44"/>
  <c r="AG76" i="44"/>
  <c r="AI75" i="44"/>
  <c r="AH75" i="44"/>
  <c r="AI74" i="44"/>
  <c r="AH74" i="44"/>
  <c r="AI73" i="44"/>
  <c r="AH73" i="44"/>
  <c r="AG72" i="44"/>
  <c r="AF72" i="44"/>
  <c r="AE5" i="44" s="1"/>
  <c r="AE72" i="44"/>
  <c r="AD5" i="44" s="1"/>
  <c r="AD72" i="44"/>
  <c r="AC5" i="44" s="1"/>
  <c r="AC72" i="44"/>
  <c r="AB5" i="44" s="1"/>
  <c r="AB72" i="44"/>
  <c r="AA5" i="44" s="1"/>
  <c r="AA72" i="44"/>
  <c r="Z5" i="44" s="1"/>
  <c r="Z72" i="44"/>
  <c r="Y5" i="44" s="1"/>
  <c r="Y72" i="44"/>
  <c r="X5" i="44" s="1"/>
  <c r="X72" i="44"/>
  <c r="W5" i="44" s="1"/>
  <c r="W72" i="44"/>
  <c r="V5" i="44" s="1"/>
  <c r="V72" i="44"/>
  <c r="U5" i="44" s="1"/>
  <c r="U72" i="44"/>
  <c r="T5" i="44" s="1"/>
  <c r="T72" i="44"/>
  <c r="S5" i="44" s="1"/>
  <c r="S72" i="44"/>
  <c r="R5" i="44" s="1"/>
  <c r="R72" i="44"/>
  <c r="Q5" i="44" s="1"/>
  <c r="Q72" i="44"/>
  <c r="P5" i="44" s="1"/>
  <c r="P72" i="44"/>
  <c r="O5" i="44" s="1"/>
  <c r="O72" i="44"/>
  <c r="N5" i="44" s="1"/>
  <c r="N72" i="44"/>
  <c r="M5" i="44" s="1"/>
  <c r="M72" i="44"/>
  <c r="L5" i="44" s="1"/>
  <c r="L72" i="44"/>
  <c r="K5" i="44" s="1"/>
  <c r="K72" i="44"/>
  <c r="J5" i="44" s="1"/>
  <c r="J72" i="44"/>
  <c r="I5" i="44" s="1"/>
  <c r="H5" i="44"/>
  <c r="G72" i="44"/>
  <c r="F5" i="44" s="1"/>
  <c r="F72" i="44"/>
  <c r="E5" i="44" s="1"/>
  <c r="E72" i="44"/>
  <c r="D5" i="44" s="1"/>
  <c r="D72" i="44"/>
  <c r="C5" i="44" s="1"/>
  <c r="C72" i="44"/>
  <c r="B5" i="44" s="1"/>
  <c r="B72" i="44"/>
  <c r="AF5" i="44" s="1"/>
  <c r="AI71" i="44"/>
  <c r="AH71" i="44"/>
  <c r="AI70" i="44"/>
  <c r="AH70" i="44"/>
  <c r="AI69" i="44"/>
  <c r="AH69" i="44"/>
  <c r="AI68" i="44"/>
  <c r="AH68" i="44"/>
  <c r="AI67" i="44"/>
  <c r="AH67" i="44"/>
  <c r="AI66" i="44"/>
  <c r="AH66" i="44"/>
  <c r="AI65" i="44"/>
  <c r="AH65" i="44"/>
  <c r="AI64" i="44"/>
  <c r="AH64" i="44"/>
  <c r="AI63" i="44"/>
  <c r="AH63" i="44"/>
  <c r="AI62" i="44"/>
  <c r="AH62" i="44"/>
  <c r="AI61" i="44"/>
  <c r="AH61" i="44"/>
  <c r="AG60" i="44"/>
  <c r="AF60" i="44"/>
  <c r="AE60" i="44"/>
  <c r="AD60" i="44"/>
  <c r="AC60" i="44"/>
  <c r="AB60" i="44"/>
  <c r="AA60" i="44"/>
  <c r="Z60" i="44"/>
  <c r="Y60" i="44"/>
  <c r="X60" i="44"/>
  <c r="W60" i="44"/>
  <c r="V60" i="44"/>
  <c r="U60" i="44"/>
  <c r="T60" i="44"/>
  <c r="S60" i="44"/>
  <c r="R60" i="44"/>
  <c r="Q60" i="44"/>
  <c r="P60" i="44"/>
  <c r="O60" i="44"/>
  <c r="N60" i="44"/>
  <c r="M60" i="44"/>
  <c r="L60" i="44"/>
  <c r="K60" i="44"/>
  <c r="J60" i="44"/>
  <c r="G60" i="44"/>
  <c r="F60" i="44"/>
  <c r="D60" i="44"/>
  <c r="C60" i="44"/>
  <c r="B60" i="44"/>
  <c r="AI59" i="44"/>
  <c r="AH59" i="44"/>
  <c r="AI58" i="44"/>
  <c r="AH58" i="44"/>
  <c r="AI57" i="44"/>
  <c r="AH57" i="44"/>
  <c r="AF56" i="44"/>
  <c r="AE56" i="44"/>
  <c r="AD56" i="44"/>
  <c r="AC56" i="44"/>
  <c r="AB56" i="44"/>
  <c r="AA56" i="44"/>
  <c r="Z56" i="44"/>
  <c r="Y56" i="44"/>
  <c r="X56" i="44"/>
  <c r="W56" i="44"/>
  <c r="V56" i="44"/>
  <c r="U56" i="44"/>
  <c r="T56" i="44"/>
  <c r="S56" i="44"/>
  <c r="R56" i="44"/>
  <c r="Q56" i="44"/>
  <c r="P56" i="44"/>
  <c r="O56" i="44"/>
  <c r="N56" i="44"/>
  <c r="M56" i="44"/>
  <c r="L56" i="44"/>
  <c r="K56" i="44"/>
  <c r="J56" i="44"/>
  <c r="G56" i="44"/>
  <c r="F56" i="44"/>
  <c r="E56" i="44"/>
  <c r="D56" i="44"/>
  <c r="C56" i="44"/>
  <c r="B56" i="44"/>
  <c r="AI55" i="44"/>
  <c r="AH55" i="44"/>
  <c r="AG55" i="44"/>
  <c r="AG56" i="44" s="1"/>
  <c r="AG3" i="44" s="1"/>
  <c r="AI54" i="44"/>
  <c r="AH54" i="44"/>
  <c r="AI53" i="44"/>
  <c r="AH53" i="44"/>
  <c r="AI52" i="44"/>
  <c r="AH52" i="44"/>
  <c r="AI51" i="44"/>
  <c r="AH51" i="44"/>
  <c r="AI50" i="44"/>
  <c r="AH50" i="44"/>
  <c r="AI49" i="44"/>
  <c r="AH49" i="44"/>
  <c r="AI48" i="44"/>
  <c r="AH48" i="44"/>
  <c r="AI47" i="44"/>
  <c r="AH47" i="44"/>
  <c r="AI46" i="44"/>
  <c r="AH46" i="44"/>
  <c r="AI45" i="44"/>
  <c r="AH45" i="44"/>
  <c r="AI44" i="44"/>
  <c r="AH44" i="44"/>
  <c r="AI43" i="44"/>
  <c r="AH43" i="44"/>
  <c r="AG42" i="44"/>
  <c r="AF42" i="44"/>
  <c r="AE42" i="44"/>
  <c r="AD42" i="44"/>
  <c r="AC42" i="44"/>
  <c r="AB42" i="44"/>
  <c r="AA42" i="44"/>
  <c r="Z42" i="44"/>
  <c r="Y42" i="44"/>
  <c r="X42" i="44"/>
  <c r="W42" i="44"/>
  <c r="V42" i="44"/>
  <c r="U42" i="44"/>
  <c r="T42" i="44"/>
  <c r="S42" i="44"/>
  <c r="R42" i="44"/>
  <c r="Q42" i="44"/>
  <c r="P42" i="44"/>
  <c r="O42" i="44"/>
  <c r="N42" i="44"/>
  <c r="M42" i="44"/>
  <c r="L42" i="44"/>
  <c r="K42" i="44"/>
  <c r="J42" i="44"/>
  <c r="G42" i="44"/>
  <c r="F42" i="44"/>
  <c r="E42" i="44"/>
  <c r="D42" i="44"/>
  <c r="C42" i="44"/>
  <c r="B42" i="44"/>
  <c r="AI41" i="44"/>
  <c r="AH41" i="44"/>
  <c r="AI40" i="44"/>
  <c r="AH40" i="44"/>
  <c r="AI39" i="44"/>
  <c r="AH39" i="44"/>
  <c r="AG38" i="44"/>
  <c r="AG77" i="44" s="1"/>
  <c r="AF38" i="44"/>
  <c r="AE38" i="44"/>
  <c r="AD38" i="44"/>
  <c r="AC38" i="44"/>
  <c r="AB38" i="44"/>
  <c r="AA38" i="44"/>
  <c r="Z38" i="44"/>
  <c r="Y38" i="44"/>
  <c r="X38" i="44"/>
  <c r="W38" i="44"/>
  <c r="V38" i="44"/>
  <c r="U38" i="44"/>
  <c r="T38" i="44"/>
  <c r="S38" i="44"/>
  <c r="R38" i="44"/>
  <c r="Q38" i="44"/>
  <c r="P38" i="44"/>
  <c r="O38" i="44"/>
  <c r="N38" i="44"/>
  <c r="M38" i="44"/>
  <c r="L38" i="44"/>
  <c r="K38" i="44"/>
  <c r="J38" i="44"/>
  <c r="G38" i="44"/>
  <c r="F38" i="44"/>
  <c r="E38" i="44"/>
  <c r="D38" i="44"/>
  <c r="C38" i="44"/>
  <c r="B38" i="44"/>
  <c r="AI37" i="44"/>
  <c r="AI36" i="44"/>
  <c r="AH36" i="44"/>
  <c r="AI35" i="44"/>
  <c r="AH35" i="44"/>
  <c r="AI34" i="44"/>
  <c r="AH34" i="44"/>
  <c r="AI33" i="44"/>
  <c r="AH33" i="44"/>
  <c r="AI32" i="44"/>
  <c r="AH32" i="44"/>
  <c r="AI31" i="44"/>
  <c r="AH31" i="44"/>
  <c r="AI30" i="44"/>
  <c r="AH30" i="44"/>
  <c r="AI29" i="44"/>
  <c r="AH29" i="44"/>
  <c r="AI28" i="44"/>
  <c r="AH28" i="44"/>
  <c r="AI27" i="44"/>
  <c r="AH27" i="44"/>
  <c r="AI26" i="44"/>
  <c r="AH26" i="44"/>
  <c r="AI25" i="44"/>
  <c r="AH25" i="44"/>
  <c r="AI24" i="44"/>
  <c r="AH24" i="44"/>
  <c r="AI23" i="44"/>
  <c r="AH23" i="44"/>
  <c r="AI22" i="44"/>
  <c r="AH22" i="44"/>
  <c r="AI21" i="44"/>
  <c r="AH21" i="44"/>
  <c r="AI20" i="44"/>
  <c r="AH20" i="44"/>
  <c r="AI19" i="44"/>
  <c r="AH19" i="44"/>
  <c r="AI18" i="44"/>
  <c r="AH18" i="44"/>
  <c r="AI17" i="44"/>
  <c r="AH17" i="44"/>
  <c r="AI16" i="44"/>
  <c r="AH16" i="44"/>
  <c r="AI15" i="44"/>
  <c r="AH15" i="44"/>
  <c r="AI14" i="44"/>
  <c r="AH14" i="44"/>
  <c r="AI13" i="44"/>
  <c r="AH13" i="44"/>
  <c r="AI12" i="44"/>
  <c r="AH12" i="44"/>
  <c r="AI11" i="44"/>
  <c r="AH11" i="44"/>
  <c r="G5" i="44"/>
  <c r="AG4" i="44"/>
  <c r="K4" i="44"/>
  <c r="B4" i="44"/>
  <c r="S231" i="44" s="1"/>
  <c r="AG2" i="44"/>
  <c r="AG6" i="44" s="1"/>
  <c r="E4" i="44"/>
  <c r="AF87" i="44" l="1"/>
  <c r="AI60" i="44"/>
  <c r="AB77" i="44"/>
  <c r="AB79" i="44" s="1"/>
  <c r="AT234" i="44" s="1"/>
  <c r="Z87" i="44"/>
  <c r="Z77" i="44"/>
  <c r="Z79" i="44" s="1"/>
  <c r="AR234" i="44" s="1"/>
  <c r="Y77" i="44"/>
  <c r="Y79" i="44" s="1"/>
  <c r="Y7" i="44" s="1"/>
  <c r="X87" i="44"/>
  <c r="X77" i="44"/>
  <c r="X79" i="44" s="1"/>
  <c r="X7" i="44" s="1"/>
  <c r="T77" i="44"/>
  <c r="T79" i="44" s="1"/>
  <c r="R87" i="44"/>
  <c r="R77" i="44"/>
  <c r="R79" i="44" s="1"/>
  <c r="AJ234" i="44" s="1"/>
  <c r="AI81" i="44"/>
  <c r="P87" i="44"/>
  <c r="P77" i="44"/>
  <c r="P79" i="44" s="1"/>
  <c r="AH234" i="44" s="1"/>
  <c r="Q77" i="44"/>
  <c r="Q79" i="44" s="1"/>
  <c r="AI234" i="44" s="1"/>
  <c r="L77" i="44"/>
  <c r="L79" i="44" s="1"/>
  <c r="J87" i="44"/>
  <c r="J77" i="44"/>
  <c r="J79" i="44" s="1"/>
  <c r="G77" i="44"/>
  <c r="G79" i="44" s="1"/>
  <c r="F77" i="44"/>
  <c r="F79" i="44" s="1"/>
  <c r="D77" i="44"/>
  <c r="D79" i="44" s="1"/>
  <c r="V77" i="44"/>
  <c r="V79" i="44" s="1"/>
  <c r="AD77" i="44"/>
  <c r="AD79" i="44" s="1"/>
  <c r="AV234" i="44" s="1"/>
  <c r="N77" i="44"/>
  <c r="N79" i="44" s="1"/>
  <c r="AF234" i="44" s="1"/>
  <c r="O77" i="44"/>
  <c r="O79" i="44" s="1"/>
  <c r="W77" i="44"/>
  <c r="W79" i="44" s="1"/>
  <c r="AO234" i="44" s="1"/>
  <c r="AE77" i="44"/>
  <c r="AE79" i="44" s="1"/>
  <c r="AE7" i="44" s="1"/>
  <c r="AI42" i="44"/>
  <c r="AF77" i="44"/>
  <c r="AF79" i="44" s="1"/>
  <c r="AX234" i="44" s="1"/>
  <c r="Q87" i="44"/>
  <c r="Y87" i="44"/>
  <c r="AI82" i="44"/>
  <c r="C87" i="44"/>
  <c r="C88" i="44" s="1"/>
  <c r="K87" i="44"/>
  <c r="K88" i="44" s="1"/>
  <c r="S87" i="44"/>
  <c r="AA87" i="44"/>
  <c r="AA88" i="44" s="1"/>
  <c r="D87" i="44"/>
  <c r="D80" i="44" s="1"/>
  <c r="L87" i="44"/>
  <c r="L88" i="44" s="1"/>
  <c r="T87" i="44"/>
  <c r="T88" i="44" s="1"/>
  <c r="AB87" i="44"/>
  <c r="AB80" i="44" s="1"/>
  <c r="C77" i="44"/>
  <c r="C79" i="44" s="1"/>
  <c r="K77" i="44"/>
  <c r="K79" i="44" s="1"/>
  <c r="K80" i="44" s="1"/>
  <c r="S77" i="44"/>
  <c r="S79" i="44" s="1"/>
  <c r="S7" i="44" s="1"/>
  <c r="AA77" i="44"/>
  <c r="AA79" i="44" s="1"/>
  <c r="AA80" i="44" s="1"/>
  <c r="O88" i="44"/>
  <c r="AC88" i="44"/>
  <c r="AF88" i="44"/>
  <c r="E87" i="44"/>
  <c r="M87" i="44"/>
  <c r="U87" i="44"/>
  <c r="U88" i="44" s="1"/>
  <c r="AC87" i="44"/>
  <c r="E88" i="44"/>
  <c r="U77" i="44"/>
  <c r="U79" i="44" s="1"/>
  <c r="AM234" i="44" s="1"/>
  <c r="F87" i="44"/>
  <c r="F88" i="44" s="1"/>
  <c r="N87" i="44"/>
  <c r="N88" i="44" s="1"/>
  <c r="V87" i="44"/>
  <c r="V88" i="44" s="1"/>
  <c r="AD87" i="44"/>
  <c r="AD88" i="44" s="1"/>
  <c r="AI85" i="44"/>
  <c r="M88" i="44"/>
  <c r="E77" i="44"/>
  <c r="E79" i="44" s="1"/>
  <c r="W234" i="44" s="1"/>
  <c r="M77" i="44"/>
  <c r="M79" i="44" s="1"/>
  <c r="M80" i="44" s="1"/>
  <c r="AC77" i="44"/>
  <c r="AC79" i="44" s="1"/>
  <c r="AU234" i="44" s="1"/>
  <c r="G87" i="44"/>
  <c r="G80" i="44" s="1"/>
  <c r="O87" i="44"/>
  <c r="W87" i="44"/>
  <c r="AE87" i="44"/>
  <c r="AI84" i="44"/>
  <c r="AI56" i="44"/>
  <c r="AI38" i="44"/>
  <c r="H4" i="44"/>
  <c r="AQ234" i="44"/>
  <c r="Y80" i="44"/>
  <c r="Z234" i="44"/>
  <c r="H7" i="44"/>
  <c r="AB234" i="44"/>
  <c r="J80" i="44"/>
  <c r="J7" i="44"/>
  <c r="R7" i="44"/>
  <c r="Z7" i="44"/>
  <c r="AA234" i="44"/>
  <c r="I7" i="44"/>
  <c r="AC234" i="44"/>
  <c r="W88" i="44"/>
  <c r="AE88" i="44"/>
  <c r="AD234" i="44"/>
  <c r="L7" i="44"/>
  <c r="AL234" i="44"/>
  <c r="T7" i="44"/>
  <c r="P88" i="44"/>
  <c r="X88" i="44"/>
  <c r="AK234" i="44"/>
  <c r="S80" i="44"/>
  <c r="V234" i="44"/>
  <c r="D7" i="44"/>
  <c r="Q88" i="44"/>
  <c r="Y88" i="44"/>
  <c r="Q80" i="44"/>
  <c r="Q7" i="44"/>
  <c r="X234" i="44"/>
  <c r="F7" i="44"/>
  <c r="J88" i="44"/>
  <c r="R88" i="44"/>
  <c r="Z88" i="44"/>
  <c r="N80" i="44"/>
  <c r="N7" i="44"/>
  <c r="Y234" i="44"/>
  <c r="G7" i="44"/>
  <c r="AG234" i="44"/>
  <c r="O7" i="44"/>
  <c r="W7" i="44"/>
  <c r="AG79" i="44"/>
  <c r="S88" i="44"/>
  <c r="D231" i="44"/>
  <c r="AH56" i="44"/>
  <c r="AH60" i="44"/>
  <c r="AH72" i="44"/>
  <c r="AH81" i="44"/>
  <c r="B87" i="44"/>
  <c r="B88" i="44" s="1"/>
  <c r="AH37" i="44"/>
  <c r="AI72" i="44"/>
  <c r="AH82" i="44"/>
  <c r="E214" i="44"/>
  <c r="G219" i="44"/>
  <c r="AH38" i="44"/>
  <c r="AH42" i="44"/>
  <c r="B77" i="44"/>
  <c r="AH84" i="44"/>
  <c r="AH85" i="44"/>
  <c r="AB7" i="44" l="1"/>
  <c r="X80" i="44"/>
  <c r="AP234" i="44"/>
  <c r="AD7" i="44"/>
  <c r="AD80" i="44"/>
  <c r="AB88" i="44"/>
  <c r="AI88" i="44" s="1"/>
  <c r="AE80" i="44"/>
  <c r="AW234" i="44"/>
  <c r="Z80" i="44"/>
  <c r="W80" i="44"/>
  <c r="V80" i="44"/>
  <c r="AN234" i="44"/>
  <c r="V7" i="44"/>
  <c r="T80" i="44"/>
  <c r="R80" i="44"/>
  <c r="P7" i="44"/>
  <c r="P80" i="44"/>
  <c r="O80" i="44"/>
  <c r="K7" i="44"/>
  <c r="G88" i="44"/>
  <c r="F80" i="44"/>
  <c r="E7" i="44"/>
  <c r="U234" i="44"/>
  <c r="C7" i="44"/>
  <c r="C80" i="44"/>
  <c r="AC7" i="44"/>
  <c r="AC80" i="44"/>
  <c r="AS234" i="44"/>
  <c r="AF7" i="44"/>
  <c r="AF80" i="44"/>
  <c r="AE234" i="44"/>
  <c r="D88" i="44"/>
  <c r="AH88" i="44" s="1"/>
  <c r="E80" i="44"/>
  <c r="U7" i="44"/>
  <c r="U80" i="44"/>
  <c r="L80" i="44"/>
  <c r="B229" i="44"/>
  <c r="C229" i="44"/>
  <c r="M7" i="44"/>
  <c r="AA7" i="44"/>
  <c r="F255" i="44"/>
  <c r="H219" i="44"/>
  <c r="F214" i="44"/>
  <c r="E220" i="44"/>
  <c r="E98" i="44"/>
  <c r="AI77" i="44"/>
  <c r="AH77" i="44"/>
  <c r="B79" i="44"/>
  <c r="AI87" i="44"/>
  <c r="AH87" i="44"/>
  <c r="K6" i="44" l="1"/>
  <c r="G214" i="44"/>
  <c r="F220" i="44"/>
  <c r="F98" i="44"/>
  <c r="T234" i="44"/>
  <c r="B80" i="44"/>
  <c r="AH80" i="44" s="1"/>
  <c r="A7" i="44"/>
  <c r="AI79" i="44"/>
  <c r="AH79" i="44"/>
  <c r="G255" i="44"/>
  <c r="I219" i="44"/>
  <c r="H255" i="44" l="1"/>
  <c r="J219" i="44"/>
  <c r="H214" i="44"/>
  <c r="G220" i="44"/>
  <c r="G98" i="44"/>
  <c r="I214" i="44" l="1"/>
  <c r="H220" i="44"/>
  <c r="K219" i="44"/>
  <c r="I255" i="44"/>
  <c r="I220" i="44" l="1"/>
  <c r="J214" i="44"/>
  <c r="J255" i="44"/>
  <c r="L219" i="44"/>
  <c r="K255" i="44" l="1"/>
  <c r="M219" i="44"/>
  <c r="J220" i="44"/>
  <c r="J98" i="44"/>
  <c r="K214" i="44"/>
  <c r="K220" i="44" l="1"/>
  <c r="K98" i="44"/>
  <c r="L214" i="44"/>
  <c r="L255" i="44"/>
  <c r="N219" i="44"/>
  <c r="M255" i="44" l="1"/>
  <c r="O219" i="44"/>
  <c r="L220" i="44"/>
  <c r="L98" i="44"/>
  <c r="M214" i="44"/>
  <c r="N214" i="44" l="1"/>
  <c r="M220" i="44"/>
  <c r="M98" i="44"/>
  <c r="N255" i="44"/>
  <c r="P219" i="44"/>
  <c r="O255" i="44" s="1"/>
  <c r="O214" i="44" l="1"/>
  <c r="N220" i="44"/>
  <c r="N98" i="44"/>
  <c r="P214" i="44" l="1"/>
  <c r="O220" i="44"/>
  <c r="O98" i="44"/>
  <c r="P220" i="44" l="1"/>
  <c r="P98" i="44"/>
  <c r="AI98" i="44" l="1"/>
  <c r="AH98" i="44"/>
  <c r="AB37" i="43" l="1"/>
  <c r="U37" i="43"/>
  <c r="T37" i="43" l="1"/>
  <c r="S37" i="43"/>
  <c r="R100" i="43" l="1"/>
  <c r="R37" i="43"/>
  <c r="Q37" i="43"/>
  <c r="P100" i="43"/>
  <c r="P37" i="43"/>
  <c r="O37" i="43" l="1"/>
  <c r="N37" i="43" l="1"/>
  <c r="M37" i="43" l="1"/>
  <c r="L100" i="43" l="1"/>
  <c r="L37" i="43"/>
  <c r="K100" i="43"/>
  <c r="K37" i="43"/>
  <c r="J100" i="43"/>
  <c r="J37" i="43"/>
  <c r="I100" i="43"/>
  <c r="I37" i="43"/>
  <c r="H100" i="43"/>
  <c r="H37" i="43"/>
  <c r="G100" i="43"/>
  <c r="G37" i="43"/>
  <c r="F100" i="43"/>
  <c r="F37" i="43"/>
  <c r="E100" i="43"/>
  <c r="E37" i="43"/>
  <c r="D100" i="43"/>
  <c r="D37" i="43"/>
  <c r="C100" i="43"/>
  <c r="C37" i="43"/>
  <c r="B100" i="43"/>
  <c r="B37" i="43"/>
  <c r="AF259" i="43"/>
  <c r="AE259" i="43"/>
  <c r="AD259" i="43"/>
  <c r="AC259" i="43"/>
  <c r="AB259" i="43"/>
  <c r="AA259" i="43"/>
  <c r="Z259" i="43"/>
  <c r="Y259" i="43"/>
  <c r="X259" i="43"/>
  <c r="W259" i="43"/>
  <c r="V259" i="43"/>
  <c r="U259" i="43"/>
  <c r="T259" i="43"/>
  <c r="S259" i="43"/>
  <c r="R259" i="43"/>
  <c r="Q259" i="43"/>
  <c r="P259" i="43"/>
  <c r="O259" i="43"/>
  <c r="N259" i="43"/>
  <c r="M259" i="43"/>
  <c r="L259" i="43"/>
  <c r="K259" i="43"/>
  <c r="J259" i="43"/>
  <c r="I259" i="43"/>
  <c r="H259" i="43"/>
  <c r="G259" i="43"/>
  <c r="F259" i="43"/>
  <c r="E259" i="43"/>
  <c r="D259" i="43"/>
  <c r="C259" i="43"/>
  <c r="B259" i="43"/>
  <c r="A259" i="43"/>
  <c r="AF258" i="43"/>
  <c r="AE258" i="43"/>
  <c r="AD258" i="43"/>
  <c r="AC258" i="43"/>
  <c r="AB258" i="43"/>
  <c r="AA258" i="43"/>
  <c r="Z258" i="43"/>
  <c r="Y258" i="43"/>
  <c r="X258" i="43"/>
  <c r="W258" i="43"/>
  <c r="V258" i="43"/>
  <c r="U258" i="43"/>
  <c r="T258" i="43"/>
  <c r="S258" i="43"/>
  <c r="R258" i="43"/>
  <c r="Q258" i="43"/>
  <c r="P258" i="43"/>
  <c r="O258" i="43"/>
  <c r="N258" i="43"/>
  <c r="M258" i="43"/>
  <c r="L258" i="43"/>
  <c r="K258" i="43"/>
  <c r="J258" i="43"/>
  <c r="I258" i="43"/>
  <c r="H258" i="43"/>
  <c r="G258" i="43"/>
  <c r="F258" i="43"/>
  <c r="E258" i="43"/>
  <c r="D258" i="43"/>
  <c r="C258" i="43"/>
  <c r="B258" i="43"/>
  <c r="A258" i="43"/>
  <c r="AF257" i="43"/>
  <c r="AE257" i="43"/>
  <c r="AD257" i="43"/>
  <c r="AC257" i="43"/>
  <c r="AB257" i="43"/>
  <c r="AA257" i="43"/>
  <c r="Z257" i="43"/>
  <c r="Y257" i="43"/>
  <c r="X257" i="43"/>
  <c r="W257" i="43"/>
  <c r="V257" i="43"/>
  <c r="U257" i="43"/>
  <c r="T257" i="43"/>
  <c r="S257" i="43"/>
  <c r="R257" i="43"/>
  <c r="Q257" i="43"/>
  <c r="P257" i="43"/>
  <c r="O257" i="43"/>
  <c r="N257" i="43"/>
  <c r="M257" i="43"/>
  <c r="L257" i="43"/>
  <c r="K257" i="43"/>
  <c r="J257" i="43"/>
  <c r="I257" i="43"/>
  <c r="H257" i="43"/>
  <c r="G257" i="43"/>
  <c r="F257" i="43"/>
  <c r="E257" i="43"/>
  <c r="D257" i="43"/>
  <c r="C257" i="43"/>
  <c r="B257" i="43"/>
  <c r="A257" i="43"/>
  <c r="AF256" i="43"/>
  <c r="AE256" i="43"/>
  <c r="AD256" i="43"/>
  <c r="AC256" i="43"/>
  <c r="AB256" i="43"/>
  <c r="AA256" i="43"/>
  <c r="Z256" i="43"/>
  <c r="Y256" i="43"/>
  <c r="X256" i="43"/>
  <c r="W256" i="43"/>
  <c r="V256" i="43"/>
  <c r="U256" i="43"/>
  <c r="T256" i="43"/>
  <c r="S256" i="43"/>
  <c r="R256" i="43"/>
  <c r="Q256" i="43"/>
  <c r="P256" i="43"/>
  <c r="O256" i="43"/>
  <c r="N256" i="43"/>
  <c r="M256" i="43"/>
  <c r="L256" i="43"/>
  <c r="K256" i="43"/>
  <c r="J256" i="43"/>
  <c r="I256" i="43"/>
  <c r="H256" i="43"/>
  <c r="G256" i="43"/>
  <c r="F256" i="43"/>
  <c r="E256" i="43"/>
  <c r="D256" i="43"/>
  <c r="C256" i="43"/>
  <c r="B256" i="43"/>
  <c r="A256" i="43"/>
  <c r="AE255" i="43"/>
  <c r="AD255" i="43"/>
  <c r="AC255" i="43"/>
  <c r="AB255" i="43"/>
  <c r="AA255" i="43"/>
  <c r="Z255" i="43"/>
  <c r="Y255" i="43"/>
  <c r="X255" i="43"/>
  <c r="W255" i="43"/>
  <c r="V255" i="43"/>
  <c r="U255" i="43"/>
  <c r="T255" i="43"/>
  <c r="S255" i="43"/>
  <c r="R255" i="43"/>
  <c r="Q255" i="43"/>
  <c r="P255" i="43"/>
  <c r="C255" i="43"/>
  <c r="B255" i="43"/>
  <c r="S230" i="43"/>
  <c r="AG220" i="43"/>
  <c r="AG55" i="43" s="1"/>
  <c r="AG56" i="43" s="1"/>
  <c r="AF220" i="43"/>
  <c r="AE220" i="43"/>
  <c r="AD220" i="43"/>
  <c r="AC220" i="43"/>
  <c r="AB220" i="43"/>
  <c r="AA220" i="43"/>
  <c r="Z220" i="43"/>
  <c r="Y220" i="43"/>
  <c r="X220" i="43"/>
  <c r="W220" i="43"/>
  <c r="V220" i="43"/>
  <c r="U220" i="43"/>
  <c r="T220" i="43"/>
  <c r="S220" i="43"/>
  <c r="R220" i="43"/>
  <c r="Q220" i="43"/>
  <c r="C220" i="43"/>
  <c r="E219" i="43"/>
  <c r="D255" i="43" s="1"/>
  <c r="D219" i="43"/>
  <c r="B219" i="43"/>
  <c r="AF255" i="43" s="1"/>
  <c r="D218" i="43"/>
  <c r="E218" i="43" s="1"/>
  <c r="F218" i="43" s="1"/>
  <c r="G218" i="43" s="1"/>
  <c r="H218" i="43" s="1"/>
  <c r="I218" i="43" s="1"/>
  <c r="J218" i="43" s="1"/>
  <c r="K218" i="43" s="1"/>
  <c r="L218" i="43" s="1"/>
  <c r="M218" i="43" s="1"/>
  <c r="N218" i="43" s="1"/>
  <c r="O218" i="43" s="1"/>
  <c r="P218" i="43" s="1"/>
  <c r="B218" i="43"/>
  <c r="D217" i="43"/>
  <c r="E217" i="43" s="1"/>
  <c r="F217" i="43" s="1"/>
  <c r="G217" i="43" s="1"/>
  <c r="H217" i="43" s="1"/>
  <c r="I217" i="43" s="1"/>
  <c r="J217" i="43" s="1"/>
  <c r="K217" i="43" s="1"/>
  <c r="L217" i="43" s="1"/>
  <c r="M217" i="43" s="1"/>
  <c r="N217" i="43" s="1"/>
  <c r="O217" i="43" s="1"/>
  <c r="P217" i="43" s="1"/>
  <c r="B217" i="43"/>
  <c r="D216" i="43"/>
  <c r="E216" i="43" s="1"/>
  <c r="F216" i="43" s="1"/>
  <c r="G216" i="43" s="1"/>
  <c r="H216" i="43" s="1"/>
  <c r="I216" i="43" s="1"/>
  <c r="J216" i="43" s="1"/>
  <c r="K216" i="43" s="1"/>
  <c r="L216" i="43" s="1"/>
  <c r="M216" i="43" s="1"/>
  <c r="N216" i="43" s="1"/>
  <c r="O216" i="43" s="1"/>
  <c r="P216" i="43" s="1"/>
  <c r="B216" i="43"/>
  <c r="D215" i="43"/>
  <c r="E215" i="43" s="1"/>
  <c r="F215" i="43" s="1"/>
  <c r="G215" i="43" s="1"/>
  <c r="H215" i="43" s="1"/>
  <c r="I215" i="43" s="1"/>
  <c r="J215" i="43" s="1"/>
  <c r="K215" i="43" s="1"/>
  <c r="L215" i="43" s="1"/>
  <c r="M215" i="43" s="1"/>
  <c r="N215" i="43" s="1"/>
  <c r="O215" i="43" s="1"/>
  <c r="P215" i="43" s="1"/>
  <c r="B215" i="43"/>
  <c r="D214" i="43"/>
  <c r="B214" i="43"/>
  <c r="AG212" i="43"/>
  <c r="AF212" i="43"/>
  <c r="AE212" i="43"/>
  <c r="AD212" i="43"/>
  <c r="AC212" i="43"/>
  <c r="AB212" i="43"/>
  <c r="AA212" i="43"/>
  <c r="Z212" i="43"/>
  <c r="Y212" i="43"/>
  <c r="X212" i="43"/>
  <c r="W212" i="43"/>
  <c r="V212" i="43"/>
  <c r="U212" i="43"/>
  <c r="T212" i="43"/>
  <c r="S212" i="43"/>
  <c r="R212" i="43"/>
  <c r="Q212" i="43"/>
  <c r="P212" i="43"/>
  <c r="O212" i="43"/>
  <c r="N212" i="43"/>
  <c r="M212" i="43"/>
  <c r="L212" i="43"/>
  <c r="K212" i="43"/>
  <c r="J212" i="43"/>
  <c r="I212" i="43"/>
  <c r="H212" i="43"/>
  <c r="G212" i="43"/>
  <c r="F212" i="43"/>
  <c r="E212" i="43"/>
  <c r="D212" i="43"/>
  <c r="C212" i="43"/>
  <c r="B212" i="43"/>
  <c r="AH105" i="43"/>
  <c r="AI105" i="43" s="1"/>
  <c r="AH104" i="43"/>
  <c r="AI104" i="43" s="1"/>
  <c r="AH103" i="43"/>
  <c r="AI103" i="43" s="1"/>
  <c r="AH102" i="43"/>
  <c r="AI102" i="43" s="1"/>
  <c r="AH101" i="43"/>
  <c r="AI101" i="43" s="1"/>
  <c r="AH100" i="43"/>
  <c r="AI100" i="43" s="1"/>
  <c r="AH99" i="43"/>
  <c r="AI99" i="43" s="1"/>
  <c r="AF98" i="43"/>
  <c r="AE98" i="43"/>
  <c r="AD98" i="43"/>
  <c r="AC98" i="43"/>
  <c r="AB98" i="43"/>
  <c r="AA98" i="43"/>
  <c r="Z98" i="43"/>
  <c r="Y98" i="43"/>
  <c r="X98" i="43"/>
  <c r="W98" i="43"/>
  <c r="V98" i="43"/>
  <c r="U98" i="43"/>
  <c r="T98" i="43"/>
  <c r="S98" i="43"/>
  <c r="R98" i="43"/>
  <c r="Q98" i="43"/>
  <c r="D98" i="43"/>
  <c r="C98" i="43"/>
  <c r="B98" i="43"/>
  <c r="AI97" i="43"/>
  <c r="AH97" i="43"/>
  <c r="AI96" i="43"/>
  <c r="AH96" i="43"/>
  <c r="AI95" i="43"/>
  <c r="AH95" i="43"/>
  <c r="AI94" i="43"/>
  <c r="AH94" i="43"/>
  <c r="AI93" i="43"/>
  <c r="AH93" i="43"/>
  <c r="AI92" i="43"/>
  <c r="AH92" i="43"/>
  <c r="AI91" i="43"/>
  <c r="AH91" i="43"/>
  <c r="AI90" i="43"/>
  <c r="AH90" i="43"/>
  <c r="AI89" i="43"/>
  <c r="AH89" i="43"/>
  <c r="AI86" i="43"/>
  <c r="AH86" i="43"/>
  <c r="AF85" i="43"/>
  <c r="AE85" i="43"/>
  <c r="AD85" i="43"/>
  <c r="AC85" i="43"/>
  <c r="AB85" i="43"/>
  <c r="AA85" i="43"/>
  <c r="Z85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AF84" i="43"/>
  <c r="AE84" i="43"/>
  <c r="AD84" i="43"/>
  <c r="AC84" i="43"/>
  <c r="AB84" i="43"/>
  <c r="AA84" i="43"/>
  <c r="Z84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AF83" i="43"/>
  <c r="AE83" i="43"/>
  <c r="AD83" i="43"/>
  <c r="AC83" i="43"/>
  <c r="AB83" i="43"/>
  <c r="AA83" i="43"/>
  <c r="Z83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AF82" i="43"/>
  <c r="AE82" i="43"/>
  <c r="AD82" i="43"/>
  <c r="AC82" i="43"/>
  <c r="AB82" i="43"/>
  <c r="AA82" i="43"/>
  <c r="Z82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AF81" i="43"/>
  <c r="AE81" i="43"/>
  <c r="AD81" i="43"/>
  <c r="AC81" i="43"/>
  <c r="AB81" i="43"/>
  <c r="AA81" i="43"/>
  <c r="Z81" i="43"/>
  <c r="Y81" i="43"/>
  <c r="X81" i="43"/>
  <c r="X87" i="43" s="1"/>
  <c r="W81" i="43"/>
  <c r="W87" i="43" s="1"/>
  <c r="V81" i="43"/>
  <c r="U81" i="43"/>
  <c r="T81" i="43"/>
  <c r="S81" i="43"/>
  <c r="R81" i="43"/>
  <c r="Q81" i="43"/>
  <c r="P81" i="43"/>
  <c r="P87" i="43" s="1"/>
  <c r="O81" i="43"/>
  <c r="O87" i="43" s="1"/>
  <c r="N81" i="43"/>
  <c r="M81" i="43"/>
  <c r="L81" i="43"/>
  <c r="K81" i="43"/>
  <c r="J81" i="43"/>
  <c r="I81" i="43"/>
  <c r="H81" i="43"/>
  <c r="G81" i="43"/>
  <c r="F81" i="43"/>
  <c r="E81" i="43"/>
  <c r="E87" i="43" s="1"/>
  <c r="D81" i="43"/>
  <c r="C81" i="43"/>
  <c r="B81" i="43"/>
  <c r="AI78" i="43"/>
  <c r="AH78" i="43"/>
  <c r="AI76" i="43"/>
  <c r="AH76" i="43"/>
  <c r="AG76" i="43"/>
  <c r="AI75" i="43"/>
  <c r="AH75" i="43"/>
  <c r="AI74" i="43"/>
  <c r="AH74" i="43"/>
  <c r="AI73" i="43"/>
  <c r="AH73" i="43"/>
  <c r="AG72" i="43"/>
  <c r="AF72" i="43"/>
  <c r="AE5" i="43" s="1"/>
  <c r="AE72" i="43"/>
  <c r="AD5" i="43" s="1"/>
  <c r="AD72" i="43"/>
  <c r="AC5" i="43" s="1"/>
  <c r="AC72" i="43"/>
  <c r="AB5" i="43" s="1"/>
  <c r="AB72" i="43"/>
  <c r="AA5" i="43" s="1"/>
  <c r="AA72" i="43"/>
  <c r="Z5" i="43" s="1"/>
  <c r="Z72" i="43"/>
  <c r="Y5" i="43" s="1"/>
  <c r="Y72" i="43"/>
  <c r="X72" i="43"/>
  <c r="W5" i="43" s="1"/>
  <c r="W72" i="43"/>
  <c r="V5" i="43" s="1"/>
  <c r="V72" i="43"/>
  <c r="U5" i="43" s="1"/>
  <c r="U72" i="43"/>
  <c r="T5" i="43" s="1"/>
  <c r="T72" i="43"/>
  <c r="S5" i="43" s="1"/>
  <c r="S72" i="43"/>
  <c r="R5" i="43" s="1"/>
  <c r="R72" i="43"/>
  <c r="Q72" i="43"/>
  <c r="P5" i="43" s="1"/>
  <c r="P72" i="43"/>
  <c r="O5" i="43" s="1"/>
  <c r="O72" i="43"/>
  <c r="N5" i="43" s="1"/>
  <c r="N72" i="43"/>
  <c r="M5" i="43" s="1"/>
  <c r="M72" i="43"/>
  <c r="L5" i="43" s="1"/>
  <c r="L72" i="43"/>
  <c r="K5" i="43" s="1"/>
  <c r="K72" i="43"/>
  <c r="J5" i="43" s="1"/>
  <c r="J72" i="43"/>
  <c r="I72" i="43"/>
  <c r="H5" i="43" s="1"/>
  <c r="H72" i="43"/>
  <c r="G5" i="43" s="1"/>
  <c r="G72" i="43"/>
  <c r="F5" i="43" s="1"/>
  <c r="F72" i="43"/>
  <c r="E5" i="43" s="1"/>
  <c r="E72" i="43"/>
  <c r="D5" i="43" s="1"/>
  <c r="D72" i="43"/>
  <c r="C5" i="43" s="1"/>
  <c r="C72" i="43"/>
  <c r="B72" i="43"/>
  <c r="AF5" i="43" s="1"/>
  <c r="AI71" i="43"/>
  <c r="AH71" i="43"/>
  <c r="AI70" i="43"/>
  <c r="AH70" i="43"/>
  <c r="AI69" i="43"/>
  <c r="AH69" i="43"/>
  <c r="AI68" i="43"/>
  <c r="AH68" i="43"/>
  <c r="AI67" i="43"/>
  <c r="AH67" i="43"/>
  <c r="AI66" i="43"/>
  <c r="AH66" i="43"/>
  <c r="AI65" i="43"/>
  <c r="AH65" i="43"/>
  <c r="AI64" i="43"/>
  <c r="AH64" i="43"/>
  <c r="AI63" i="43"/>
  <c r="AH63" i="43"/>
  <c r="AI62" i="43"/>
  <c r="AH62" i="43"/>
  <c r="AI61" i="43"/>
  <c r="AH61" i="43"/>
  <c r="AG60" i="43"/>
  <c r="AF60" i="43"/>
  <c r="AE60" i="43"/>
  <c r="AD60" i="43"/>
  <c r="AC60" i="43"/>
  <c r="AB60" i="43"/>
  <c r="AA60" i="43"/>
  <c r="Z60" i="43"/>
  <c r="Y60" i="43"/>
  <c r="X60" i="43"/>
  <c r="W60" i="43"/>
  <c r="V60" i="43"/>
  <c r="U60" i="43"/>
  <c r="T60" i="43"/>
  <c r="S60" i="43"/>
  <c r="R60" i="43"/>
  <c r="Q60" i="43"/>
  <c r="P60" i="43"/>
  <c r="O60" i="43"/>
  <c r="N60" i="43"/>
  <c r="M60" i="43"/>
  <c r="L60" i="43"/>
  <c r="K60" i="43"/>
  <c r="J60" i="43"/>
  <c r="I60" i="43"/>
  <c r="H60" i="43"/>
  <c r="G60" i="43"/>
  <c r="F60" i="43"/>
  <c r="E60" i="43"/>
  <c r="D60" i="43"/>
  <c r="C60" i="43"/>
  <c r="B60" i="43"/>
  <c r="AI59" i="43"/>
  <c r="AH59" i="43"/>
  <c r="AI58" i="43"/>
  <c r="AH58" i="43"/>
  <c r="AI57" i="43"/>
  <c r="AH57" i="43"/>
  <c r="AF56" i="43"/>
  <c r="AE56" i="43"/>
  <c r="AD56" i="43"/>
  <c r="AC56" i="43"/>
  <c r="AB56" i="43"/>
  <c r="AA56" i="43"/>
  <c r="Z56" i="43"/>
  <c r="Y56" i="43"/>
  <c r="X56" i="43"/>
  <c r="W56" i="43"/>
  <c r="V56" i="43"/>
  <c r="U56" i="43"/>
  <c r="T56" i="43"/>
  <c r="S56" i="43"/>
  <c r="R56" i="43"/>
  <c r="Q56" i="43"/>
  <c r="P56" i="43"/>
  <c r="O56" i="43"/>
  <c r="N56" i="43"/>
  <c r="M56" i="43"/>
  <c r="L56" i="43"/>
  <c r="K56" i="43"/>
  <c r="J56" i="43"/>
  <c r="I56" i="43"/>
  <c r="H56" i="43"/>
  <c r="G56" i="43"/>
  <c r="F56" i="43"/>
  <c r="E56" i="43"/>
  <c r="D56" i="43"/>
  <c r="C56" i="43"/>
  <c r="B56" i="43"/>
  <c r="AI55" i="43"/>
  <c r="AH55" i="43"/>
  <c r="AI54" i="43"/>
  <c r="AH54" i="43"/>
  <c r="AI53" i="43"/>
  <c r="AH53" i="43"/>
  <c r="AI52" i="43"/>
  <c r="AH52" i="43"/>
  <c r="AI51" i="43"/>
  <c r="AH51" i="43"/>
  <c r="AI50" i="43"/>
  <c r="AH50" i="43"/>
  <c r="AI49" i="43"/>
  <c r="AH49" i="43"/>
  <c r="AI48" i="43"/>
  <c r="AH48" i="43"/>
  <c r="AI47" i="43"/>
  <c r="AH47" i="43"/>
  <c r="AI46" i="43"/>
  <c r="AH46" i="43"/>
  <c r="AI45" i="43"/>
  <c r="AH45" i="43"/>
  <c r="AI44" i="43"/>
  <c r="AH44" i="43"/>
  <c r="AI43" i="43"/>
  <c r="AH43" i="43"/>
  <c r="AG42" i="43"/>
  <c r="AF42" i="43"/>
  <c r="AE42" i="43"/>
  <c r="AD42" i="43"/>
  <c r="AC42" i="43"/>
  <c r="AB42" i="43"/>
  <c r="AA42" i="43"/>
  <c r="Z42" i="43"/>
  <c r="Y42" i="43"/>
  <c r="X42" i="43"/>
  <c r="W42" i="43"/>
  <c r="V42" i="43"/>
  <c r="U42" i="43"/>
  <c r="T42" i="43"/>
  <c r="S42" i="43"/>
  <c r="R42" i="43"/>
  <c r="Q42" i="43"/>
  <c r="P42" i="43"/>
  <c r="O42" i="43"/>
  <c r="N42" i="43"/>
  <c r="M42" i="43"/>
  <c r="L42" i="43"/>
  <c r="K42" i="43"/>
  <c r="J42" i="43"/>
  <c r="I42" i="43"/>
  <c r="H42" i="43"/>
  <c r="G42" i="43"/>
  <c r="F42" i="43"/>
  <c r="E42" i="43"/>
  <c r="D42" i="43"/>
  <c r="C42" i="43"/>
  <c r="B42" i="43"/>
  <c r="AI41" i="43"/>
  <c r="AH41" i="43"/>
  <c r="AI40" i="43"/>
  <c r="AH40" i="43"/>
  <c r="AI39" i="43"/>
  <c r="AH39" i="43"/>
  <c r="AG38" i="43"/>
  <c r="AF38" i="43"/>
  <c r="AE38" i="43"/>
  <c r="AD38" i="43"/>
  <c r="AC38" i="43"/>
  <c r="AB38" i="43"/>
  <c r="AA38" i="43"/>
  <c r="Z38" i="43"/>
  <c r="Y38" i="43"/>
  <c r="X38" i="43"/>
  <c r="W38" i="43"/>
  <c r="V38" i="43"/>
  <c r="U38" i="43"/>
  <c r="T38" i="43"/>
  <c r="S38" i="43"/>
  <c r="R38" i="43"/>
  <c r="Q38" i="43"/>
  <c r="P38" i="43"/>
  <c r="O38" i="43"/>
  <c r="N38" i="43"/>
  <c r="M38" i="43"/>
  <c r="L38" i="43"/>
  <c r="K38" i="43"/>
  <c r="J38" i="43"/>
  <c r="I38" i="43"/>
  <c r="H38" i="43"/>
  <c r="G38" i="43"/>
  <c r="F38" i="43"/>
  <c r="E38" i="43"/>
  <c r="D38" i="43"/>
  <c r="C38" i="43"/>
  <c r="B38" i="43"/>
  <c r="AI37" i="43"/>
  <c r="AH37" i="43"/>
  <c r="AI36" i="43"/>
  <c r="AH36" i="43"/>
  <c r="AI35" i="43"/>
  <c r="AH35" i="43"/>
  <c r="AI34" i="43"/>
  <c r="AH34" i="43"/>
  <c r="AI33" i="43"/>
  <c r="AH33" i="43"/>
  <c r="AI32" i="43"/>
  <c r="AH32" i="43"/>
  <c r="AI31" i="43"/>
  <c r="AH31" i="43"/>
  <c r="AI30" i="43"/>
  <c r="AH30" i="43"/>
  <c r="AI29" i="43"/>
  <c r="AH29" i="43"/>
  <c r="AI28" i="43"/>
  <c r="AH28" i="43"/>
  <c r="AI27" i="43"/>
  <c r="AH27" i="43"/>
  <c r="AI26" i="43"/>
  <c r="AH26" i="43"/>
  <c r="AI25" i="43"/>
  <c r="AH25" i="43"/>
  <c r="AI24" i="43"/>
  <c r="AH24" i="43"/>
  <c r="AI23" i="43"/>
  <c r="AH23" i="43"/>
  <c r="AI22" i="43"/>
  <c r="AH22" i="43"/>
  <c r="AI21" i="43"/>
  <c r="AH21" i="43"/>
  <c r="AI20" i="43"/>
  <c r="AH20" i="43"/>
  <c r="AI19" i="43"/>
  <c r="AH19" i="43"/>
  <c r="AI18" i="43"/>
  <c r="AH18" i="43"/>
  <c r="AI17" i="43"/>
  <c r="AH17" i="43"/>
  <c r="AI16" i="43"/>
  <c r="AH16" i="43"/>
  <c r="AI15" i="43"/>
  <c r="AH15" i="43"/>
  <c r="AI14" i="43"/>
  <c r="AH14" i="43"/>
  <c r="AI13" i="43"/>
  <c r="AH13" i="43"/>
  <c r="AI12" i="43"/>
  <c r="AH12" i="43"/>
  <c r="AI11" i="43"/>
  <c r="AH11" i="43"/>
  <c r="X5" i="43"/>
  <c r="B5" i="43"/>
  <c r="AG4" i="43"/>
  <c r="K4" i="43"/>
  <c r="B4" i="43"/>
  <c r="S231" i="43" s="1"/>
  <c r="AG2" i="43"/>
  <c r="AF100" i="42"/>
  <c r="AF37" i="42"/>
  <c r="AE100" i="42"/>
  <c r="AE37" i="42"/>
  <c r="AD100" i="42"/>
  <c r="AD37" i="42"/>
  <c r="AC100" i="42"/>
  <c r="AC37" i="42"/>
  <c r="AB100" i="42"/>
  <c r="AB37" i="42"/>
  <c r="E4" i="43"/>
  <c r="AF87" i="43" l="1"/>
  <c r="AD87" i="43"/>
  <c r="AE87" i="43"/>
  <c r="AE88" i="43" s="1"/>
  <c r="AD77" i="43"/>
  <c r="AD79" i="43" s="1"/>
  <c r="AD80" i="43" s="1"/>
  <c r="AC87" i="43"/>
  <c r="AC77" i="43"/>
  <c r="AC79" i="43" s="1"/>
  <c r="AC80" i="43" s="1"/>
  <c r="AB77" i="43"/>
  <c r="AB79" i="43" s="1"/>
  <c r="AB7" i="43" s="1"/>
  <c r="W88" i="43"/>
  <c r="V77" i="43"/>
  <c r="V79" i="43" s="1"/>
  <c r="V87" i="43"/>
  <c r="U87" i="43"/>
  <c r="T77" i="43"/>
  <c r="T79" i="43" s="1"/>
  <c r="T7" i="43" s="1"/>
  <c r="U77" i="43"/>
  <c r="U79" i="43" s="1"/>
  <c r="U80" i="43" s="1"/>
  <c r="O88" i="43"/>
  <c r="N87" i="43"/>
  <c r="N77" i="43"/>
  <c r="N79" i="43" s="1"/>
  <c r="N7" i="43" s="1"/>
  <c r="M87" i="43"/>
  <c r="M77" i="43"/>
  <c r="M79" i="43" s="1"/>
  <c r="M7" i="43" s="1"/>
  <c r="L77" i="43"/>
  <c r="L79" i="43" s="1"/>
  <c r="L80" i="43" s="1"/>
  <c r="H87" i="43"/>
  <c r="AI84" i="43"/>
  <c r="G87" i="43"/>
  <c r="G88" i="43" s="1"/>
  <c r="F87" i="43"/>
  <c r="F77" i="43"/>
  <c r="F79" i="43" s="1"/>
  <c r="X234" i="43" s="1"/>
  <c r="E77" i="43"/>
  <c r="E79" i="43" s="1"/>
  <c r="E7" i="43" s="1"/>
  <c r="D77" i="43"/>
  <c r="D79" i="43" s="1"/>
  <c r="D7" i="43" s="1"/>
  <c r="Q88" i="43"/>
  <c r="AI85" i="43"/>
  <c r="G77" i="43"/>
  <c r="G79" i="43" s="1"/>
  <c r="Y234" i="43" s="1"/>
  <c r="O77" i="43"/>
  <c r="O79" i="43" s="1"/>
  <c r="O80" i="43" s="1"/>
  <c r="W77" i="43"/>
  <c r="W79" i="43" s="1"/>
  <c r="W7" i="43" s="1"/>
  <c r="AE77" i="43"/>
  <c r="AE79" i="43" s="1"/>
  <c r="AW234" i="43" s="1"/>
  <c r="AH60" i="43"/>
  <c r="T88" i="43"/>
  <c r="I87" i="43"/>
  <c r="I88" i="43" s="1"/>
  <c r="Q87" i="43"/>
  <c r="Y87" i="43"/>
  <c r="Y88" i="43" s="1"/>
  <c r="K87" i="43"/>
  <c r="K88" i="43" s="1"/>
  <c r="S87" i="43"/>
  <c r="AA87" i="43"/>
  <c r="AA88" i="43" s="1"/>
  <c r="H77" i="43"/>
  <c r="H79" i="43" s="1"/>
  <c r="H7" i="43" s="1"/>
  <c r="P77" i="43"/>
  <c r="P79" i="43" s="1"/>
  <c r="P7" i="43" s="1"/>
  <c r="X77" i="43"/>
  <c r="X79" i="43" s="1"/>
  <c r="X7" i="43" s="1"/>
  <c r="AF77" i="43"/>
  <c r="AF79" i="43" s="1"/>
  <c r="AI81" i="43"/>
  <c r="J87" i="43"/>
  <c r="J88" i="43" s="1"/>
  <c r="R87" i="43"/>
  <c r="R88" i="43" s="1"/>
  <c r="Z87" i="43"/>
  <c r="Z88" i="43" s="1"/>
  <c r="Q5" i="43"/>
  <c r="I77" i="43"/>
  <c r="I79" i="43" s="1"/>
  <c r="I80" i="43" s="1"/>
  <c r="Q77" i="43"/>
  <c r="Q79" i="43" s="1"/>
  <c r="Q80" i="43" s="1"/>
  <c r="Y77" i="43"/>
  <c r="Y79" i="43" s="1"/>
  <c r="Y80" i="43" s="1"/>
  <c r="AG77" i="43"/>
  <c r="J77" i="43"/>
  <c r="J79" i="43" s="1"/>
  <c r="R77" i="43"/>
  <c r="R79" i="43" s="1"/>
  <c r="R7" i="43" s="1"/>
  <c r="Z77" i="43"/>
  <c r="Z79" i="43" s="1"/>
  <c r="Z7" i="43" s="1"/>
  <c r="D87" i="43"/>
  <c r="D80" i="43" s="1"/>
  <c r="L87" i="43"/>
  <c r="L88" i="43" s="1"/>
  <c r="T87" i="43"/>
  <c r="AB87" i="43"/>
  <c r="AB88" i="43" s="1"/>
  <c r="B220" i="43"/>
  <c r="F219" i="43"/>
  <c r="G219" i="43" s="1"/>
  <c r="S88" i="43"/>
  <c r="I5" i="43"/>
  <c r="K77" i="43"/>
  <c r="K79" i="43" s="1"/>
  <c r="K7" i="43" s="1"/>
  <c r="S77" i="43"/>
  <c r="S79" i="43" s="1"/>
  <c r="AK234" i="43" s="1"/>
  <c r="AA77" i="43"/>
  <c r="AA79" i="43" s="1"/>
  <c r="AI56" i="43"/>
  <c r="E88" i="43"/>
  <c r="M88" i="43"/>
  <c r="U88" i="43"/>
  <c r="AC88" i="43"/>
  <c r="AH85" i="43"/>
  <c r="D220" i="43"/>
  <c r="AH82" i="43"/>
  <c r="AI82" i="43"/>
  <c r="C87" i="43"/>
  <c r="AI83" i="43"/>
  <c r="AH42" i="43"/>
  <c r="AH56" i="43"/>
  <c r="AI72" i="43"/>
  <c r="B77" i="43"/>
  <c r="AI60" i="43"/>
  <c r="AI42" i="43"/>
  <c r="AI38" i="43"/>
  <c r="H4" i="43"/>
  <c r="F80" i="43"/>
  <c r="F7" i="43"/>
  <c r="AF234" i="43"/>
  <c r="N80" i="43"/>
  <c r="AG3" i="43"/>
  <c r="AG6" i="43" s="1"/>
  <c r="AG79" i="43"/>
  <c r="H219" i="43"/>
  <c r="F255" i="43"/>
  <c r="B79" i="43"/>
  <c r="AV234" i="43"/>
  <c r="S7" i="43"/>
  <c r="AN234" i="43"/>
  <c r="V80" i="43"/>
  <c r="V7" i="43"/>
  <c r="V234" i="43"/>
  <c r="L7" i="43"/>
  <c r="AD234" i="43"/>
  <c r="T80" i="43"/>
  <c r="AL234" i="43"/>
  <c r="AH83" i="43"/>
  <c r="C88" i="43"/>
  <c r="D231" i="43"/>
  <c r="E255" i="43"/>
  <c r="AH38" i="43"/>
  <c r="AH84" i="43"/>
  <c r="C77" i="43"/>
  <c r="C79" i="43" s="1"/>
  <c r="F88" i="43"/>
  <c r="N88" i="43"/>
  <c r="V88" i="43"/>
  <c r="AD88" i="43"/>
  <c r="E214" i="43"/>
  <c r="H88" i="43"/>
  <c r="P88" i="43"/>
  <c r="X88" i="43"/>
  <c r="AF88" i="43"/>
  <c r="AH72" i="43"/>
  <c r="AH81" i="43"/>
  <c r="B87" i="43"/>
  <c r="AF80" i="43" l="1"/>
  <c r="AF7" i="43"/>
  <c r="AB80" i="43"/>
  <c r="AT234" i="43"/>
  <c r="AD7" i="43"/>
  <c r="AC7" i="43"/>
  <c r="AU234" i="43"/>
  <c r="AE80" i="43"/>
  <c r="AE7" i="43"/>
  <c r="AX234" i="43"/>
  <c r="U7" i="43"/>
  <c r="Y7" i="43"/>
  <c r="AP234" i="43"/>
  <c r="X80" i="43"/>
  <c r="W80" i="43"/>
  <c r="AO234" i="43"/>
  <c r="AM234" i="43"/>
  <c r="Z80" i="43"/>
  <c r="AA80" i="43"/>
  <c r="AS234" i="43"/>
  <c r="AQ234" i="43"/>
  <c r="AR234" i="43"/>
  <c r="S80" i="43"/>
  <c r="Z234" i="43"/>
  <c r="AI234" i="43"/>
  <c r="Q7" i="43"/>
  <c r="AJ234" i="43"/>
  <c r="R80" i="43"/>
  <c r="P80" i="43"/>
  <c r="AG234" i="43"/>
  <c r="O7" i="43"/>
  <c r="M80" i="43"/>
  <c r="AE234" i="43"/>
  <c r="K80" i="43"/>
  <c r="AC234" i="43"/>
  <c r="J80" i="43"/>
  <c r="J7" i="43"/>
  <c r="AB234" i="43"/>
  <c r="AA234" i="43"/>
  <c r="I7" i="43"/>
  <c r="H80" i="43"/>
  <c r="E80" i="43"/>
  <c r="W234" i="43"/>
  <c r="G80" i="43"/>
  <c r="G7" i="43"/>
  <c r="B229" i="43"/>
  <c r="C229" i="43"/>
  <c r="D88" i="43"/>
  <c r="AH234" i="43"/>
  <c r="AH77" i="43"/>
  <c r="E98" i="43"/>
  <c r="F214" i="43"/>
  <c r="E220" i="43"/>
  <c r="AI87" i="43"/>
  <c r="AH87" i="43"/>
  <c r="AI77" i="43"/>
  <c r="B80" i="43"/>
  <c r="B7" i="43"/>
  <c r="AI79" i="43"/>
  <c r="AH79" i="43"/>
  <c r="T234" i="43"/>
  <c r="C7" i="43"/>
  <c r="U234" i="43"/>
  <c r="C80" i="43"/>
  <c r="B88" i="43"/>
  <c r="G255" i="43"/>
  <c r="I219" i="43"/>
  <c r="K6" i="43" l="1"/>
  <c r="AH80" i="43"/>
  <c r="A7" i="43"/>
  <c r="AI88" i="43"/>
  <c r="AH88" i="43"/>
  <c r="F98" i="43"/>
  <c r="G214" i="43"/>
  <c r="F220" i="43"/>
  <c r="H255" i="43"/>
  <c r="J219" i="43"/>
  <c r="K219" i="43" l="1"/>
  <c r="I255" i="43"/>
  <c r="G98" i="43"/>
  <c r="H214" i="43"/>
  <c r="G220" i="43"/>
  <c r="I214" i="43" l="1"/>
  <c r="H220" i="43"/>
  <c r="H98" i="43"/>
  <c r="J255" i="43"/>
  <c r="L219" i="43"/>
  <c r="K255" i="43" l="1"/>
  <c r="M219" i="43"/>
  <c r="I98" i="43"/>
  <c r="I220" i="43"/>
  <c r="J214" i="43"/>
  <c r="J220" i="43" l="1"/>
  <c r="J98" i="43"/>
  <c r="K214" i="43"/>
  <c r="L255" i="43"/>
  <c r="N219" i="43"/>
  <c r="O219" i="43" l="1"/>
  <c r="M255" i="43"/>
  <c r="K220" i="43"/>
  <c r="K98" i="43"/>
  <c r="L214" i="43"/>
  <c r="L220" i="43" l="1"/>
  <c r="M214" i="43"/>
  <c r="L98" i="43"/>
  <c r="P219" i="43"/>
  <c r="O255" i="43" s="1"/>
  <c r="N255" i="43"/>
  <c r="N214" i="43" l="1"/>
  <c r="M98" i="43"/>
  <c r="M220" i="43"/>
  <c r="N98" i="43" l="1"/>
  <c r="O214" i="43"/>
  <c r="N220" i="43"/>
  <c r="O98" i="43" l="1"/>
  <c r="P214" i="43"/>
  <c r="O220" i="43"/>
  <c r="P220" i="43" l="1"/>
  <c r="P98" i="43"/>
  <c r="AH98" i="43" l="1"/>
  <c r="AI98" i="43"/>
  <c r="AA100" i="42" l="1"/>
  <c r="AA37" i="42"/>
  <c r="Z100" i="42"/>
  <c r="Z37" i="42"/>
  <c r="Y37" i="42"/>
  <c r="X100" i="42" l="1"/>
  <c r="X37" i="42"/>
  <c r="W100" i="42"/>
  <c r="W37" i="42"/>
  <c r="V100" i="42"/>
  <c r="V37" i="42"/>
  <c r="U37" i="42"/>
  <c r="T100" i="42" l="1"/>
  <c r="T37" i="42"/>
  <c r="S100" i="42"/>
  <c r="S37" i="42"/>
  <c r="AF80" i="36" l="1"/>
  <c r="AE80" i="36"/>
  <c r="AD80" i="36"/>
  <c r="AC80" i="36"/>
  <c r="AB80" i="36"/>
  <c r="AA80" i="36"/>
  <c r="Z80" i="36"/>
  <c r="Y80" i="36"/>
  <c r="X80" i="36"/>
  <c r="W80" i="36"/>
  <c r="V80" i="36"/>
  <c r="U80" i="36"/>
  <c r="T80" i="36"/>
  <c r="S80" i="36"/>
  <c r="R80" i="36"/>
  <c r="Q80" i="36"/>
  <c r="P80" i="36"/>
  <c r="O80" i="36"/>
  <c r="N80" i="36"/>
  <c r="M80" i="36"/>
  <c r="L80" i="36"/>
  <c r="K80" i="36"/>
  <c r="J80" i="36"/>
  <c r="I80" i="36"/>
  <c r="H80" i="36"/>
  <c r="G80" i="36"/>
  <c r="F80" i="36"/>
  <c r="E80" i="36"/>
  <c r="D80" i="36"/>
  <c r="C80" i="36"/>
  <c r="B80" i="36"/>
  <c r="AH80" i="36" s="1"/>
  <c r="Q80" i="42"/>
  <c r="P80" i="42"/>
  <c r="O80" i="42"/>
  <c r="N80" i="42"/>
  <c r="M80" i="42"/>
  <c r="L80" i="42"/>
  <c r="K80" i="42"/>
  <c r="J80" i="42"/>
  <c r="I80" i="42"/>
  <c r="H80" i="42"/>
  <c r="G80" i="42"/>
  <c r="F80" i="42"/>
  <c r="E80" i="42"/>
  <c r="D80" i="42"/>
  <c r="C80" i="42"/>
  <c r="B80" i="42"/>
  <c r="AF80" i="41"/>
  <c r="AE80" i="41"/>
  <c r="AD80" i="41"/>
  <c r="AC80" i="41"/>
  <c r="AB80" i="41"/>
  <c r="AA80" i="41"/>
  <c r="Z80" i="41"/>
  <c r="Y80" i="41"/>
  <c r="X80" i="41"/>
  <c r="W80" i="41"/>
  <c r="V80" i="41"/>
  <c r="U80" i="41"/>
  <c r="T80" i="41"/>
  <c r="S80" i="41"/>
  <c r="R80" i="41"/>
  <c r="Q80" i="41"/>
  <c r="P80" i="41"/>
  <c r="O80" i="41"/>
  <c r="N80" i="41"/>
  <c r="M80" i="41"/>
  <c r="L80" i="41"/>
  <c r="K80" i="41"/>
  <c r="J80" i="41"/>
  <c r="I80" i="41"/>
  <c r="H80" i="41"/>
  <c r="G80" i="41"/>
  <c r="F80" i="41"/>
  <c r="E80" i="41"/>
  <c r="D80" i="41"/>
  <c r="C80" i="41"/>
  <c r="B80" i="41"/>
  <c r="AH80" i="41" s="1"/>
  <c r="AI31" i="42"/>
  <c r="AH31" i="42"/>
  <c r="AI31" i="36"/>
  <c r="AH31" i="36"/>
  <c r="AI31" i="41"/>
  <c r="AH31" i="41"/>
  <c r="Q37" i="42"/>
  <c r="P37" i="42"/>
  <c r="O37" i="42"/>
  <c r="N37" i="42"/>
  <c r="M37" i="42"/>
  <c r="L99" i="42"/>
  <c r="L37" i="42"/>
  <c r="K99" i="42"/>
  <c r="K37" i="42"/>
  <c r="J99" i="42"/>
  <c r="I37" i="42"/>
  <c r="J37" i="42"/>
  <c r="I99" i="42"/>
  <c r="H99" i="42"/>
  <c r="H37" i="42"/>
  <c r="G99" i="42"/>
  <c r="G37" i="42"/>
  <c r="F37" i="42"/>
  <c r="F99" i="42"/>
  <c r="E99" i="42"/>
  <c r="E37" i="42"/>
  <c r="D100" i="42"/>
  <c r="D99" i="42"/>
  <c r="D37" i="42"/>
  <c r="C100" i="42"/>
  <c r="C98" i="42" s="1"/>
  <c r="C37" i="42"/>
  <c r="B100" i="42"/>
  <c r="B99" i="42"/>
  <c r="B37" i="42"/>
  <c r="B85" i="42"/>
  <c r="B84" i="42"/>
  <c r="B83" i="42"/>
  <c r="B82" i="42"/>
  <c r="B81" i="42"/>
  <c r="B72" i="42"/>
  <c r="B60" i="42"/>
  <c r="B56" i="42"/>
  <c r="B42" i="42"/>
  <c r="B38" i="42"/>
  <c r="AF259" i="42"/>
  <c r="AE259" i="42"/>
  <c r="AD259" i="42"/>
  <c r="AC259" i="42"/>
  <c r="AB259" i="42"/>
  <c r="AA259" i="42"/>
  <c r="Z259" i="42"/>
  <c r="Y259" i="42"/>
  <c r="X259" i="42"/>
  <c r="W259" i="42"/>
  <c r="V259" i="42"/>
  <c r="U259" i="42"/>
  <c r="T259" i="42"/>
  <c r="S259" i="42"/>
  <c r="R259" i="42"/>
  <c r="Q259" i="42"/>
  <c r="P259" i="42"/>
  <c r="O259" i="42"/>
  <c r="N259" i="42"/>
  <c r="M259" i="42"/>
  <c r="L259" i="42"/>
  <c r="K259" i="42"/>
  <c r="J259" i="42"/>
  <c r="I259" i="42"/>
  <c r="H259" i="42"/>
  <c r="G259" i="42"/>
  <c r="F259" i="42"/>
  <c r="E259" i="42"/>
  <c r="D259" i="42"/>
  <c r="C259" i="42"/>
  <c r="B259" i="42"/>
  <c r="A259" i="42"/>
  <c r="AF258" i="42"/>
  <c r="AE258" i="42"/>
  <c r="AD258" i="42"/>
  <c r="AC258" i="42"/>
  <c r="AB258" i="42"/>
  <c r="AA258" i="42"/>
  <c r="Z258" i="42"/>
  <c r="Y258" i="42"/>
  <c r="X258" i="42"/>
  <c r="W258" i="42"/>
  <c r="V258" i="42"/>
  <c r="U258" i="42"/>
  <c r="T258" i="42"/>
  <c r="S258" i="42"/>
  <c r="R258" i="42"/>
  <c r="Q258" i="42"/>
  <c r="P258" i="42"/>
  <c r="O258" i="42"/>
  <c r="N258" i="42"/>
  <c r="M258" i="42"/>
  <c r="L258" i="42"/>
  <c r="K258" i="42"/>
  <c r="J258" i="42"/>
  <c r="I258" i="42"/>
  <c r="H258" i="42"/>
  <c r="G258" i="42"/>
  <c r="F258" i="42"/>
  <c r="E258" i="42"/>
  <c r="D258" i="42"/>
  <c r="C258" i="42"/>
  <c r="B258" i="42"/>
  <c r="A258" i="42"/>
  <c r="AF257" i="42"/>
  <c r="AE257" i="42"/>
  <c r="AD257" i="42"/>
  <c r="AC257" i="42"/>
  <c r="AB257" i="42"/>
  <c r="AA257" i="42"/>
  <c r="Z257" i="42"/>
  <c r="Y257" i="42"/>
  <c r="X257" i="42"/>
  <c r="W257" i="42"/>
  <c r="V257" i="42"/>
  <c r="U257" i="42"/>
  <c r="T257" i="42"/>
  <c r="S257" i="42"/>
  <c r="R257" i="42"/>
  <c r="Q257" i="42"/>
  <c r="P257" i="42"/>
  <c r="O257" i="42"/>
  <c r="N257" i="42"/>
  <c r="M257" i="42"/>
  <c r="L257" i="42"/>
  <c r="K257" i="42"/>
  <c r="J257" i="42"/>
  <c r="I257" i="42"/>
  <c r="H257" i="42"/>
  <c r="G257" i="42"/>
  <c r="F257" i="42"/>
  <c r="E257" i="42"/>
  <c r="D257" i="42"/>
  <c r="C257" i="42"/>
  <c r="B257" i="42"/>
  <c r="A257" i="42"/>
  <c r="AF256" i="42"/>
  <c r="AE256" i="42"/>
  <c r="AD256" i="42"/>
  <c r="AC256" i="42"/>
  <c r="AB256" i="42"/>
  <c r="AA256" i="42"/>
  <c r="Z256" i="42"/>
  <c r="Y256" i="42"/>
  <c r="X256" i="42"/>
  <c r="W256" i="42"/>
  <c r="V256" i="42"/>
  <c r="U256" i="42"/>
  <c r="T256" i="42"/>
  <c r="S256" i="42"/>
  <c r="R256" i="42"/>
  <c r="Q256" i="42"/>
  <c r="P256" i="42"/>
  <c r="O256" i="42"/>
  <c r="N256" i="42"/>
  <c r="M256" i="42"/>
  <c r="L256" i="42"/>
  <c r="K256" i="42"/>
  <c r="J256" i="42"/>
  <c r="I256" i="42"/>
  <c r="H256" i="42"/>
  <c r="G256" i="42"/>
  <c r="F256" i="42"/>
  <c r="E256" i="42"/>
  <c r="D256" i="42"/>
  <c r="C256" i="42"/>
  <c r="B256" i="42"/>
  <c r="A256" i="42"/>
  <c r="AE255" i="42"/>
  <c r="AD255" i="42"/>
  <c r="AC255" i="42"/>
  <c r="AB255" i="42"/>
  <c r="AA255" i="42"/>
  <c r="Z255" i="42"/>
  <c r="Y255" i="42"/>
  <c r="X255" i="42"/>
  <c r="W255" i="42"/>
  <c r="V255" i="42"/>
  <c r="U255" i="42"/>
  <c r="T255" i="42"/>
  <c r="S255" i="42"/>
  <c r="R255" i="42"/>
  <c r="Q255" i="42"/>
  <c r="P255" i="42"/>
  <c r="B255" i="42"/>
  <c r="S230" i="42"/>
  <c r="AG220" i="42"/>
  <c r="AF220" i="42"/>
  <c r="AE220" i="42"/>
  <c r="AD220" i="42"/>
  <c r="AC220" i="42"/>
  <c r="AB220" i="42"/>
  <c r="AA220" i="42"/>
  <c r="Z220" i="42"/>
  <c r="Y220" i="42"/>
  <c r="X220" i="42"/>
  <c r="W220" i="42"/>
  <c r="V220" i="42"/>
  <c r="U220" i="42"/>
  <c r="T220" i="42"/>
  <c r="S220" i="42"/>
  <c r="R220" i="42"/>
  <c r="Q220" i="42"/>
  <c r="C220" i="42"/>
  <c r="D219" i="42"/>
  <c r="E219" i="42" s="1"/>
  <c r="B219" i="42"/>
  <c r="AF255" i="42" s="1"/>
  <c r="D218" i="42"/>
  <c r="E218" i="42" s="1"/>
  <c r="F218" i="42" s="1"/>
  <c r="G218" i="42" s="1"/>
  <c r="H218" i="42" s="1"/>
  <c r="I218" i="42" s="1"/>
  <c r="J218" i="42" s="1"/>
  <c r="K218" i="42" s="1"/>
  <c r="L218" i="42" s="1"/>
  <c r="M218" i="42" s="1"/>
  <c r="N218" i="42" s="1"/>
  <c r="O218" i="42" s="1"/>
  <c r="P218" i="42" s="1"/>
  <c r="B218" i="42"/>
  <c r="D217" i="42"/>
  <c r="E217" i="42" s="1"/>
  <c r="F217" i="42" s="1"/>
  <c r="G217" i="42" s="1"/>
  <c r="H217" i="42" s="1"/>
  <c r="I217" i="42" s="1"/>
  <c r="J217" i="42" s="1"/>
  <c r="K217" i="42" s="1"/>
  <c r="L217" i="42" s="1"/>
  <c r="M217" i="42" s="1"/>
  <c r="N217" i="42" s="1"/>
  <c r="O217" i="42" s="1"/>
  <c r="P217" i="42" s="1"/>
  <c r="B217" i="42"/>
  <c r="E216" i="42"/>
  <c r="F216" i="42" s="1"/>
  <c r="G216" i="42" s="1"/>
  <c r="H216" i="42" s="1"/>
  <c r="I216" i="42" s="1"/>
  <c r="J216" i="42" s="1"/>
  <c r="K216" i="42" s="1"/>
  <c r="L216" i="42" s="1"/>
  <c r="M216" i="42" s="1"/>
  <c r="N216" i="42" s="1"/>
  <c r="O216" i="42" s="1"/>
  <c r="P216" i="42" s="1"/>
  <c r="D216" i="42"/>
  <c r="B216" i="42"/>
  <c r="D215" i="42"/>
  <c r="E215" i="42" s="1"/>
  <c r="F215" i="42" s="1"/>
  <c r="G215" i="42" s="1"/>
  <c r="H215" i="42" s="1"/>
  <c r="I215" i="42" s="1"/>
  <c r="J215" i="42" s="1"/>
  <c r="K215" i="42" s="1"/>
  <c r="L215" i="42" s="1"/>
  <c r="M215" i="42" s="1"/>
  <c r="N215" i="42" s="1"/>
  <c r="O215" i="42" s="1"/>
  <c r="P215" i="42" s="1"/>
  <c r="B215" i="42"/>
  <c r="D214" i="42"/>
  <c r="D220" i="42" s="1"/>
  <c r="B214" i="42"/>
  <c r="B98" i="42" s="1"/>
  <c r="AG212" i="42"/>
  <c r="AF212" i="42"/>
  <c r="AE212" i="42"/>
  <c r="AD212" i="42"/>
  <c r="AC212" i="42"/>
  <c r="AB212" i="42"/>
  <c r="AA212" i="42"/>
  <c r="Z212" i="42"/>
  <c r="Y212" i="42"/>
  <c r="X212" i="42"/>
  <c r="W212" i="42"/>
  <c r="V212" i="42"/>
  <c r="U212" i="42"/>
  <c r="T212" i="42"/>
  <c r="S212" i="42"/>
  <c r="R212" i="42"/>
  <c r="Q212" i="42"/>
  <c r="P212" i="42"/>
  <c r="O212" i="42"/>
  <c r="N212" i="42"/>
  <c r="M212" i="42"/>
  <c r="L212" i="42"/>
  <c r="K212" i="42"/>
  <c r="J212" i="42"/>
  <c r="I212" i="42"/>
  <c r="H212" i="42"/>
  <c r="G212" i="42"/>
  <c r="F212" i="42"/>
  <c r="E212" i="42"/>
  <c r="D212" i="42"/>
  <c r="C212" i="42"/>
  <c r="B212" i="42"/>
  <c r="AH105" i="42"/>
  <c r="AI105" i="42" s="1"/>
  <c r="AH104" i="42"/>
  <c r="AI104" i="42" s="1"/>
  <c r="AH103" i="42"/>
  <c r="AI103" i="42" s="1"/>
  <c r="AH102" i="42"/>
  <c r="AI102" i="42" s="1"/>
  <c r="AH101" i="42"/>
  <c r="AI101" i="42" s="1"/>
  <c r="AH99" i="42"/>
  <c r="AI99" i="42" s="1"/>
  <c r="AF98" i="42"/>
  <c r="AE98" i="42"/>
  <c r="AD98" i="42"/>
  <c r="AC98" i="42"/>
  <c r="AB98" i="42"/>
  <c r="AA98" i="42"/>
  <c r="Z98" i="42"/>
  <c r="Y98" i="42"/>
  <c r="X98" i="42"/>
  <c r="W98" i="42"/>
  <c r="V98" i="42"/>
  <c r="U98" i="42"/>
  <c r="T98" i="42"/>
  <c r="S98" i="42"/>
  <c r="R98" i="42"/>
  <c r="Q98" i="42"/>
  <c r="AI97" i="42"/>
  <c r="AH97" i="42"/>
  <c r="AI96" i="42"/>
  <c r="AH96" i="42"/>
  <c r="AI95" i="42"/>
  <c r="AH95" i="42"/>
  <c r="AI94" i="42"/>
  <c r="AH94" i="42"/>
  <c r="AI93" i="42"/>
  <c r="AH93" i="42"/>
  <c r="AI92" i="42"/>
  <c r="AH92" i="42"/>
  <c r="AI91" i="42"/>
  <c r="AH91" i="42"/>
  <c r="AI90" i="42"/>
  <c r="AH90" i="42"/>
  <c r="AI89" i="42"/>
  <c r="AH89" i="42"/>
  <c r="AI86" i="42"/>
  <c r="AH86" i="42"/>
  <c r="AF85" i="42"/>
  <c r="AE85" i="42"/>
  <c r="AD85" i="42"/>
  <c r="AC85" i="42"/>
  <c r="AB85" i="42"/>
  <c r="AA85" i="42"/>
  <c r="Z85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AF84" i="42"/>
  <c r="AE84" i="42"/>
  <c r="AD84" i="42"/>
  <c r="AC84" i="42"/>
  <c r="AB84" i="42"/>
  <c r="AA84" i="42"/>
  <c r="Z84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AF83" i="42"/>
  <c r="AE83" i="42"/>
  <c r="AD83" i="42"/>
  <c r="AC83" i="42"/>
  <c r="AB83" i="42"/>
  <c r="AA83" i="42"/>
  <c r="Z83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AF82" i="42"/>
  <c r="AE82" i="42"/>
  <c r="AD82" i="42"/>
  <c r="AC82" i="42"/>
  <c r="AB82" i="42"/>
  <c r="AA82" i="42"/>
  <c r="Z82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AF81" i="42"/>
  <c r="AE81" i="42"/>
  <c r="AE87" i="42" s="1"/>
  <c r="AD81" i="42"/>
  <c r="AC81" i="42"/>
  <c r="AB81" i="42"/>
  <c r="AA81" i="42"/>
  <c r="Z81" i="42"/>
  <c r="Z87" i="42" s="1"/>
  <c r="Y81" i="42"/>
  <c r="X81" i="42"/>
  <c r="W81" i="42"/>
  <c r="W87" i="42" s="1"/>
  <c r="V81" i="42"/>
  <c r="U81" i="42"/>
  <c r="T81" i="42"/>
  <c r="S81" i="42"/>
  <c r="R81" i="42"/>
  <c r="R87" i="42" s="1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AI78" i="42"/>
  <c r="AH78" i="42"/>
  <c r="AI76" i="42"/>
  <c r="AH76" i="42"/>
  <c r="AG76" i="42"/>
  <c r="AI75" i="42"/>
  <c r="AH75" i="42"/>
  <c r="AI74" i="42"/>
  <c r="AH74" i="42"/>
  <c r="AI73" i="42"/>
  <c r="AH73" i="42"/>
  <c r="AG72" i="42"/>
  <c r="AF72" i="42"/>
  <c r="AE5" i="42" s="1"/>
  <c r="AE72" i="42"/>
  <c r="AD5" i="42" s="1"/>
  <c r="AD72" i="42"/>
  <c r="AC5" i="42" s="1"/>
  <c r="AC72" i="42"/>
  <c r="AB72" i="42"/>
  <c r="AA5" i="42" s="1"/>
  <c r="AA72" i="42"/>
  <c r="Z72" i="42"/>
  <c r="Y5" i="42" s="1"/>
  <c r="Y72" i="42"/>
  <c r="X5" i="42" s="1"/>
  <c r="X72" i="42"/>
  <c r="W5" i="42" s="1"/>
  <c r="W72" i="42"/>
  <c r="V5" i="42" s="1"/>
  <c r="V72" i="42"/>
  <c r="U5" i="42" s="1"/>
  <c r="U72" i="42"/>
  <c r="T72" i="42"/>
  <c r="S5" i="42" s="1"/>
  <c r="S72" i="42"/>
  <c r="R5" i="42" s="1"/>
  <c r="R72" i="42"/>
  <c r="Q5" i="42" s="1"/>
  <c r="Q72" i="42"/>
  <c r="P5" i="42" s="1"/>
  <c r="P72" i="42"/>
  <c r="O5" i="42" s="1"/>
  <c r="O72" i="42"/>
  <c r="N5" i="42" s="1"/>
  <c r="N72" i="42"/>
  <c r="M5" i="42" s="1"/>
  <c r="M72" i="42"/>
  <c r="L72" i="42"/>
  <c r="K5" i="42" s="1"/>
  <c r="K72" i="42"/>
  <c r="J5" i="42" s="1"/>
  <c r="J72" i="42"/>
  <c r="I5" i="42" s="1"/>
  <c r="I72" i="42"/>
  <c r="H5" i="42" s="1"/>
  <c r="H72" i="42"/>
  <c r="G5" i="42" s="1"/>
  <c r="G72" i="42"/>
  <c r="F5" i="42" s="1"/>
  <c r="F72" i="42"/>
  <c r="E5" i="42" s="1"/>
  <c r="E72" i="42"/>
  <c r="D72" i="42"/>
  <c r="C72" i="42"/>
  <c r="AI71" i="42"/>
  <c r="AH71" i="42"/>
  <c r="AI70" i="42"/>
  <c r="AH70" i="42"/>
  <c r="AI69" i="42"/>
  <c r="AH69" i="42"/>
  <c r="AI68" i="42"/>
  <c r="AH68" i="42"/>
  <c r="AI67" i="42"/>
  <c r="AH67" i="42"/>
  <c r="AI66" i="42"/>
  <c r="AH66" i="42"/>
  <c r="AI65" i="42"/>
  <c r="AH65" i="42"/>
  <c r="AI64" i="42"/>
  <c r="AH64" i="42"/>
  <c r="AI63" i="42"/>
  <c r="AH63" i="42"/>
  <c r="AI62" i="42"/>
  <c r="AH62" i="42"/>
  <c r="AI61" i="42"/>
  <c r="AH61" i="42"/>
  <c r="AG60" i="42"/>
  <c r="AF60" i="42"/>
  <c r="AE60" i="42"/>
  <c r="AD60" i="42"/>
  <c r="AC60" i="42"/>
  <c r="AB60" i="42"/>
  <c r="AA60" i="42"/>
  <c r="Z60" i="42"/>
  <c r="Y60" i="42"/>
  <c r="X60" i="42"/>
  <c r="W60" i="42"/>
  <c r="V60" i="42"/>
  <c r="U60" i="42"/>
  <c r="T60" i="42"/>
  <c r="R60" i="42"/>
  <c r="Q60" i="42"/>
  <c r="P60" i="42"/>
  <c r="O60" i="42"/>
  <c r="N60" i="42"/>
  <c r="M60" i="42"/>
  <c r="L60" i="42"/>
  <c r="K60" i="42"/>
  <c r="J60" i="42"/>
  <c r="I60" i="42"/>
  <c r="H60" i="42"/>
  <c r="G60" i="42"/>
  <c r="F60" i="42"/>
  <c r="E60" i="42"/>
  <c r="D60" i="42"/>
  <c r="C60" i="42"/>
  <c r="AI59" i="42"/>
  <c r="AH59" i="42"/>
  <c r="AI58" i="42"/>
  <c r="AH58" i="42"/>
  <c r="AI57" i="42"/>
  <c r="AH57" i="42"/>
  <c r="AF56" i="42"/>
  <c r="AE56" i="42"/>
  <c r="AD56" i="42"/>
  <c r="AC56" i="42"/>
  <c r="AB56" i="42"/>
  <c r="AA56" i="42"/>
  <c r="Z56" i="42"/>
  <c r="Y56" i="42"/>
  <c r="X56" i="42"/>
  <c r="W56" i="42"/>
  <c r="V56" i="42"/>
  <c r="U56" i="42"/>
  <c r="T56" i="42"/>
  <c r="S56" i="42"/>
  <c r="R56" i="42"/>
  <c r="Q56" i="42"/>
  <c r="P56" i="42"/>
  <c r="O56" i="42"/>
  <c r="N56" i="42"/>
  <c r="M56" i="42"/>
  <c r="L56" i="42"/>
  <c r="K56" i="42"/>
  <c r="J56" i="42"/>
  <c r="I56" i="42"/>
  <c r="H56" i="42"/>
  <c r="G56" i="42"/>
  <c r="F56" i="42"/>
  <c r="E56" i="42"/>
  <c r="D56" i="42"/>
  <c r="C56" i="42"/>
  <c r="AI55" i="42"/>
  <c r="AH55" i="42"/>
  <c r="AG55" i="42"/>
  <c r="AG56" i="42" s="1"/>
  <c r="AG3" i="42" s="1"/>
  <c r="AI54" i="42"/>
  <c r="AH54" i="42"/>
  <c r="AI53" i="42"/>
  <c r="AH53" i="42"/>
  <c r="AI52" i="42"/>
  <c r="AH52" i="42"/>
  <c r="AI51" i="42"/>
  <c r="AH51" i="42"/>
  <c r="AI50" i="42"/>
  <c r="AH50" i="42"/>
  <c r="AI49" i="42"/>
  <c r="AH49" i="42"/>
  <c r="AI48" i="42"/>
  <c r="AH48" i="42"/>
  <c r="AI47" i="42"/>
  <c r="AH47" i="42"/>
  <c r="AI46" i="42"/>
  <c r="AH46" i="42"/>
  <c r="AI45" i="42"/>
  <c r="AH45" i="42"/>
  <c r="AI44" i="42"/>
  <c r="AH44" i="42"/>
  <c r="AI43" i="42"/>
  <c r="AH43" i="42"/>
  <c r="AG42" i="42"/>
  <c r="AF42" i="42"/>
  <c r="AE42" i="42"/>
  <c r="AD42" i="42"/>
  <c r="AC42" i="42"/>
  <c r="AB42" i="42"/>
  <c r="AA42" i="42"/>
  <c r="Z42" i="42"/>
  <c r="Y42" i="42"/>
  <c r="X42" i="42"/>
  <c r="W42" i="42"/>
  <c r="V42" i="42"/>
  <c r="U42" i="42"/>
  <c r="T42" i="42"/>
  <c r="S42" i="42"/>
  <c r="R42" i="42"/>
  <c r="Q42" i="42"/>
  <c r="P42" i="42"/>
  <c r="O42" i="42"/>
  <c r="N42" i="42"/>
  <c r="M42" i="42"/>
  <c r="L42" i="42"/>
  <c r="K42" i="42"/>
  <c r="J42" i="42"/>
  <c r="I42" i="42"/>
  <c r="H42" i="42"/>
  <c r="G42" i="42"/>
  <c r="F42" i="42"/>
  <c r="E42" i="42"/>
  <c r="D42" i="42"/>
  <c r="C42" i="42"/>
  <c r="AI41" i="42"/>
  <c r="AH41" i="42"/>
  <c r="AI40" i="42"/>
  <c r="AH40" i="42"/>
  <c r="AI39" i="42"/>
  <c r="AH39" i="42"/>
  <c r="AG38" i="42"/>
  <c r="AG2" i="42" s="1"/>
  <c r="AF38" i="42"/>
  <c r="AE38" i="42"/>
  <c r="AD38" i="42"/>
  <c r="AC38" i="42"/>
  <c r="AB38" i="42"/>
  <c r="AA38" i="42"/>
  <c r="Z38" i="42"/>
  <c r="Y38" i="42"/>
  <c r="X38" i="42"/>
  <c r="W38" i="42"/>
  <c r="V38" i="42"/>
  <c r="U38" i="42"/>
  <c r="T38" i="42"/>
  <c r="S38" i="42"/>
  <c r="R38" i="42"/>
  <c r="Q38" i="42"/>
  <c r="P38" i="42"/>
  <c r="O38" i="42"/>
  <c r="N38" i="42"/>
  <c r="M38" i="42"/>
  <c r="L38" i="42"/>
  <c r="K38" i="42"/>
  <c r="J38" i="42"/>
  <c r="I38" i="42"/>
  <c r="H38" i="42"/>
  <c r="G38" i="42"/>
  <c r="F38" i="42"/>
  <c r="E38" i="42"/>
  <c r="D38" i="42"/>
  <c r="C38" i="42"/>
  <c r="AI37" i="42"/>
  <c r="AI36" i="42"/>
  <c r="AH36" i="42"/>
  <c r="AI35" i="42"/>
  <c r="AH35" i="42"/>
  <c r="AI34" i="42"/>
  <c r="AH34" i="42"/>
  <c r="AI33" i="42"/>
  <c r="AH33" i="42"/>
  <c r="AI32" i="42"/>
  <c r="AH32" i="42"/>
  <c r="AI30" i="42"/>
  <c r="AH30" i="42"/>
  <c r="AI29" i="42"/>
  <c r="AH29" i="42"/>
  <c r="AI28" i="42"/>
  <c r="AH28" i="42"/>
  <c r="AI27" i="42"/>
  <c r="AH27" i="42"/>
  <c r="AI26" i="42"/>
  <c r="AH26" i="42"/>
  <c r="AI25" i="42"/>
  <c r="AH25" i="42"/>
  <c r="AI24" i="42"/>
  <c r="AH24" i="42"/>
  <c r="AI23" i="42"/>
  <c r="AH23" i="42"/>
  <c r="AI22" i="42"/>
  <c r="AH22" i="42"/>
  <c r="AI21" i="42"/>
  <c r="AH21" i="42"/>
  <c r="AI20" i="42"/>
  <c r="AH20" i="42"/>
  <c r="AI19" i="42"/>
  <c r="AH19" i="42"/>
  <c r="AI18" i="42"/>
  <c r="AH18" i="42"/>
  <c r="AI17" i="42"/>
  <c r="AH17" i="42"/>
  <c r="AI16" i="42"/>
  <c r="AH16" i="42"/>
  <c r="AI15" i="42"/>
  <c r="AH15" i="42"/>
  <c r="AI14" i="42"/>
  <c r="AH14" i="42"/>
  <c r="AI13" i="42"/>
  <c r="AH13" i="42"/>
  <c r="AI12" i="42"/>
  <c r="AH12" i="42"/>
  <c r="AI11" i="42"/>
  <c r="AH11" i="42"/>
  <c r="AF5" i="42"/>
  <c r="Z5" i="42"/>
  <c r="AG4" i="42"/>
  <c r="K4" i="42"/>
  <c r="B4" i="42"/>
  <c r="S231" i="42" s="1"/>
  <c r="AF100" i="41"/>
  <c r="AF37" i="41"/>
  <c r="AE100" i="41"/>
  <c r="AE99" i="41"/>
  <c r="AE37" i="41"/>
  <c r="AD42" i="41"/>
  <c r="AD37" i="41"/>
  <c r="AC37" i="41"/>
  <c r="E4" i="42"/>
  <c r="AF77" i="42" l="1"/>
  <c r="AF79" i="42" s="1"/>
  <c r="AD77" i="42"/>
  <c r="AD79" i="42" s="1"/>
  <c r="AC87" i="42"/>
  <c r="AC88" i="42" s="1"/>
  <c r="AB87" i="42"/>
  <c r="AA77" i="42"/>
  <c r="AA79" i="42" s="1"/>
  <c r="Y87" i="42"/>
  <c r="Y77" i="42"/>
  <c r="Y79" i="42" s="1"/>
  <c r="Y80" i="42" s="1"/>
  <c r="X77" i="42"/>
  <c r="X79" i="42" s="1"/>
  <c r="V77" i="42"/>
  <c r="V79" i="42" s="1"/>
  <c r="U87" i="42"/>
  <c r="U88" i="42" s="1"/>
  <c r="T87" i="42"/>
  <c r="S77" i="42"/>
  <c r="S79" i="42" s="1"/>
  <c r="Q87" i="42"/>
  <c r="O87" i="42"/>
  <c r="Q77" i="42"/>
  <c r="Q79" i="42" s="1"/>
  <c r="P77" i="42"/>
  <c r="P79" i="42" s="1"/>
  <c r="N77" i="42"/>
  <c r="N79" i="42" s="1"/>
  <c r="M87" i="42"/>
  <c r="M88" i="42" s="1"/>
  <c r="L87" i="42"/>
  <c r="AH42" i="42"/>
  <c r="AH60" i="42"/>
  <c r="K77" i="42"/>
  <c r="K79" i="42" s="1"/>
  <c r="K7" i="42" s="1"/>
  <c r="AH37" i="42"/>
  <c r="J87" i="42"/>
  <c r="I87" i="42"/>
  <c r="I77" i="42"/>
  <c r="I79" i="42" s="1"/>
  <c r="AA234" i="42" s="1"/>
  <c r="H77" i="42"/>
  <c r="H79" i="42" s="1"/>
  <c r="Z234" i="42" s="1"/>
  <c r="G87" i="42"/>
  <c r="L88" i="42"/>
  <c r="T88" i="42"/>
  <c r="AB88" i="42"/>
  <c r="AH82" i="42"/>
  <c r="AI83" i="42"/>
  <c r="D98" i="42"/>
  <c r="C255" i="42"/>
  <c r="AI81" i="42"/>
  <c r="AG77" i="42"/>
  <c r="K87" i="42"/>
  <c r="K88" i="42" s="1"/>
  <c r="S87" i="42"/>
  <c r="S88" i="42" s="1"/>
  <c r="AA87" i="42"/>
  <c r="AA88" i="42" s="1"/>
  <c r="AH100" i="42"/>
  <c r="AI100" i="42" s="1"/>
  <c r="E214" i="42"/>
  <c r="AB5" i="42"/>
  <c r="L77" i="42"/>
  <c r="L79" i="42" s="1"/>
  <c r="AD234" i="42" s="1"/>
  <c r="T77" i="42"/>
  <c r="T79" i="42" s="1"/>
  <c r="AB77" i="42"/>
  <c r="AB79" i="42" s="1"/>
  <c r="AT234" i="42" s="1"/>
  <c r="I88" i="42"/>
  <c r="Q88" i="42"/>
  <c r="Y88" i="42"/>
  <c r="N87" i="42"/>
  <c r="N88" i="42" s="1"/>
  <c r="V87" i="42"/>
  <c r="V88" i="42" s="1"/>
  <c r="AD87" i="42"/>
  <c r="AD88" i="42" s="1"/>
  <c r="T5" i="42"/>
  <c r="M77" i="42"/>
  <c r="M79" i="42" s="1"/>
  <c r="AE234" i="42" s="1"/>
  <c r="U77" i="42"/>
  <c r="U79" i="42" s="1"/>
  <c r="U7" i="42" s="1"/>
  <c r="AC77" i="42"/>
  <c r="AC79" i="42" s="1"/>
  <c r="AH83" i="42"/>
  <c r="B87" i="42"/>
  <c r="L5" i="42"/>
  <c r="H87" i="42"/>
  <c r="P87" i="42"/>
  <c r="P88" i="42" s="1"/>
  <c r="X87" i="42"/>
  <c r="X88" i="42" s="1"/>
  <c r="AF87" i="42"/>
  <c r="AF88" i="42" s="1"/>
  <c r="B220" i="42"/>
  <c r="G77" i="42"/>
  <c r="G79" i="42" s="1"/>
  <c r="Y234" i="42" s="1"/>
  <c r="O77" i="42"/>
  <c r="O79" i="42" s="1"/>
  <c r="O7" i="42" s="1"/>
  <c r="W77" i="42"/>
  <c r="W79" i="42" s="1"/>
  <c r="W80" i="42" s="1"/>
  <c r="AE77" i="42"/>
  <c r="AE79" i="42" s="1"/>
  <c r="AG6" i="42"/>
  <c r="AI60" i="42"/>
  <c r="J77" i="42"/>
  <c r="J79" i="42" s="1"/>
  <c r="J7" i="42" s="1"/>
  <c r="R77" i="42"/>
  <c r="R79" i="42" s="1"/>
  <c r="Z77" i="42"/>
  <c r="Z79" i="42" s="1"/>
  <c r="AG79" i="42"/>
  <c r="F87" i="42"/>
  <c r="F77" i="42"/>
  <c r="F79" i="42" s="1"/>
  <c r="X234" i="42" s="1"/>
  <c r="F88" i="42"/>
  <c r="E87" i="42"/>
  <c r="E88" i="42" s="1"/>
  <c r="D5" i="42"/>
  <c r="E77" i="42"/>
  <c r="E79" i="42" s="1"/>
  <c r="W234" i="42" s="1"/>
  <c r="AI84" i="42"/>
  <c r="D87" i="42"/>
  <c r="D88" i="42" s="1"/>
  <c r="C5" i="42"/>
  <c r="AI85" i="42"/>
  <c r="D77" i="42"/>
  <c r="D79" i="42" s="1"/>
  <c r="V234" i="42" s="1"/>
  <c r="C87" i="42"/>
  <c r="C88" i="42" s="1"/>
  <c r="B5" i="42"/>
  <c r="C77" i="42"/>
  <c r="C79" i="42" s="1"/>
  <c r="C7" i="42" s="1"/>
  <c r="AH56" i="42"/>
  <c r="B88" i="42"/>
  <c r="B77" i="42"/>
  <c r="B79" i="42" s="1"/>
  <c r="AI42" i="42"/>
  <c r="AI56" i="42"/>
  <c r="H4" i="42"/>
  <c r="P7" i="42"/>
  <c r="AH234" i="42"/>
  <c r="X7" i="42"/>
  <c r="AP234" i="42"/>
  <c r="AF7" i="42"/>
  <c r="AX234" i="42"/>
  <c r="E98" i="42"/>
  <c r="D255" i="42"/>
  <c r="F219" i="42"/>
  <c r="S7" i="42"/>
  <c r="AK234" i="42"/>
  <c r="AA7" i="42"/>
  <c r="AS234" i="42"/>
  <c r="G88" i="42"/>
  <c r="O88" i="42"/>
  <c r="W88" i="42"/>
  <c r="AE88" i="42"/>
  <c r="AI234" i="42"/>
  <c r="Q7" i="42"/>
  <c r="H88" i="42"/>
  <c r="Y7" i="42"/>
  <c r="AQ234" i="42"/>
  <c r="AF234" i="42"/>
  <c r="N7" i="42"/>
  <c r="AV234" i="42"/>
  <c r="AD7" i="42"/>
  <c r="I7" i="42"/>
  <c r="AN234" i="42"/>
  <c r="V7" i="42"/>
  <c r="J88" i="42"/>
  <c r="R88" i="42"/>
  <c r="Z88" i="42"/>
  <c r="AI82" i="42"/>
  <c r="D231" i="42"/>
  <c r="AH38" i="42"/>
  <c r="AH84" i="42"/>
  <c r="AI38" i="42"/>
  <c r="AH85" i="42"/>
  <c r="AH72" i="42"/>
  <c r="AH81" i="42"/>
  <c r="AI72" i="42"/>
  <c r="AF80" i="42" l="1"/>
  <c r="AE7" i="42"/>
  <c r="AE80" i="42"/>
  <c r="AW234" i="42"/>
  <c r="AD80" i="42"/>
  <c r="AC7" i="42"/>
  <c r="AC80" i="42"/>
  <c r="AB7" i="42"/>
  <c r="AB80" i="42"/>
  <c r="AA80" i="42"/>
  <c r="AR234" i="42"/>
  <c r="Z80" i="42"/>
  <c r="Z7" i="42"/>
  <c r="X80" i="42"/>
  <c r="W7" i="42"/>
  <c r="AO234" i="42"/>
  <c r="V80" i="42"/>
  <c r="AM234" i="42"/>
  <c r="U80" i="42"/>
  <c r="AL234" i="42"/>
  <c r="T80" i="42"/>
  <c r="S80" i="42"/>
  <c r="AJ234" i="42"/>
  <c r="R80" i="42"/>
  <c r="AC234" i="42"/>
  <c r="H7" i="42"/>
  <c r="R7" i="42"/>
  <c r="T7" i="42"/>
  <c r="AG234" i="42"/>
  <c r="M7" i="42"/>
  <c r="L7" i="42"/>
  <c r="G7" i="42"/>
  <c r="C229" i="42"/>
  <c r="B229" i="42"/>
  <c r="F7" i="42"/>
  <c r="AU234" i="42"/>
  <c r="E220" i="42"/>
  <c r="F214" i="42"/>
  <c r="AB234" i="42"/>
  <c r="E7" i="42"/>
  <c r="D7" i="42"/>
  <c r="U234" i="42"/>
  <c r="AH77" i="42"/>
  <c r="AI77" i="42"/>
  <c r="AI79" i="42"/>
  <c r="B7" i="42"/>
  <c r="AH79" i="42"/>
  <c r="T234" i="42"/>
  <c r="E255" i="42"/>
  <c r="G219" i="42"/>
  <c r="AI88" i="42"/>
  <c r="AH88" i="42"/>
  <c r="AI87" i="42"/>
  <c r="AH87" i="42"/>
  <c r="F98" i="42"/>
  <c r="AH80" i="42" l="1"/>
  <c r="K6" i="42"/>
  <c r="G214" i="42"/>
  <c r="H214" i="42" s="1"/>
  <c r="I214" i="42" s="1"/>
  <c r="J214" i="42" s="1"/>
  <c r="F220" i="42"/>
  <c r="A7" i="42"/>
  <c r="G98" i="42"/>
  <c r="F255" i="42"/>
  <c r="H219" i="42"/>
  <c r="G220" i="42"/>
  <c r="K214" i="42"/>
  <c r="G255" i="42" l="1"/>
  <c r="I219" i="42"/>
  <c r="H220" i="42"/>
  <c r="H98" i="42"/>
  <c r="L214" i="42"/>
  <c r="H255" i="42" l="1"/>
  <c r="J219" i="42"/>
  <c r="I220" i="42"/>
  <c r="I98" i="42"/>
  <c r="M214" i="42"/>
  <c r="AB100" i="41"/>
  <c r="AB99" i="41"/>
  <c r="AB37" i="41"/>
  <c r="AA100" i="41"/>
  <c r="AA37" i="41"/>
  <c r="Z100" i="41"/>
  <c r="Z37" i="41"/>
  <c r="Y100" i="41"/>
  <c r="Y37" i="41"/>
  <c r="X100" i="41"/>
  <c r="X37" i="41"/>
  <c r="W100" i="41"/>
  <c r="W37" i="41"/>
  <c r="V100" i="41"/>
  <c r="V37" i="41"/>
  <c r="U100" i="41"/>
  <c r="U37" i="41"/>
  <c r="N214" i="42" l="1"/>
  <c r="K219" i="42"/>
  <c r="I255" i="42"/>
  <c r="J98" i="42"/>
  <c r="J220" i="42"/>
  <c r="J255" i="42" l="1"/>
  <c r="L219" i="42"/>
  <c r="K220" i="42"/>
  <c r="K98" i="42"/>
  <c r="O214" i="42"/>
  <c r="P214" i="42" l="1"/>
  <c r="K255" i="42"/>
  <c r="M219" i="42"/>
  <c r="L220" i="42"/>
  <c r="L98" i="42"/>
  <c r="L255" i="42" l="1"/>
  <c r="N219" i="42"/>
  <c r="M98" i="42"/>
  <c r="M220" i="42"/>
  <c r="M255" i="42" l="1"/>
  <c r="O219" i="42"/>
  <c r="N98" i="42"/>
  <c r="N220" i="42"/>
  <c r="N255" i="42" l="1"/>
  <c r="P219" i="42"/>
  <c r="O98" i="42"/>
  <c r="O220" i="42"/>
  <c r="T100" i="41"/>
  <c r="T37" i="41"/>
  <c r="S100" i="41"/>
  <c r="O255" i="42" l="1"/>
  <c r="P220" i="42"/>
  <c r="P98" i="42"/>
  <c r="AI98" i="42" l="1"/>
  <c r="AH98" i="42"/>
  <c r="B38" i="41" l="1"/>
  <c r="AF259" i="41"/>
  <c r="AE259" i="41"/>
  <c r="AD259" i="41"/>
  <c r="AC259" i="41"/>
  <c r="AB259" i="41"/>
  <c r="AA259" i="41"/>
  <c r="Z259" i="41"/>
  <c r="Y259" i="41"/>
  <c r="X259" i="41"/>
  <c r="W259" i="41"/>
  <c r="V259" i="41"/>
  <c r="U259" i="41"/>
  <c r="T259" i="41"/>
  <c r="S259" i="41"/>
  <c r="R259" i="41"/>
  <c r="Q259" i="41"/>
  <c r="P259" i="41"/>
  <c r="O259" i="41"/>
  <c r="N259" i="41"/>
  <c r="M259" i="41"/>
  <c r="L259" i="41"/>
  <c r="K259" i="41"/>
  <c r="J259" i="41"/>
  <c r="I259" i="41"/>
  <c r="H259" i="41"/>
  <c r="G259" i="41"/>
  <c r="F259" i="41"/>
  <c r="E259" i="41"/>
  <c r="D259" i="41"/>
  <c r="C259" i="41"/>
  <c r="B259" i="41"/>
  <c r="A259" i="41"/>
  <c r="AF258" i="41"/>
  <c r="AE258" i="41"/>
  <c r="AD258" i="41"/>
  <c r="AC258" i="41"/>
  <c r="AB258" i="41"/>
  <c r="AA258" i="41"/>
  <c r="Z258" i="41"/>
  <c r="Y258" i="41"/>
  <c r="X258" i="41"/>
  <c r="W258" i="41"/>
  <c r="V258" i="41"/>
  <c r="U258" i="41"/>
  <c r="T258" i="41"/>
  <c r="S258" i="41"/>
  <c r="R258" i="41"/>
  <c r="Q258" i="41"/>
  <c r="P258" i="41"/>
  <c r="O258" i="41"/>
  <c r="N258" i="41"/>
  <c r="M258" i="41"/>
  <c r="L258" i="41"/>
  <c r="K258" i="41"/>
  <c r="J258" i="41"/>
  <c r="I258" i="41"/>
  <c r="H258" i="41"/>
  <c r="G258" i="41"/>
  <c r="F258" i="41"/>
  <c r="E258" i="41"/>
  <c r="D258" i="41"/>
  <c r="C258" i="41"/>
  <c r="B258" i="41"/>
  <c r="A258" i="41"/>
  <c r="AF257" i="41"/>
  <c r="AE257" i="41"/>
  <c r="AD257" i="41"/>
  <c r="AC257" i="41"/>
  <c r="AB257" i="41"/>
  <c r="AA257" i="41"/>
  <c r="Z257" i="41"/>
  <c r="Y257" i="41"/>
  <c r="X257" i="41"/>
  <c r="W257" i="41"/>
  <c r="V257" i="41"/>
  <c r="U257" i="41"/>
  <c r="T257" i="41"/>
  <c r="S257" i="41"/>
  <c r="R257" i="41"/>
  <c r="Q257" i="41"/>
  <c r="P257" i="41"/>
  <c r="O257" i="41"/>
  <c r="N257" i="41"/>
  <c r="M257" i="41"/>
  <c r="L257" i="41"/>
  <c r="K257" i="41"/>
  <c r="J257" i="41"/>
  <c r="I257" i="41"/>
  <c r="H257" i="41"/>
  <c r="G257" i="41"/>
  <c r="F257" i="41"/>
  <c r="E257" i="41"/>
  <c r="D257" i="41"/>
  <c r="C257" i="41"/>
  <c r="B257" i="41"/>
  <c r="A257" i="41"/>
  <c r="AF256" i="41"/>
  <c r="AE256" i="41"/>
  <c r="AD256" i="41"/>
  <c r="AC256" i="41"/>
  <c r="AB256" i="41"/>
  <c r="AA256" i="41"/>
  <c r="Z256" i="41"/>
  <c r="Y256" i="41"/>
  <c r="X256" i="41"/>
  <c r="W256" i="41"/>
  <c r="V256" i="41"/>
  <c r="U256" i="41"/>
  <c r="T256" i="41"/>
  <c r="S256" i="41"/>
  <c r="R256" i="41"/>
  <c r="Q256" i="41"/>
  <c r="P256" i="41"/>
  <c r="O256" i="41"/>
  <c r="N256" i="41"/>
  <c r="M256" i="41"/>
  <c r="L256" i="41"/>
  <c r="K256" i="41"/>
  <c r="J256" i="41"/>
  <c r="I256" i="41"/>
  <c r="H256" i="41"/>
  <c r="G256" i="41"/>
  <c r="F256" i="41"/>
  <c r="E256" i="41"/>
  <c r="D256" i="41"/>
  <c r="C256" i="41"/>
  <c r="B256" i="41"/>
  <c r="A256" i="41"/>
  <c r="AE255" i="41"/>
  <c r="AD255" i="41"/>
  <c r="AC255" i="41"/>
  <c r="AB255" i="41"/>
  <c r="AA255" i="41"/>
  <c r="Z255" i="41"/>
  <c r="Y255" i="41"/>
  <c r="X255" i="41"/>
  <c r="W255" i="41"/>
  <c r="V255" i="41"/>
  <c r="U255" i="41"/>
  <c r="T255" i="41"/>
  <c r="S255" i="41"/>
  <c r="R255" i="41"/>
  <c r="Q255" i="41"/>
  <c r="P255" i="41"/>
  <c r="C255" i="41"/>
  <c r="B255" i="41"/>
  <c r="S230" i="41"/>
  <c r="AG220" i="41"/>
  <c r="AF220" i="41"/>
  <c r="AE220" i="41"/>
  <c r="AD220" i="41"/>
  <c r="AC220" i="41"/>
  <c r="AB220" i="41"/>
  <c r="AA220" i="41"/>
  <c r="Z220" i="41"/>
  <c r="Y220" i="41"/>
  <c r="X220" i="41"/>
  <c r="W220" i="41"/>
  <c r="V220" i="41"/>
  <c r="U220" i="41"/>
  <c r="T220" i="41"/>
  <c r="S220" i="41"/>
  <c r="R220" i="41"/>
  <c r="Q220" i="41"/>
  <c r="C220" i="41"/>
  <c r="E219" i="41"/>
  <c r="D255" i="41" s="1"/>
  <c r="D219" i="41"/>
  <c r="B219" i="41"/>
  <c r="AF255" i="41" s="1"/>
  <c r="D218" i="41"/>
  <c r="E218" i="41" s="1"/>
  <c r="F218" i="41" s="1"/>
  <c r="G218" i="41" s="1"/>
  <c r="H218" i="41" s="1"/>
  <c r="I218" i="41" s="1"/>
  <c r="J218" i="41" s="1"/>
  <c r="K218" i="41" s="1"/>
  <c r="L218" i="41" s="1"/>
  <c r="M218" i="41" s="1"/>
  <c r="N218" i="41" s="1"/>
  <c r="O218" i="41" s="1"/>
  <c r="P218" i="41" s="1"/>
  <c r="B218" i="41"/>
  <c r="D217" i="41"/>
  <c r="E217" i="41" s="1"/>
  <c r="F217" i="41" s="1"/>
  <c r="G217" i="41" s="1"/>
  <c r="H217" i="41" s="1"/>
  <c r="I217" i="41" s="1"/>
  <c r="J217" i="41" s="1"/>
  <c r="K217" i="41" s="1"/>
  <c r="L217" i="41" s="1"/>
  <c r="M217" i="41" s="1"/>
  <c r="N217" i="41" s="1"/>
  <c r="O217" i="41" s="1"/>
  <c r="P217" i="41" s="1"/>
  <c r="B217" i="41"/>
  <c r="D216" i="41"/>
  <c r="E216" i="41" s="1"/>
  <c r="F216" i="41" s="1"/>
  <c r="G216" i="41" s="1"/>
  <c r="H216" i="41" s="1"/>
  <c r="I216" i="41" s="1"/>
  <c r="J216" i="41" s="1"/>
  <c r="K216" i="41" s="1"/>
  <c r="L216" i="41" s="1"/>
  <c r="M216" i="41" s="1"/>
  <c r="N216" i="41" s="1"/>
  <c r="O216" i="41" s="1"/>
  <c r="P216" i="41" s="1"/>
  <c r="B216" i="41"/>
  <c r="D215" i="41"/>
  <c r="E215" i="41" s="1"/>
  <c r="F215" i="41" s="1"/>
  <c r="G215" i="41" s="1"/>
  <c r="H215" i="41" s="1"/>
  <c r="I215" i="41" s="1"/>
  <c r="J215" i="41" s="1"/>
  <c r="K215" i="41" s="1"/>
  <c r="L215" i="41" s="1"/>
  <c r="M215" i="41" s="1"/>
  <c r="N215" i="41" s="1"/>
  <c r="O215" i="41" s="1"/>
  <c r="P215" i="41" s="1"/>
  <c r="B215" i="41"/>
  <c r="D214" i="41"/>
  <c r="B214" i="41"/>
  <c r="AG212" i="41"/>
  <c r="AF212" i="41"/>
  <c r="AE212" i="41"/>
  <c r="AD212" i="41"/>
  <c r="AC212" i="41"/>
  <c r="AB212" i="41"/>
  <c r="AA212" i="41"/>
  <c r="Z212" i="41"/>
  <c r="Y212" i="41"/>
  <c r="X212" i="41"/>
  <c r="W212" i="41"/>
  <c r="V212" i="41"/>
  <c r="U212" i="41"/>
  <c r="T212" i="41"/>
  <c r="S212" i="41"/>
  <c r="R212" i="41"/>
  <c r="Q212" i="41"/>
  <c r="P212" i="41"/>
  <c r="O212" i="41"/>
  <c r="N212" i="41"/>
  <c r="M212" i="41"/>
  <c r="L212" i="41"/>
  <c r="K212" i="41"/>
  <c r="J212" i="41"/>
  <c r="I212" i="41"/>
  <c r="H212" i="41"/>
  <c r="G212" i="41"/>
  <c r="F212" i="41"/>
  <c r="E212" i="41"/>
  <c r="D212" i="41"/>
  <c r="C212" i="41"/>
  <c r="B212" i="41"/>
  <c r="AH105" i="41"/>
  <c r="AI105" i="41" s="1"/>
  <c r="AH104" i="41"/>
  <c r="AI104" i="41" s="1"/>
  <c r="AH103" i="41"/>
  <c r="AI103" i="41" s="1"/>
  <c r="AH102" i="41"/>
  <c r="AI102" i="41" s="1"/>
  <c r="AH101" i="41"/>
  <c r="AI101" i="41" s="1"/>
  <c r="AH100" i="41"/>
  <c r="AI100" i="41" s="1"/>
  <c r="AH99" i="41"/>
  <c r="AI99" i="41" s="1"/>
  <c r="AF98" i="41"/>
  <c r="AE98" i="41"/>
  <c r="AD98" i="41"/>
  <c r="AC98" i="41"/>
  <c r="AB98" i="41"/>
  <c r="AA98" i="41"/>
  <c r="Z98" i="41"/>
  <c r="Y98" i="41"/>
  <c r="X98" i="41"/>
  <c r="W98" i="41"/>
  <c r="V98" i="41"/>
  <c r="U98" i="41"/>
  <c r="T98" i="41"/>
  <c r="S98" i="41"/>
  <c r="R98" i="41"/>
  <c r="Q98" i="41"/>
  <c r="C98" i="41"/>
  <c r="B98" i="41"/>
  <c r="AI97" i="41"/>
  <c r="AH97" i="41"/>
  <c r="AI96" i="41"/>
  <c r="AH96" i="41"/>
  <c r="AI95" i="41"/>
  <c r="AH95" i="41"/>
  <c r="AI94" i="41"/>
  <c r="AH94" i="41"/>
  <c r="AI93" i="41"/>
  <c r="AH93" i="41"/>
  <c r="AI92" i="41"/>
  <c r="AH92" i="41"/>
  <c r="AI91" i="41"/>
  <c r="AH91" i="41"/>
  <c r="AI90" i="41"/>
  <c r="AH90" i="41"/>
  <c r="AI89" i="41"/>
  <c r="AH89" i="41"/>
  <c r="AI86" i="41"/>
  <c r="AH86" i="41"/>
  <c r="AF85" i="41"/>
  <c r="AE85" i="41"/>
  <c r="AD85" i="41"/>
  <c r="AC85" i="41"/>
  <c r="AB85" i="41"/>
  <c r="AA85" i="41"/>
  <c r="Z85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AF84" i="41"/>
  <c r="AE84" i="41"/>
  <c r="AD84" i="41"/>
  <c r="AC84" i="41"/>
  <c r="AB84" i="41"/>
  <c r="AA84" i="41"/>
  <c r="Z84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AF83" i="41"/>
  <c r="AE83" i="41"/>
  <c r="AD83" i="41"/>
  <c r="AC83" i="41"/>
  <c r="AB83" i="41"/>
  <c r="AA83" i="41"/>
  <c r="Z83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AF82" i="41"/>
  <c r="AE82" i="41"/>
  <c r="AD82" i="41"/>
  <c r="AC82" i="41"/>
  <c r="AB82" i="41"/>
  <c r="AA82" i="41"/>
  <c r="Z82" i="41"/>
  <c r="Y82" i="41"/>
  <c r="X82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AF81" i="41"/>
  <c r="AE81" i="41"/>
  <c r="AD81" i="41"/>
  <c r="AC81" i="41"/>
  <c r="AB81" i="41"/>
  <c r="AA81" i="41"/>
  <c r="Z81" i="41"/>
  <c r="Y81" i="41"/>
  <c r="X81" i="41"/>
  <c r="W81" i="41"/>
  <c r="V81" i="41"/>
  <c r="U81" i="41"/>
  <c r="T81" i="41"/>
  <c r="S81" i="41"/>
  <c r="R81" i="41"/>
  <c r="Q81" i="41"/>
  <c r="P81" i="41"/>
  <c r="O81" i="41"/>
  <c r="N81" i="41"/>
  <c r="M81" i="41"/>
  <c r="L81" i="41"/>
  <c r="K81" i="41"/>
  <c r="J81" i="41"/>
  <c r="I81" i="41"/>
  <c r="H81" i="41"/>
  <c r="G81" i="41"/>
  <c r="F81" i="41"/>
  <c r="E81" i="41"/>
  <c r="D81" i="41"/>
  <c r="C81" i="41"/>
  <c r="B81" i="41"/>
  <c r="AI78" i="41"/>
  <c r="AH78" i="41"/>
  <c r="AI76" i="41"/>
  <c r="AH76" i="41"/>
  <c r="AG76" i="41"/>
  <c r="AI75" i="41"/>
  <c r="AH75" i="41"/>
  <c r="AI74" i="41"/>
  <c r="AH74" i="41"/>
  <c r="AI73" i="41"/>
  <c r="AH73" i="41"/>
  <c r="AG72" i="41"/>
  <c r="AF72" i="41"/>
  <c r="AE5" i="41" s="1"/>
  <c r="AE72" i="41"/>
  <c r="AD5" i="41" s="1"/>
  <c r="AD72" i="41"/>
  <c r="AC5" i="41" s="1"/>
  <c r="AC72" i="41"/>
  <c r="AB5" i="41" s="1"/>
  <c r="AB72" i="41"/>
  <c r="AA5" i="41" s="1"/>
  <c r="AA72" i="41"/>
  <c r="Z5" i="41" s="1"/>
  <c r="Z72" i="41"/>
  <c r="Y5" i="41" s="1"/>
  <c r="Y72" i="41"/>
  <c r="X5" i="41" s="1"/>
  <c r="X72" i="41"/>
  <c r="W5" i="41" s="1"/>
  <c r="W72" i="41"/>
  <c r="V5" i="41" s="1"/>
  <c r="V72" i="41"/>
  <c r="U5" i="41" s="1"/>
  <c r="U72" i="41"/>
  <c r="T5" i="41" s="1"/>
  <c r="T72" i="41"/>
  <c r="S5" i="41" s="1"/>
  <c r="S72" i="41"/>
  <c r="R5" i="41" s="1"/>
  <c r="R72" i="41"/>
  <c r="Q5" i="41" s="1"/>
  <c r="Q72" i="41"/>
  <c r="P5" i="41" s="1"/>
  <c r="P72" i="41"/>
  <c r="O5" i="41" s="1"/>
  <c r="O72" i="41"/>
  <c r="N5" i="41" s="1"/>
  <c r="N72" i="41"/>
  <c r="M5" i="41" s="1"/>
  <c r="M72" i="41"/>
  <c r="L5" i="41" s="1"/>
  <c r="L72" i="41"/>
  <c r="K5" i="41" s="1"/>
  <c r="K72" i="41"/>
  <c r="J5" i="41" s="1"/>
  <c r="J72" i="41"/>
  <c r="I5" i="41" s="1"/>
  <c r="I72" i="41"/>
  <c r="H5" i="41" s="1"/>
  <c r="H72" i="41"/>
  <c r="G5" i="41" s="1"/>
  <c r="G72" i="41"/>
  <c r="F5" i="41" s="1"/>
  <c r="F72" i="41"/>
  <c r="E72" i="41"/>
  <c r="D5" i="41" s="1"/>
  <c r="D72" i="41"/>
  <c r="C5" i="41" s="1"/>
  <c r="C72" i="41"/>
  <c r="B72" i="41"/>
  <c r="AF5" i="41" s="1"/>
  <c r="AI71" i="41"/>
  <c r="AH71" i="41"/>
  <c r="AI70" i="41"/>
  <c r="AH70" i="41"/>
  <c r="AI69" i="41"/>
  <c r="AH69" i="41"/>
  <c r="AI68" i="41"/>
  <c r="AH68" i="41"/>
  <c r="AI67" i="41"/>
  <c r="AH67" i="41"/>
  <c r="AI66" i="41"/>
  <c r="AH66" i="41"/>
  <c r="AI65" i="41"/>
  <c r="AH65" i="41"/>
  <c r="AI64" i="41"/>
  <c r="AH64" i="41"/>
  <c r="AI63" i="41"/>
  <c r="AH63" i="41"/>
  <c r="AI62" i="41"/>
  <c r="AH62" i="41"/>
  <c r="AI61" i="41"/>
  <c r="AH61" i="41"/>
  <c r="AG60" i="41"/>
  <c r="AF60" i="41"/>
  <c r="AE60" i="41"/>
  <c r="AD60" i="41"/>
  <c r="AC60" i="41"/>
  <c r="AB60" i="41"/>
  <c r="AA60" i="41"/>
  <c r="Z60" i="41"/>
  <c r="Y60" i="41"/>
  <c r="X60" i="41"/>
  <c r="W60" i="41"/>
  <c r="V60" i="41"/>
  <c r="U60" i="41"/>
  <c r="T60" i="41"/>
  <c r="S60" i="41"/>
  <c r="R60" i="41"/>
  <c r="Q60" i="41"/>
  <c r="P60" i="41"/>
  <c r="O60" i="41"/>
  <c r="N60" i="41"/>
  <c r="M60" i="41"/>
  <c r="L60" i="41"/>
  <c r="K60" i="41"/>
  <c r="J60" i="41"/>
  <c r="I60" i="41"/>
  <c r="H60" i="41"/>
  <c r="G60" i="41"/>
  <c r="F60" i="41"/>
  <c r="E60" i="41"/>
  <c r="D60" i="41"/>
  <c r="C60" i="41"/>
  <c r="B60" i="41"/>
  <c r="AI59" i="41"/>
  <c r="AH59" i="41"/>
  <c r="AI58" i="41"/>
  <c r="AH58" i="41"/>
  <c r="AI57" i="41"/>
  <c r="AH57" i="41"/>
  <c r="AF56" i="41"/>
  <c r="AE56" i="41"/>
  <c r="AD56" i="41"/>
  <c r="AC56" i="41"/>
  <c r="AB56" i="41"/>
  <c r="AA56" i="41"/>
  <c r="Z56" i="41"/>
  <c r="Y56" i="41"/>
  <c r="X56" i="41"/>
  <c r="W56" i="41"/>
  <c r="V56" i="41"/>
  <c r="U56" i="41"/>
  <c r="T56" i="41"/>
  <c r="S56" i="41"/>
  <c r="R56" i="41"/>
  <c r="Q56" i="41"/>
  <c r="P56" i="41"/>
  <c r="O56" i="41"/>
  <c r="N56" i="41"/>
  <c r="M56" i="41"/>
  <c r="L56" i="41"/>
  <c r="K56" i="41"/>
  <c r="J56" i="41"/>
  <c r="I56" i="41"/>
  <c r="H56" i="41"/>
  <c r="G56" i="41"/>
  <c r="F56" i="41"/>
  <c r="E56" i="41"/>
  <c r="D56" i="41"/>
  <c r="C56" i="41"/>
  <c r="B56" i="41"/>
  <c r="AI55" i="41"/>
  <c r="AH55" i="41"/>
  <c r="AG55" i="41"/>
  <c r="AG56" i="41" s="1"/>
  <c r="AI54" i="41"/>
  <c r="AH54" i="41"/>
  <c r="AI53" i="41"/>
  <c r="AH53" i="41"/>
  <c r="AI52" i="41"/>
  <c r="AH52" i="41"/>
  <c r="AI51" i="41"/>
  <c r="AH51" i="41"/>
  <c r="AI50" i="41"/>
  <c r="AH50" i="41"/>
  <c r="AI49" i="41"/>
  <c r="AH49" i="41"/>
  <c r="AI48" i="41"/>
  <c r="AH48" i="41"/>
  <c r="AI47" i="41"/>
  <c r="AH47" i="41"/>
  <c r="AI46" i="41"/>
  <c r="AH46" i="41"/>
  <c r="AI45" i="41"/>
  <c r="AH45" i="41"/>
  <c r="AI44" i="41"/>
  <c r="AH44" i="41"/>
  <c r="AI43" i="41"/>
  <c r="AH43" i="41"/>
  <c r="AG42" i="41"/>
  <c r="AF42" i="41"/>
  <c r="AE42" i="41"/>
  <c r="AC42" i="41"/>
  <c r="AB42" i="41"/>
  <c r="AA42" i="41"/>
  <c r="Z42" i="41"/>
  <c r="Y42" i="41"/>
  <c r="X42" i="41"/>
  <c r="W42" i="41"/>
  <c r="V42" i="41"/>
  <c r="U42" i="41"/>
  <c r="T42" i="41"/>
  <c r="S42" i="41"/>
  <c r="R42" i="41"/>
  <c r="Q42" i="41"/>
  <c r="P42" i="41"/>
  <c r="O42" i="41"/>
  <c r="N42" i="41"/>
  <c r="M42" i="41"/>
  <c r="L42" i="41"/>
  <c r="K42" i="41"/>
  <c r="J42" i="41"/>
  <c r="I42" i="41"/>
  <c r="H42" i="41"/>
  <c r="G42" i="41"/>
  <c r="F42" i="41"/>
  <c r="E42" i="41"/>
  <c r="D42" i="41"/>
  <c r="C42" i="41"/>
  <c r="B42" i="41"/>
  <c r="AI41" i="41"/>
  <c r="AH41" i="41"/>
  <c r="AI40" i="41"/>
  <c r="AH40" i="41"/>
  <c r="AI39" i="41"/>
  <c r="AH39" i="41"/>
  <c r="AG38" i="41"/>
  <c r="AF38" i="41"/>
  <c r="AE38" i="41"/>
  <c r="AD38" i="41"/>
  <c r="AC38" i="41"/>
  <c r="AB38" i="41"/>
  <c r="AA38" i="41"/>
  <c r="Z38" i="41"/>
  <c r="Y38" i="41"/>
  <c r="X38" i="41"/>
  <c r="W38" i="41"/>
  <c r="V38" i="41"/>
  <c r="U38" i="41"/>
  <c r="T38" i="41"/>
  <c r="S38" i="41"/>
  <c r="R38" i="41"/>
  <c r="Q38" i="41"/>
  <c r="P38" i="41"/>
  <c r="O38" i="41"/>
  <c r="N38" i="41"/>
  <c r="M38" i="41"/>
  <c r="L38" i="41"/>
  <c r="K38" i="41"/>
  <c r="J38" i="41"/>
  <c r="I38" i="41"/>
  <c r="H38" i="41"/>
  <c r="G38" i="41"/>
  <c r="F38" i="41"/>
  <c r="E38" i="41"/>
  <c r="D38" i="41"/>
  <c r="C38" i="41"/>
  <c r="AI37" i="41"/>
  <c r="AH37" i="41"/>
  <c r="AI36" i="41"/>
  <c r="AH36" i="41"/>
  <c r="AI35" i="41"/>
  <c r="AH35" i="41"/>
  <c r="AI34" i="41"/>
  <c r="AH34" i="41"/>
  <c r="AI33" i="41"/>
  <c r="AH33" i="41"/>
  <c r="AI32" i="41"/>
  <c r="AH32" i="41"/>
  <c r="AI30" i="41"/>
  <c r="AH30" i="41"/>
  <c r="AI29" i="41"/>
  <c r="AH29" i="41"/>
  <c r="AI28" i="41"/>
  <c r="AH28" i="41"/>
  <c r="AI27" i="41"/>
  <c r="AH27" i="41"/>
  <c r="AI26" i="41"/>
  <c r="AH26" i="41"/>
  <c r="AI25" i="41"/>
  <c r="AH25" i="41"/>
  <c r="AI24" i="41"/>
  <c r="AH24" i="41"/>
  <c r="AI23" i="41"/>
  <c r="AH23" i="41"/>
  <c r="AI22" i="41"/>
  <c r="AH22" i="41"/>
  <c r="AI21" i="41"/>
  <c r="AH21" i="41"/>
  <c r="AI20" i="41"/>
  <c r="AH20" i="41"/>
  <c r="AI19" i="41"/>
  <c r="AH19" i="41"/>
  <c r="AI18" i="41"/>
  <c r="AH18" i="41"/>
  <c r="AI17" i="41"/>
  <c r="AH17" i="41"/>
  <c r="AI16" i="41"/>
  <c r="AH16" i="41"/>
  <c r="AI15" i="41"/>
  <c r="AH15" i="41"/>
  <c r="AI14" i="41"/>
  <c r="AH14" i="41"/>
  <c r="AI13" i="41"/>
  <c r="AH13" i="41"/>
  <c r="AI12" i="41"/>
  <c r="AH12" i="41"/>
  <c r="AI11" i="41"/>
  <c r="AH11" i="41"/>
  <c r="AG4" i="41"/>
  <c r="K4" i="41"/>
  <c r="B4" i="41"/>
  <c r="AF37" i="39"/>
  <c r="AE37" i="39"/>
  <c r="AD37" i="39"/>
  <c r="AC37" i="39"/>
  <c r="AB37" i="39"/>
  <c r="AA100" i="39"/>
  <c r="AA37" i="39"/>
  <c r="E4" i="41"/>
  <c r="AF77" i="41" l="1"/>
  <c r="AF79" i="41" s="1"/>
  <c r="AF7" i="41" s="1"/>
  <c r="AE87" i="41"/>
  <c r="Y77" i="41"/>
  <c r="Y79" i="41" s="1"/>
  <c r="X77" i="41"/>
  <c r="X79" i="41" s="1"/>
  <c r="X7" i="41" s="1"/>
  <c r="W87" i="41"/>
  <c r="T77" i="41"/>
  <c r="T79" i="41" s="1"/>
  <c r="AL234" i="41" s="1"/>
  <c r="Q77" i="41"/>
  <c r="Q79" i="41" s="1"/>
  <c r="P77" i="41"/>
  <c r="P79" i="41" s="1"/>
  <c r="O87" i="41"/>
  <c r="L77" i="41"/>
  <c r="L79" i="41" s="1"/>
  <c r="AD234" i="41" s="1"/>
  <c r="J87" i="41"/>
  <c r="R87" i="41"/>
  <c r="R88" i="41" s="1"/>
  <c r="Z87" i="41"/>
  <c r="Z88" i="41" s="1"/>
  <c r="D87" i="41"/>
  <c r="L87" i="41"/>
  <c r="L88" i="41" s="1"/>
  <c r="T87" i="41"/>
  <c r="T88" i="41" s="1"/>
  <c r="AB87" i="41"/>
  <c r="AB88" i="41" s="1"/>
  <c r="K77" i="41"/>
  <c r="K79" i="41" s="1"/>
  <c r="K7" i="41" s="1"/>
  <c r="S77" i="41"/>
  <c r="S79" i="41" s="1"/>
  <c r="S7" i="41" s="1"/>
  <c r="AA77" i="41"/>
  <c r="AA79" i="41" s="1"/>
  <c r="AS234" i="41" s="1"/>
  <c r="I87" i="41"/>
  <c r="I88" i="41" s="1"/>
  <c r="Q87" i="41"/>
  <c r="Q88" i="41" s="1"/>
  <c r="Y87" i="41"/>
  <c r="Y88" i="41" s="1"/>
  <c r="F219" i="41"/>
  <c r="J88" i="41"/>
  <c r="O88" i="41"/>
  <c r="AE88" i="41"/>
  <c r="AB77" i="41"/>
  <c r="AB79" i="41" s="1"/>
  <c r="AB7" i="41" s="1"/>
  <c r="M87" i="41"/>
  <c r="M88" i="41" s="1"/>
  <c r="U87" i="41"/>
  <c r="AC87" i="41"/>
  <c r="AC88" i="41" s="1"/>
  <c r="B220" i="41"/>
  <c r="N87" i="41"/>
  <c r="N88" i="41" s="1"/>
  <c r="V87" i="41"/>
  <c r="V88" i="41" s="1"/>
  <c r="AD87" i="41"/>
  <c r="AD88" i="41" s="1"/>
  <c r="P87" i="41"/>
  <c r="P88" i="41" s="1"/>
  <c r="X87" i="41"/>
  <c r="X88" i="41" s="1"/>
  <c r="AF87" i="41"/>
  <c r="J77" i="41"/>
  <c r="J79" i="41" s="1"/>
  <c r="AB234" i="41" s="1"/>
  <c r="R77" i="41"/>
  <c r="R79" i="41" s="1"/>
  <c r="R7" i="41" s="1"/>
  <c r="Z77" i="41"/>
  <c r="Z79" i="41" s="1"/>
  <c r="Z7" i="41" s="1"/>
  <c r="N77" i="41"/>
  <c r="N79" i="41" s="1"/>
  <c r="AF234" i="41" s="1"/>
  <c r="V77" i="41"/>
  <c r="V79" i="41" s="1"/>
  <c r="AN234" i="41" s="1"/>
  <c r="AD77" i="41"/>
  <c r="AD79" i="41" s="1"/>
  <c r="AD7" i="41" s="1"/>
  <c r="I77" i="41"/>
  <c r="I79" i="41" s="1"/>
  <c r="I7" i="41" s="1"/>
  <c r="H87" i="41"/>
  <c r="H77" i="41"/>
  <c r="H79" i="41" s="1"/>
  <c r="Z234" i="41" s="1"/>
  <c r="G87" i="41"/>
  <c r="F87" i="41"/>
  <c r="F88" i="41" s="1"/>
  <c r="E5" i="41"/>
  <c r="F77" i="41"/>
  <c r="F79" i="41" s="1"/>
  <c r="X234" i="41" s="1"/>
  <c r="AI83" i="41"/>
  <c r="E87" i="41"/>
  <c r="AI56" i="41"/>
  <c r="D77" i="41"/>
  <c r="D79" i="41" s="1"/>
  <c r="V234" i="41" s="1"/>
  <c r="AI84" i="41"/>
  <c r="AH84" i="41"/>
  <c r="AI85" i="41"/>
  <c r="C77" i="41"/>
  <c r="C79" i="41" s="1"/>
  <c r="C7" i="41" s="1"/>
  <c r="AH42" i="41"/>
  <c r="AI72" i="41"/>
  <c r="B77" i="41"/>
  <c r="H4" i="41"/>
  <c r="B79" i="41"/>
  <c r="T7" i="41"/>
  <c r="P7" i="41"/>
  <c r="AH234" i="41"/>
  <c r="AH38" i="41"/>
  <c r="AI38" i="41"/>
  <c r="AI42" i="41"/>
  <c r="AH72" i="41"/>
  <c r="E255" i="41"/>
  <c r="G219" i="41"/>
  <c r="E77" i="41"/>
  <c r="E79" i="41" s="1"/>
  <c r="M77" i="41"/>
  <c r="M79" i="41" s="1"/>
  <c r="U77" i="41"/>
  <c r="U79" i="41" s="1"/>
  <c r="AC77" i="41"/>
  <c r="AC79" i="41" s="1"/>
  <c r="AH60" i="41"/>
  <c r="U88" i="41"/>
  <c r="AI60" i="41"/>
  <c r="AH83" i="41"/>
  <c r="AH85" i="41"/>
  <c r="D88" i="41"/>
  <c r="AG3" i="41"/>
  <c r="AG79" i="41"/>
  <c r="G77" i="41"/>
  <c r="G79" i="41" s="1"/>
  <c r="O77" i="41"/>
  <c r="O79" i="41" s="1"/>
  <c r="W77" i="41"/>
  <c r="W79" i="41" s="1"/>
  <c r="AE77" i="41"/>
  <c r="AE79" i="41" s="1"/>
  <c r="AH56" i="41"/>
  <c r="AH82" i="41"/>
  <c r="E88" i="41"/>
  <c r="G88" i="41"/>
  <c r="W88" i="41"/>
  <c r="AI81" i="41"/>
  <c r="D220" i="41"/>
  <c r="D98" i="41"/>
  <c r="S231" i="41"/>
  <c r="D231" i="41"/>
  <c r="Q7" i="41"/>
  <c r="AI234" i="41"/>
  <c r="Y7" i="41"/>
  <c r="AQ234" i="41"/>
  <c r="AG2" i="41"/>
  <c r="AG77" i="41"/>
  <c r="H88" i="41"/>
  <c r="AF88" i="41"/>
  <c r="C87" i="41"/>
  <c r="C88" i="41" s="1"/>
  <c r="K87" i="41"/>
  <c r="K88" i="41" s="1"/>
  <c r="S87" i="41"/>
  <c r="S88" i="41" s="1"/>
  <c r="AA87" i="41"/>
  <c r="AA88" i="41" s="1"/>
  <c r="E214" i="41"/>
  <c r="AI82" i="41"/>
  <c r="B5" i="41"/>
  <c r="AH81" i="41"/>
  <c r="B87" i="41"/>
  <c r="AP234" i="41" l="1"/>
  <c r="AX234" i="41"/>
  <c r="AT234" i="41"/>
  <c r="AA7" i="41"/>
  <c r="V7" i="41"/>
  <c r="AK234" i="41"/>
  <c r="AJ234" i="41"/>
  <c r="L7" i="41"/>
  <c r="AC234" i="41"/>
  <c r="AV234" i="41"/>
  <c r="AR234" i="41"/>
  <c r="U234" i="41"/>
  <c r="J7" i="41"/>
  <c r="N7" i="41"/>
  <c r="AA234" i="41"/>
  <c r="H7" i="41"/>
  <c r="F7" i="41"/>
  <c r="D7" i="41"/>
  <c r="AW234" i="41"/>
  <c r="AE7" i="41"/>
  <c r="W234" i="41"/>
  <c r="E7" i="41"/>
  <c r="AE234" i="41"/>
  <c r="M7" i="41"/>
  <c r="AO234" i="41"/>
  <c r="W7" i="41"/>
  <c r="B88" i="41"/>
  <c r="AI87" i="41"/>
  <c r="AH87" i="41"/>
  <c r="E98" i="41"/>
  <c r="F214" i="41"/>
  <c r="E220" i="41"/>
  <c r="AG234" i="41"/>
  <c r="O7" i="41"/>
  <c r="F255" i="41"/>
  <c r="H219" i="41"/>
  <c r="Y234" i="41"/>
  <c r="C229" i="41"/>
  <c r="B229" i="41"/>
  <c r="G7" i="41"/>
  <c r="AH77" i="41"/>
  <c r="AG6" i="41"/>
  <c r="AU234" i="41"/>
  <c r="AC7" i="41"/>
  <c r="AI77" i="41"/>
  <c r="AM234" i="41"/>
  <c r="U7" i="41"/>
  <c r="AI79" i="41"/>
  <c r="B7" i="41"/>
  <c r="AH79" i="41"/>
  <c r="T234" i="41"/>
  <c r="K6" i="41" l="1"/>
  <c r="AI88" i="41"/>
  <c r="AH88" i="41"/>
  <c r="F98" i="41"/>
  <c r="G214" i="41"/>
  <c r="F220" i="41"/>
  <c r="G255" i="41"/>
  <c r="I219" i="41"/>
  <c r="A7" i="41"/>
  <c r="G98" i="41" l="1"/>
  <c r="H214" i="41"/>
  <c r="G220" i="41"/>
  <c r="H255" i="41"/>
  <c r="J219" i="41"/>
  <c r="I214" i="41" l="1"/>
  <c r="H220" i="41"/>
  <c r="H98" i="41"/>
  <c r="K219" i="41"/>
  <c r="I255" i="41"/>
  <c r="J255" i="41" l="1"/>
  <c r="L219" i="41"/>
  <c r="I220" i="41"/>
  <c r="J214" i="41"/>
  <c r="I98" i="41"/>
  <c r="J220" i="41" l="1"/>
  <c r="K214" i="41"/>
  <c r="J98" i="41"/>
  <c r="M219" i="41"/>
  <c r="K255" i="41"/>
  <c r="K220" i="41" l="1"/>
  <c r="K98" i="41"/>
  <c r="L214" i="41"/>
  <c r="L255" i="41"/>
  <c r="N219" i="41"/>
  <c r="L220" i="41" l="1"/>
  <c r="L98" i="41"/>
  <c r="M214" i="41"/>
  <c r="O219" i="41"/>
  <c r="M255" i="41"/>
  <c r="N255" i="41" l="1"/>
  <c r="P219" i="41"/>
  <c r="O255" i="41" s="1"/>
  <c r="M98" i="41"/>
  <c r="N214" i="41"/>
  <c r="M220" i="41"/>
  <c r="N98" i="41" l="1"/>
  <c r="O214" i="41"/>
  <c r="N220" i="41"/>
  <c r="O98" i="41" l="1"/>
  <c r="P214" i="41"/>
  <c r="O220" i="41"/>
  <c r="P220" i="41" l="1"/>
  <c r="P98" i="41"/>
  <c r="AH98" i="41" l="1"/>
  <c r="AI98" i="41"/>
  <c r="Z100" i="39" l="1"/>
  <c r="Y100" i="39"/>
  <c r="Z37" i="39"/>
  <c r="Y37" i="39" l="1"/>
  <c r="X100" i="39" l="1"/>
  <c r="X37" i="39"/>
  <c r="W37" i="39" l="1"/>
  <c r="V100" i="39" l="1"/>
  <c r="V37" i="39"/>
  <c r="U100" i="39"/>
  <c r="U37" i="39"/>
  <c r="T100" i="39" l="1"/>
  <c r="T37" i="39"/>
  <c r="S100" i="39"/>
  <c r="S37" i="39"/>
  <c r="R37" i="39"/>
  <c r="Q37" i="39" l="1"/>
  <c r="P37" i="39"/>
  <c r="O37" i="39"/>
  <c r="N37" i="39" l="1"/>
  <c r="M100" i="39" l="1"/>
  <c r="M99" i="39"/>
  <c r="M37" i="39"/>
  <c r="L37" i="39" l="1"/>
  <c r="K37" i="39"/>
  <c r="J37" i="39"/>
  <c r="I37" i="39"/>
  <c r="H37" i="39"/>
  <c r="G37" i="39"/>
  <c r="F37" i="39"/>
  <c r="E37" i="39"/>
  <c r="D37" i="39"/>
  <c r="C56" i="39"/>
  <c r="D56" i="39"/>
  <c r="E56" i="39"/>
  <c r="F56" i="39"/>
  <c r="G56" i="39"/>
  <c r="H56" i="39"/>
  <c r="I56" i="39"/>
  <c r="J56" i="39"/>
  <c r="K56" i="39"/>
  <c r="L56" i="39"/>
  <c r="M56" i="39"/>
  <c r="N56" i="39"/>
  <c r="O56" i="39"/>
  <c r="P56" i="39"/>
  <c r="Q56" i="39"/>
  <c r="R56" i="39"/>
  <c r="S56" i="39"/>
  <c r="T56" i="39"/>
  <c r="U56" i="39"/>
  <c r="V56" i="39"/>
  <c r="W56" i="39"/>
  <c r="X56" i="39"/>
  <c r="Y56" i="39"/>
  <c r="Z56" i="39"/>
  <c r="AA56" i="39"/>
  <c r="AB56" i="39"/>
  <c r="AC56" i="39"/>
  <c r="AD56" i="39"/>
  <c r="AE56" i="39"/>
  <c r="AF56" i="39"/>
  <c r="AG56" i="39"/>
  <c r="C98" i="39"/>
  <c r="D98" i="39"/>
  <c r="E98" i="39"/>
  <c r="F98" i="39"/>
  <c r="G98" i="39"/>
  <c r="H98" i="39"/>
  <c r="I98" i="39"/>
  <c r="J98" i="39"/>
  <c r="K98" i="39"/>
  <c r="L98" i="39"/>
  <c r="M98" i="39"/>
  <c r="N98" i="39"/>
  <c r="O98" i="39"/>
  <c r="P98" i="39"/>
  <c r="Q98" i="39"/>
  <c r="R98" i="39"/>
  <c r="S98" i="39"/>
  <c r="T98" i="39"/>
  <c r="U98" i="39"/>
  <c r="V98" i="39"/>
  <c r="W98" i="39"/>
  <c r="X98" i="39"/>
  <c r="Y98" i="39"/>
  <c r="Z98" i="39"/>
  <c r="AA98" i="39"/>
  <c r="AB98" i="39"/>
  <c r="AC98" i="39"/>
  <c r="AD98" i="39"/>
  <c r="AE98" i="39"/>
  <c r="AF98" i="39"/>
  <c r="C88" i="39"/>
  <c r="C87" i="39"/>
  <c r="C81" i="39"/>
  <c r="D81" i="39"/>
  <c r="E81" i="39"/>
  <c r="F81" i="39"/>
  <c r="G81" i="39"/>
  <c r="H81" i="39"/>
  <c r="I81" i="39"/>
  <c r="J81" i="39"/>
  <c r="K81" i="39"/>
  <c r="L81" i="39"/>
  <c r="M81" i="39"/>
  <c r="N81" i="39"/>
  <c r="O81" i="39"/>
  <c r="P81" i="39"/>
  <c r="Q81" i="39"/>
  <c r="R81" i="39"/>
  <c r="S81" i="39"/>
  <c r="T81" i="39"/>
  <c r="U81" i="39"/>
  <c r="V81" i="39"/>
  <c r="W81" i="39"/>
  <c r="X81" i="39"/>
  <c r="Y81" i="39"/>
  <c r="Z81" i="39"/>
  <c r="AA81" i="39"/>
  <c r="AB81" i="39"/>
  <c r="AC81" i="39"/>
  <c r="AD81" i="39"/>
  <c r="AE81" i="39"/>
  <c r="AF81" i="39"/>
  <c r="C82" i="39"/>
  <c r="D82" i="39"/>
  <c r="E82" i="39"/>
  <c r="F82" i="39"/>
  <c r="G82" i="39"/>
  <c r="H82" i="39"/>
  <c r="I82" i="39"/>
  <c r="J82" i="39"/>
  <c r="K82" i="39"/>
  <c r="L82" i="39"/>
  <c r="M82" i="39"/>
  <c r="N82" i="39"/>
  <c r="O82" i="39"/>
  <c r="P82" i="39"/>
  <c r="Q82" i="39"/>
  <c r="R82" i="39"/>
  <c r="S82" i="39"/>
  <c r="T82" i="39"/>
  <c r="U82" i="39"/>
  <c r="V82" i="39"/>
  <c r="W82" i="39"/>
  <c r="X82" i="39"/>
  <c r="Y82" i="39"/>
  <c r="Z82" i="39"/>
  <c r="AA82" i="39"/>
  <c r="AB82" i="39"/>
  <c r="AC82" i="39"/>
  <c r="AC87" i="39" s="1"/>
  <c r="AD82" i="39"/>
  <c r="AE82" i="39"/>
  <c r="AF82" i="39"/>
  <c r="C83" i="39"/>
  <c r="D83" i="39"/>
  <c r="E83" i="39"/>
  <c r="F83" i="39"/>
  <c r="G83" i="39"/>
  <c r="H83" i="39"/>
  <c r="I83" i="39"/>
  <c r="J83" i="39"/>
  <c r="K83" i="39"/>
  <c r="L83" i="39"/>
  <c r="M83" i="39"/>
  <c r="N83" i="39"/>
  <c r="O83" i="39"/>
  <c r="P83" i="39"/>
  <c r="Q83" i="39"/>
  <c r="R83" i="39"/>
  <c r="S83" i="39"/>
  <c r="T83" i="39"/>
  <c r="T87" i="39" s="1"/>
  <c r="T88" i="39" s="1"/>
  <c r="U83" i="39"/>
  <c r="U87" i="39" s="1"/>
  <c r="V83" i="39"/>
  <c r="W83" i="39"/>
  <c r="X83" i="39"/>
  <c r="Y83" i="39"/>
  <c r="Z83" i="39"/>
  <c r="AA83" i="39"/>
  <c r="AB83" i="39"/>
  <c r="AC83" i="39"/>
  <c r="AD83" i="39"/>
  <c r="AE83" i="39"/>
  <c r="AF83" i="39"/>
  <c r="C84" i="39"/>
  <c r="D84" i="39"/>
  <c r="E84" i="39"/>
  <c r="F84" i="39"/>
  <c r="G84" i="39"/>
  <c r="H84" i="39"/>
  <c r="I84" i="39"/>
  <c r="J84" i="39"/>
  <c r="K84" i="39"/>
  <c r="L84" i="39"/>
  <c r="M84" i="39"/>
  <c r="N84" i="39"/>
  <c r="O84" i="39"/>
  <c r="P84" i="39"/>
  <c r="Q84" i="39"/>
  <c r="R84" i="39"/>
  <c r="S84" i="39"/>
  <c r="S87" i="39" s="1"/>
  <c r="T84" i="39"/>
  <c r="U84" i="39"/>
  <c r="V84" i="39"/>
  <c r="W84" i="39"/>
  <c r="X84" i="39"/>
  <c r="Y84" i="39"/>
  <c r="Z84" i="39"/>
  <c r="AA84" i="39"/>
  <c r="AB84" i="39"/>
  <c r="AC84" i="39"/>
  <c r="AD84" i="39"/>
  <c r="AE84" i="39"/>
  <c r="AF84" i="39"/>
  <c r="C85" i="39"/>
  <c r="D85" i="39"/>
  <c r="E85" i="39"/>
  <c r="F85" i="39"/>
  <c r="G85" i="39"/>
  <c r="H85" i="39"/>
  <c r="I85" i="39"/>
  <c r="J85" i="39"/>
  <c r="K85" i="39"/>
  <c r="L85" i="39"/>
  <c r="M85" i="39"/>
  <c r="N85" i="39"/>
  <c r="O85" i="39"/>
  <c r="P85" i="39"/>
  <c r="Q85" i="39"/>
  <c r="Q87" i="39" s="1"/>
  <c r="R85" i="39"/>
  <c r="S85" i="39"/>
  <c r="T85" i="39"/>
  <c r="U85" i="39"/>
  <c r="V85" i="39"/>
  <c r="V87" i="39" s="1"/>
  <c r="W85" i="39"/>
  <c r="X85" i="39"/>
  <c r="Y85" i="39"/>
  <c r="Z85" i="39"/>
  <c r="AA85" i="39"/>
  <c r="AB85" i="39"/>
  <c r="AC85" i="39"/>
  <c r="AD85" i="39"/>
  <c r="AE85" i="39"/>
  <c r="AE87" i="39" s="1"/>
  <c r="AF85" i="39"/>
  <c r="C72" i="39"/>
  <c r="D72" i="39"/>
  <c r="C5" i="39" s="1"/>
  <c r="E72" i="39"/>
  <c r="D5" i="39" s="1"/>
  <c r="F72" i="39"/>
  <c r="G72" i="39"/>
  <c r="H72" i="39"/>
  <c r="G5" i="39" s="1"/>
  <c r="I72" i="39"/>
  <c r="H5" i="39" s="1"/>
  <c r="J72" i="39"/>
  <c r="I5" i="39" s="1"/>
  <c r="K72" i="39"/>
  <c r="J5" i="39" s="1"/>
  <c r="L72" i="39"/>
  <c r="K5" i="39" s="1"/>
  <c r="M72" i="39"/>
  <c r="L5" i="39" s="1"/>
  <c r="N72" i="39"/>
  <c r="O72" i="39"/>
  <c r="P72" i="39"/>
  <c r="O5" i="39" s="1"/>
  <c r="Q72" i="39"/>
  <c r="P5" i="39" s="1"/>
  <c r="R72" i="39"/>
  <c r="Q5" i="39" s="1"/>
  <c r="S72" i="39"/>
  <c r="R5" i="39" s="1"/>
  <c r="T72" i="39"/>
  <c r="S5" i="39" s="1"/>
  <c r="U72" i="39"/>
  <c r="T5" i="39" s="1"/>
  <c r="V72" i="39"/>
  <c r="U5" i="39" s="1"/>
  <c r="W72" i="39"/>
  <c r="V5" i="39" s="1"/>
  <c r="X72" i="39"/>
  <c r="W5" i="39" s="1"/>
  <c r="Y72" i="39"/>
  <c r="X5" i="39" s="1"/>
  <c r="Z72" i="39"/>
  <c r="Y5" i="39" s="1"/>
  <c r="AA72" i="39"/>
  <c r="Z5" i="39" s="1"/>
  <c r="AB72" i="39"/>
  <c r="AA5" i="39" s="1"/>
  <c r="AC72" i="39"/>
  <c r="AB5" i="39" s="1"/>
  <c r="AD72" i="39"/>
  <c r="AC5" i="39" s="1"/>
  <c r="AE72" i="39"/>
  <c r="AD5" i="39" s="1"/>
  <c r="AF72" i="39"/>
  <c r="AE5" i="39" s="1"/>
  <c r="C60" i="39"/>
  <c r="D60" i="39"/>
  <c r="E60" i="39"/>
  <c r="F60" i="39"/>
  <c r="G60" i="39"/>
  <c r="H60" i="39"/>
  <c r="I60" i="39"/>
  <c r="J60" i="39"/>
  <c r="K60" i="39"/>
  <c r="L60" i="39"/>
  <c r="M60" i="39"/>
  <c r="N60" i="39"/>
  <c r="O60" i="39"/>
  <c r="P60" i="39"/>
  <c r="Q60" i="39"/>
  <c r="R60" i="39"/>
  <c r="S60" i="39"/>
  <c r="T60" i="39"/>
  <c r="U60" i="39"/>
  <c r="V60" i="39"/>
  <c r="W60" i="39"/>
  <c r="X60" i="39"/>
  <c r="Y60" i="39"/>
  <c r="Z60" i="39"/>
  <c r="AA60" i="39"/>
  <c r="AB60" i="39"/>
  <c r="AC60" i="39"/>
  <c r="AD60" i="39"/>
  <c r="AE60" i="39"/>
  <c r="AF60" i="39"/>
  <c r="C42" i="39"/>
  <c r="D42" i="39"/>
  <c r="E42" i="39"/>
  <c r="F42" i="39"/>
  <c r="G42" i="39"/>
  <c r="H42" i="39"/>
  <c r="I42" i="39"/>
  <c r="J42" i="39"/>
  <c r="K42" i="39"/>
  <c r="L42" i="39"/>
  <c r="M42" i="39"/>
  <c r="N42" i="39"/>
  <c r="O42" i="39"/>
  <c r="P42" i="39"/>
  <c r="Q42" i="39"/>
  <c r="R42" i="39"/>
  <c r="S42" i="39"/>
  <c r="T42" i="39"/>
  <c r="U42" i="39"/>
  <c r="V42" i="39"/>
  <c r="W42" i="39"/>
  <c r="X42" i="39"/>
  <c r="Y42" i="39"/>
  <c r="Z42" i="39"/>
  <c r="AA42" i="39"/>
  <c r="AB42" i="39"/>
  <c r="AC42" i="39"/>
  <c r="AD42" i="39"/>
  <c r="AE42" i="39"/>
  <c r="AF42" i="39"/>
  <c r="C38" i="39"/>
  <c r="D38" i="39"/>
  <c r="E38" i="39"/>
  <c r="F38" i="39"/>
  <c r="G38" i="39"/>
  <c r="H38" i="39"/>
  <c r="I38" i="39"/>
  <c r="J38" i="39"/>
  <c r="K38" i="39"/>
  <c r="L38" i="39"/>
  <c r="M38" i="39"/>
  <c r="N38" i="39"/>
  <c r="O38" i="39"/>
  <c r="P38" i="39"/>
  <c r="Q38" i="39"/>
  <c r="R38" i="39"/>
  <c r="S38" i="39"/>
  <c r="T38" i="39"/>
  <c r="U38" i="39"/>
  <c r="V38" i="39"/>
  <c r="W38" i="39"/>
  <c r="X38" i="39"/>
  <c r="Y38" i="39"/>
  <c r="Z38" i="39"/>
  <c r="AA38" i="39"/>
  <c r="AB38" i="39"/>
  <c r="AC38" i="39"/>
  <c r="AD38" i="39"/>
  <c r="AE38" i="39"/>
  <c r="AF38" i="39"/>
  <c r="C37" i="39"/>
  <c r="B37" i="39"/>
  <c r="B98" i="39"/>
  <c r="B85" i="39"/>
  <c r="B84" i="39"/>
  <c r="B83" i="39"/>
  <c r="B82" i="39"/>
  <c r="B81" i="39"/>
  <c r="B87" i="39" s="1"/>
  <c r="B72" i="39"/>
  <c r="AF5" i="39" s="1"/>
  <c r="B60" i="39"/>
  <c r="B56" i="39"/>
  <c r="B42" i="39"/>
  <c r="B38" i="39"/>
  <c r="AF259" i="39"/>
  <c r="AE259" i="39"/>
  <c r="AD259" i="39"/>
  <c r="AC259" i="39"/>
  <c r="AB259" i="39"/>
  <c r="AA259" i="39"/>
  <c r="Z259" i="39"/>
  <c r="Y259" i="39"/>
  <c r="X259" i="39"/>
  <c r="W259" i="39"/>
  <c r="V259" i="39"/>
  <c r="U259" i="39"/>
  <c r="T259" i="39"/>
  <c r="S259" i="39"/>
  <c r="R259" i="39"/>
  <c r="Q259" i="39"/>
  <c r="P259" i="39"/>
  <c r="O259" i="39"/>
  <c r="N259" i="39"/>
  <c r="M259" i="39"/>
  <c r="L259" i="39"/>
  <c r="K259" i="39"/>
  <c r="J259" i="39"/>
  <c r="I259" i="39"/>
  <c r="H259" i="39"/>
  <c r="G259" i="39"/>
  <c r="F259" i="39"/>
  <c r="E259" i="39"/>
  <c r="D259" i="39"/>
  <c r="C259" i="39"/>
  <c r="B259" i="39"/>
  <c r="A259" i="39"/>
  <c r="AF258" i="39"/>
  <c r="AE258" i="39"/>
  <c r="AD258" i="39"/>
  <c r="AC258" i="39"/>
  <c r="AB258" i="39"/>
  <c r="AA258" i="39"/>
  <c r="Z258" i="39"/>
  <c r="Y258" i="39"/>
  <c r="X258" i="39"/>
  <c r="W258" i="39"/>
  <c r="V258" i="39"/>
  <c r="U258" i="39"/>
  <c r="T258" i="39"/>
  <c r="S258" i="39"/>
  <c r="R258" i="39"/>
  <c r="Q258" i="39"/>
  <c r="P258" i="39"/>
  <c r="O258" i="39"/>
  <c r="N258" i="39"/>
  <c r="M258" i="39"/>
  <c r="L258" i="39"/>
  <c r="K258" i="39"/>
  <c r="J258" i="39"/>
  <c r="I258" i="39"/>
  <c r="H258" i="39"/>
  <c r="G258" i="39"/>
  <c r="F258" i="39"/>
  <c r="E258" i="39"/>
  <c r="D258" i="39"/>
  <c r="C258" i="39"/>
  <c r="B258" i="39"/>
  <c r="A258" i="39"/>
  <c r="AF257" i="39"/>
  <c r="AE257" i="39"/>
  <c r="AD257" i="39"/>
  <c r="AC257" i="39"/>
  <c r="AB257" i="39"/>
  <c r="AA257" i="39"/>
  <c r="Z257" i="39"/>
  <c r="Y257" i="39"/>
  <c r="X257" i="39"/>
  <c r="W257" i="39"/>
  <c r="V257" i="39"/>
  <c r="U257" i="39"/>
  <c r="T257" i="39"/>
  <c r="S257" i="39"/>
  <c r="R257" i="39"/>
  <c r="Q257" i="39"/>
  <c r="P257" i="39"/>
  <c r="O257" i="39"/>
  <c r="N257" i="39"/>
  <c r="M257" i="39"/>
  <c r="L257" i="39"/>
  <c r="K257" i="39"/>
  <c r="J257" i="39"/>
  <c r="I257" i="39"/>
  <c r="H257" i="39"/>
  <c r="G257" i="39"/>
  <c r="F257" i="39"/>
  <c r="E257" i="39"/>
  <c r="D257" i="39"/>
  <c r="C257" i="39"/>
  <c r="B257" i="39"/>
  <c r="A257" i="39"/>
  <c r="AF256" i="39"/>
  <c r="AE256" i="39"/>
  <c r="AD256" i="39"/>
  <c r="AC256" i="39"/>
  <c r="AB256" i="39"/>
  <c r="AA256" i="39"/>
  <c r="Z256" i="39"/>
  <c r="Y256" i="39"/>
  <c r="X256" i="39"/>
  <c r="W256" i="39"/>
  <c r="V256" i="39"/>
  <c r="U256" i="39"/>
  <c r="T256" i="39"/>
  <c r="S256" i="39"/>
  <c r="R256" i="39"/>
  <c r="Q256" i="39"/>
  <c r="P256" i="39"/>
  <c r="O256" i="39"/>
  <c r="N256" i="39"/>
  <c r="M256" i="39"/>
  <c r="L256" i="39"/>
  <c r="K256" i="39"/>
  <c r="J256" i="39"/>
  <c r="I256" i="39"/>
  <c r="H256" i="39"/>
  <c r="G256" i="39"/>
  <c r="F256" i="39"/>
  <c r="E256" i="39"/>
  <c r="D256" i="39"/>
  <c r="C256" i="39"/>
  <c r="B256" i="39"/>
  <c r="A256" i="39"/>
  <c r="AE255" i="39"/>
  <c r="AD255" i="39"/>
  <c r="AC255" i="39"/>
  <c r="AB255" i="39"/>
  <c r="AA255" i="39"/>
  <c r="Z255" i="39"/>
  <c r="Y255" i="39"/>
  <c r="X255" i="39"/>
  <c r="W255" i="39"/>
  <c r="V255" i="39"/>
  <c r="U255" i="39"/>
  <c r="T255" i="39"/>
  <c r="S255" i="39"/>
  <c r="R255" i="39"/>
  <c r="Q255" i="39"/>
  <c r="P255" i="39"/>
  <c r="C255" i="39"/>
  <c r="B255" i="39"/>
  <c r="S230" i="39"/>
  <c r="AG220" i="39"/>
  <c r="AF220" i="39"/>
  <c r="AE220" i="39"/>
  <c r="AD220" i="39"/>
  <c r="AC220" i="39"/>
  <c r="AB220" i="39"/>
  <c r="AA220" i="39"/>
  <c r="Z220" i="39"/>
  <c r="Y220" i="39"/>
  <c r="X220" i="39"/>
  <c r="W220" i="39"/>
  <c r="V220" i="39"/>
  <c r="U220" i="39"/>
  <c r="T220" i="39"/>
  <c r="S220" i="39"/>
  <c r="R220" i="39"/>
  <c r="Q220" i="39"/>
  <c r="C220" i="39"/>
  <c r="E219" i="39"/>
  <c r="D255" i="39" s="1"/>
  <c r="D219" i="39"/>
  <c r="B219" i="39"/>
  <c r="AF255" i="39" s="1"/>
  <c r="D218" i="39"/>
  <c r="E218" i="39" s="1"/>
  <c r="F218" i="39" s="1"/>
  <c r="G218" i="39" s="1"/>
  <c r="H218" i="39" s="1"/>
  <c r="I218" i="39" s="1"/>
  <c r="J218" i="39" s="1"/>
  <c r="K218" i="39" s="1"/>
  <c r="L218" i="39" s="1"/>
  <c r="M218" i="39" s="1"/>
  <c r="N218" i="39" s="1"/>
  <c r="O218" i="39" s="1"/>
  <c r="P218" i="39" s="1"/>
  <c r="B218" i="39"/>
  <c r="E217" i="39"/>
  <c r="F217" i="39" s="1"/>
  <c r="G217" i="39" s="1"/>
  <c r="H217" i="39" s="1"/>
  <c r="I217" i="39" s="1"/>
  <c r="J217" i="39" s="1"/>
  <c r="K217" i="39" s="1"/>
  <c r="L217" i="39" s="1"/>
  <c r="M217" i="39" s="1"/>
  <c r="N217" i="39" s="1"/>
  <c r="O217" i="39" s="1"/>
  <c r="P217" i="39" s="1"/>
  <c r="D217" i="39"/>
  <c r="B217" i="39"/>
  <c r="D216" i="39"/>
  <c r="E216" i="39" s="1"/>
  <c r="F216" i="39" s="1"/>
  <c r="G216" i="39" s="1"/>
  <c r="H216" i="39" s="1"/>
  <c r="I216" i="39" s="1"/>
  <c r="J216" i="39" s="1"/>
  <c r="K216" i="39" s="1"/>
  <c r="L216" i="39" s="1"/>
  <c r="M216" i="39" s="1"/>
  <c r="N216" i="39" s="1"/>
  <c r="O216" i="39" s="1"/>
  <c r="P216" i="39" s="1"/>
  <c r="B216" i="39"/>
  <c r="E215" i="39"/>
  <c r="F215" i="39" s="1"/>
  <c r="G215" i="39" s="1"/>
  <c r="H215" i="39" s="1"/>
  <c r="I215" i="39" s="1"/>
  <c r="J215" i="39" s="1"/>
  <c r="K215" i="39" s="1"/>
  <c r="L215" i="39" s="1"/>
  <c r="M215" i="39" s="1"/>
  <c r="N215" i="39" s="1"/>
  <c r="O215" i="39" s="1"/>
  <c r="P215" i="39" s="1"/>
  <c r="D215" i="39"/>
  <c r="B215" i="39"/>
  <c r="D214" i="39"/>
  <c r="D220" i="39" s="1"/>
  <c r="B214" i="39"/>
  <c r="B220" i="39" s="1"/>
  <c r="AG212" i="39"/>
  <c r="AF212" i="39"/>
  <c r="AE212" i="39"/>
  <c r="AD212" i="39"/>
  <c r="AC212" i="39"/>
  <c r="AB212" i="39"/>
  <c r="AA212" i="39"/>
  <c r="Z212" i="39"/>
  <c r="Y212" i="39"/>
  <c r="X212" i="39"/>
  <c r="W212" i="39"/>
  <c r="V212" i="39"/>
  <c r="U212" i="39"/>
  <c r="T212" i="39"/>
  <c r="S212" i="39"/>
  <c r="R212" i="39"/>
  <c r="Q212" i="39"/>
  <c r="P212" i="39"/>
  <c r="O212" i="39"/>
  <c r="N212" i="39"/>
  <c r="M212" i="39"/>
  <c r="L212" i="39"/>
  <c r="K212" i="39"/>
  <c r="J212" i="39"/>
  <c r="I212" i="39"/>
  <c r="H212" i="39"/>
  <c r="G212" i="39"/>
  <c r="F212" i="39"/>
  <c r="E212" i="39"/>
  <c r="D212" i="39"/>
  <c r="C212" i="39"/>
  <c r="B212" i="39"/>
  <c r="AH105" i="39"/>
  <c r="AI105" i="39" s="1"/>
  <c r="AH104" i="39"/>
  <c r="AI104" i="39" s="1"/>
  <c r="AH103" i="39"/>
  <c r="AI103" i="39" s="1"/>
  <c r="AH102" i="39"/>
  <c r="AI102" i="39" s="1"/>
  <c r="AH101" i="39"/>
  <c r="AI101" i="39" s="1"/>
  <c r="AH100" i="39"/>
  <c r="AI100" i="39" s="1"/>
  <c r="AH99" i="39"/>
  <c r="AI99" i="39" s="1"/>
  <c r="AI97" i="39"/>
  <c r="AH97" i="39"/>
  <c r="AI96" i="39"/>
  <c r="AH96" i="39"/>
  <c r="AI95" i="39"/>
  <c r="AH95" i="39"/>
  <c r="AI94" i="39"/>
  <c r="AH94" i="39"/>
  <c r="AI93" i="39"/>
  <c r="AH93" i="39"/>
  <c r="AI92" i="39"/>
  <c r="AH92" i="39"/>
  <c r="AI91" i="39"/>
  <c r="AH91" i="39"/>
  <c r="AI90" i="39"/>
  <c r="AH90" i="39"/>
  <c r="AI89" i="39"/>
  <c r="AH89" i="39"/>
  <c r="AI86" i="39"/>
  <c r="AH86" i="39"/>
  <c r="AI78" i="39"/>
  <c r="AH78" i="39"/>
  <c r="AI76" i="39"/>
  <c r="AH76" i="39"/>
  <c r="AG76" i="39"/>
  <c r="AI75" i="39"/>
  <c r="AH75" i="39"/>
  <c r="AI74" i="39"/>
  <c r="AH74" i="39"/>
  <c r="AI73" i="39"/>
  <c r="AH73" i="39"/>
  <c r="AG72" i="39"/>
  <c r="AI71" i="39"/>
  <c r="AH71" i="39"/>
  <c r="AI70" i="39"/>
  <c r="AH70" i="39"/>
  <c r="AI69" i="39"/>
  <c r="AH69" i="39"/>
  <c r="AI68" i="39"/>
  <c r="AH68" i="39"/>
  <c r="AI67" i="39"/>
  <c r="AH67" i="39"/>
  <c r="AI66" i="39"/>
  <c r="AH66" i="39"/>
  <c r="AI65" i="39"/>
  <c r="AH65" i="39"/>
  <c r="AI64" i="39"/>
  <c r="AH64" i="39"/>
  <c r="AI63" i="39"/>
  <c r="AH63" i="39"/>
  <c r="AI62" i="39"/>
  <c r="AH62" i="39"/>
  <c r="AI61" i="39"/>
  <c r="AH61" i="39"/>
  <c r="AG60" i="39"/>
  <c r="AI59" i="39"/>
  <c r="AH59" i="39"/>
  <c r="AI58" i="39"/>
  <c r="AH58" i="39"/>
  <c r="AI57" i="39"/>
  <c r="AH57" i="39"/>
  <c r="AI55" i="39"/>
  <c r="AH55" i="39"/>
  <c r="AG55" i="39"/>
  <c r="AG3" i="39" s="1"/>
  <c r="AI54" i="39"/>
  <c r="AH54" i="39"/>
  <c r="AI53" i="39"/>
  <c r="AH53" i="39"/>
  <c r="AI52" i="39"/>
  <c r="AH52" i="39"/>
  <c r="AI51" i="39"/>
  <c r="AH51" i="39"/>
  <c r="AI50" i="39"/>
  <c r="AH50" i="39"/>
  <c r="AI49" i="39"/>
  <c r="AH49" i="39"/>
  <c r="AI48" i="39"/>
  <c r="AH48" i="39"/>
  <c r="AI47" i="39"/>
  <c r="AH47" i="39"/>
  <c r="AI46" i="39"/>
  <c r="AH46" i="39"/>
  <c r="AI45" i="39"/>
  <c r="AH45" i="39"/>
  <c r="AI44" i="39"/>
  <c r="AH44" i="39"/>
  <c r="AI43" i="39"/>
  <c r="AH43" i="39"/>
  <c r="AG42" i="39"/>
  <c r="AI41" i="39"/>
  <c r="AH41" i="39"/>
  <c r="AI40" i="39"/>
  <c r="AH40" i="39"/>
  <c r="AI39" i="39"/>
  <c r="AH39" i="39"/>
  <c r="AG38" i="39"/>
  <c r="AI36" i="39"/>
  <c r="AH36" i="39"/>
  <c r="AI35" i="39"/>
  <c r="AH35" i="39"/>
  <c r="AI34" i="39"/>
  <c r="AH34" i="39"/>
  <c r="AI33" i="39"/>
  <c r="AH33" i="39"/>
  <c r="AI32" i="39"/>
  <c r="AH32" i="39"/>
  <c r="AI31" i="39"/>
  <c r="AH31" i="39"/>
  <c r="AI30" i="39"/>
  <c r="AH30" i="39"/>
  <c r="AI29" i="39"/>
  <c r="AH29" i="39"/>
  <c r="AI28" i="39"/>
  <c r="AH28" i="39"/>
  <c r="AI27" i="39"/>
  <c r="AH27" i="39"/>
  <c r="AI26" i="39"/>
  <c r="AH26" i="39"/>
  <c r="AI25" i="39"/>
  <c r="AH25" i="39"/>
  <c r="AI24" i="39"/>
  <c r="AH24" i="39"/>
  <c r="AI23" i="39"/>
  <c r="AH23" i="39"/>
  <c r="AI22" i="39"/>
  <c r="AH22" i="39"/>
  <c r="AI21" i="39"/>
  <c r="AH21" i="39"/>
  <c r="AI20" i="39"/>
  <c r="AH20" i="39"/>
  <c r="AI19" i="39"/>
  <c r="AH19" i="39"/>
  <c r="AI18" i="39"/>
  <c r="AH18" i="39"/>
  <c r="AI17" i="39"/>
  <c r="AH17" i="39"/>
  <c r="AI16" i="39"/>
  <c r="AH16" i="39"/>
  <c r="AI15" i="39"/>
  <c r="AH15" i="39"/>
  <c r="AI14" i="39"/>
  <c r="AH14" i="39"/>
  <c r="AI13" i="39"/>
  <c r="AH13" i="39"/>
  <c r="AI12" i="39"/>
  <c r="AH12" i="39"/>
  <c r="AI11" i="39"/>
  <c r="AH11" i="39"/>
  <c r="B5" i="39"/>
  <c r="AG4" i="39"/>
  <c r="K4" i="39"/>
  <c r="B4" i="39"/>
  <c r="S231" i="39" s="1"/>
  <c r="AG2" i="39"/>
  <c r="AF37" i="37"/>
  <c r="AF38" i="37"/>
  <c r="AF77" i="37" s="1"/>
  <c r="AF79" i="37" s="1"/>
  <c r="AF80" i="37" s="1"/>
  <c r="AF42" i="37"/>
  <c r="AF56" i="37"/>
  <c r="AF60" i="37"/>
  <c r="AF72" i="37"/>
  <c r="AF81" i="37"/>
  <c r="AF87" i="37" s="1"/>
  <c r="AF82" i="37"/>
  <c r="AF83" i="37"/>
  <c r="AF84" i="37"/>
  <c r="AF85" i="37"/>
  <c r="AF98" i="37"/>
  <c r="AF212" i="37"/>
  <c r="AF220" i="37"/>
  <c r="E4" i="39"/>
  <c r="AF87" i="39" l="1"/>
  <c r="AF88" i="39"/>
  <c r="AF77" i="39"/>
  <c r="AF79" i="39" s="1"/>
  <c r="AF80" i="39" s="1"/>
  <c r="AE88" i="39"/>
  <c r="AE77" i="39"/>
  <c r="AE79" i="39" s="1"/>
  <c r="AE80" i="39" s="1"/>
  <c r="AD87" i="39"/>
  <c r="AD88" i="39"/>
  <c r="AD77" i="39"/>
  <c r="AD79" i="39" s="1"/>
  <c r="AD80" i="39" s="1"/>
  <c r="AC88" i="39"/>
  <c r="AC77" i="39"/>
  <c r="AC79" i="39" s="1"/>
  <c r="AC80" i="39" s="1"/>
  <c r="AB87" i="39"/>
  <c r="AB77" i="39"/>
  <c r="AB79" i="39" s="1"/>
  <c r="AB80" i="39" s="1"/>
  <c r="AB88" i="39"/>
  <c r="AA87" i="39"/>
  <c r="AA88" i="39"/>
  <c r="AA77" i="39"/>
  <c r="AA79" i="39" s="1"/>
  <c r="AA80" i="39" s="1"/>
  <c r="Z87" i="39"/>
  <c r="Z88" i="39"/>
  <c r="Z77" i="39"/>
  <c r="Z79" i="39" s="1"/>
  <c r="AR234" i="39" s="1"/>
  <c r="Y87" i="39"/>
  <c r="Y88" i="39"/>
  <c r="Y77" i="39"/>
  <c r="Y79" i="39" s="1"/>
  <c r="AQ234" i="39" s="1"/>
  <c r="X87" i="39"/>
  <c r="X88" i="39"/>
  <c r="X77" i="39"/>
  <c r="X79" i="39" s="1"/>
  <c r="X80" i="39" s="1"/>
  <c r="W87" i="39"/>
  <c r="W88" i="39"/>
  <c r="W77" i="39"/>
  <c r="W79" i="39" s="1"/>
  <c r="W80" i="39" s="1"/>
  <c r="V88" i="39"/>
  <c r="V77" i="39"/>
  <c r="V79" i="39" s="1"/>
  <c r="V80" i="39" s="1"/>
  <c r="U88" i="39"/>
  <c r="U77" i="39"/>
  <c r="U79" i="39" s="1"/>
  <c r="U80" i="39" s="1"/>
  <c r="T77" i="39"/>
  <c r="T79" i="39" s="1"/>
  <c r="T80" i="39" s="1"/>
  <c r="S88" i="39"/>
  <c r="S77" i="39"/>
  <c r="S79" i="39" s="1"/>
  <c r="S80" i="39" s="1"/>
  <c r="R87" i="39"/>
  <c r="R88" i="39"/>
  <c r="R77" i="39"/>
  <c r="R79" i="39" s="1"/>
  <c r="R80" i="39" s="1"/>
  <c r="Q88" i="39"/>
  <c r="Q77" i="39"/>
  <c r="Q79" i="39" s="1"/>
  <c r="Q80" i="39" s="1"/>
  <c r="P87" i="39"/>
  <c r="P77" i="39"/>
  <c r="P79" i="39" s="1"/>
  <c r="P80" i="39" s="1"/>
  <c r="P88" i="39"/>
  <c r="O87" i="39"/>
  <c r="O88" i="39" s="1"/>
  <c r="N5" i="39"/>
  <c r="O77" i="39"/>
  <c r="O79" i="39" s="1"/>
  <c r="N87" i="39"/>
  <c r="N88" i="39"/>
  <c r="M5" i="39"/>
  <c r="N77" i="39"/>
  <c r="N79" i="39" s="1"/>
  <c r="N80" i="39" s="1"/>
  <c r="M87" i="39"/>
  <c r="M88" i="39"/>
  <c r="M77" i="39"/>
  <c r="M79" i="39" s="1"/>
  <c r="M80" i="39" s="1"/>
  <c r="L87" i="39"/>
  <c r="L88" i="39"/>
  <c r="AI85" i="39"/>
  <c r="L77" i="39"/>
  <c r="L79" i="39" s="1"/>
  <c r="L80" i="39" s="1"/>
  <c r="K87" i="39"/>
  <c r="AI84" i="39"/>
  <c r="K88" i="39"/>
  <c r="K77" i="39"/>
  <c r="K79" i="39" s="1"/>
  <c r="K80" i="39" s="1"/>
  <c r="J87" i="39"/>
  <c r="J88" i="39"/>
  <c r="J77" i="39"/>
  <c r="J79" i="39" s="1"/>
  <c r="J7" i="39" s="1"/>
  <c r="I87" i="39"/>
  <c r="I88" i="39"/>
  <c r="I77" i="39"/>
  <c r="I79" i="39" s="1"/>
  <c r="I80" i="39" s="1"/>
  <c r="H87" i="39"/>
  <c r="H88" i="39"/>
  <c r="H77" i="39"/>
  <c r="H79" i="39" s="1"/>
  <c r="H7" i="39" s="1"/>
  <c r="G87" i="39"/>
  <c r="G88" i="39"/>
  <c r="F5" i="39"/>
  <c r="G77" i="39"/>
  <c r="G79" i="39" s="1"/>
  <c r="G80" i="39" s="1"/>
  <c r="AI37" i="39"/>
  <c r="AI81" i="39"/>
  <c r="F87" i="39"/>
  <c r="F88" i="39"/>
  <c r="E5" i="39"/>
  <c r="F77" i="39"/>
  <c r="F79" i="39" s="1"/>
  <c r="F80" i="39" s="1"/>
  <c r="C77" i="39"/>
  <c r="C79" i="39" s="1"/>
  <c r="C80" i="39" s="1"/>
  <c r="E87" i="39"/>
  <c r="E88" i="39" s="1"/>
  <c r="AH82" i="39"/>
  <c r="AH60" i="39"/>
  <c r="AI42" i="39"/>
  <c r="AH37" i="39"/>
  <c r="AI83" i="39"/>
  <c r="E77" i="39"/>
  <c r="E79" i="39" s="1"/>
  <c r="D87" i="39"/>
  <c r="D88" i="39" s="1"/>
  <c r="AH56" i="39"/>
  <c r="D77" i="39"/>
  <c r="D79" i="39" s="1"/>
  <c r="D80" i="39" s="1"/>
  <c r="AI38" i="39"/>
  <c r="Z80" i="39"/>
  <c r="H80" i="39"/>
  <c r="AI82" i="39"/>
  <c r="B77" i="39"/>
  <c r="B79" i="39" s="1"/>
  <c r="B80" i="39" s="1"/>
  <c r="B88" i="39"/>
  <c r="H4" i="39"/>
  <c r="AW234" i="39"/>
  <c r="P7" i="39"/>
  <c r="AH234" i="39"/>
  <c r="Q7" i="39"/>
  <c r="AI234" i="39"/>
  <c r="AG77" i="39"/>
  <c r="X7" i="39"/>
  <c r="AP234" i="39"/>
  <c r="AA234" i="39"/>
  <c r="Y7" i="39"/>
  <c r="R7" i="39"/>
  <c r="AJ234" i="39"/>
  <c r="U234" i="39"/>
  <c r="C7" i="39"/>
  <c r="S7" i="39"/>
  <c r="AV234" i="39"/>
  <c r="AD7" i="39"/>
  <c r="AB7" i="39"/>
  <c r="AG6" i="39"/>
  <c r="AI56" i="39"/>
  <c r="AI60" i="39"/>
  <c r="AI72" i="39"/>
  <c r="AH83" i="39"/>
  <c r="D231" i="39"/>
  <c r="AH84" i="39"/>
  <c r="AH38" i="39"/>
  <c r="AH42" i="39"/>
  <c r="AH85" i="39"/>
  <c r="F219" i="39"/>
  <c r="E214" i="39"/>
  <c r="AH81" i="39"/>
  <c r="AH72" i="39"/>
  <c r="AF88" i="37"/>
  <c r="AX234" i="39" l="1"/>
  <c r="AF7" i="39"/>
  <c r="AE7" i="39"/>
  <c r="AC7" i="39"/>
  <c r="AU234" i="39"/>
  <c r="AT234" i="39"/>
  <c r="Z7" i="39"/>
  <c r="AS234" i="39"/>
  <c r="AA7" i="39"/>
  <c r="W7" i="39"/>
  <c r="U7" i="39"/>
  <c r="AO234" i="39"/>
  <c r="AM234" i="39"/>
  <c r="Y80" i="39"/>
  <c r="AN234" i="39"/>
  <c r="V7" i="39"/>
  <c r="AK234" i="39"/>
  <c r="AL234" i="39"/>
  <c r="T7" i="39"/>
  <c r="O80" i="39"/>
  <c r="AF234" i="39"/>
  <c r="O7" i="39"/>
  <c r="AG234" i="39"/>
  <c r="N7" i="39"/>
  <c r="AE234" i="39"/>
  <c r="M7" i="39"/>
  <c r="L7" i="39"/>
  <c r="AD234" i="39"/>
  <c r="K7" i="39"/>
  <c r="AC234" i="39"/>
  <c r="AB234" i="39"/>
  <c r="J80" i="39"/>
  <c r="I7" i="39"/>
  <c r="Z234" i="39"/>
  <c r="G7" i="39"/>
  <c r="Y234" i="39"/>
  <c r="B229" i="39"/>
  <c r="C229" i="39"/>
  <c r="F7" i="39"/>
  <c r="X234" i="39"/>
  <c r="E80" i="39"/>
  <c r="E7" i="39"/>
  <c r="W234" i="39"/>
  <c r="D7" i="39"/>
  <c r="V234" i="39"/>
  <c r="E255" i="39"/>
  <c r="G219" i="39"/>
  <c r="AI87" i="39"/>
  <c r="AH87" i="39"/>
  <c r="AI77" i="39"/>
  <c r="AH77" i="39"/>
  <c r="F214" i="39"/>
  <c r="E220" i="39"/>
  <c r="AI88" i="39"/>
  <c r="AH88" i="39"/>
  <c r="K6" i="39" l="1"/>
  <c r="F255" i="39"/>
  <c r="H219" i="39"/>
  <c r="AH80" i="39"/>
  <c r="B7" i="39"/>
  <c r="A7" i="39" s="1"/>
  <c r="AI79" i="39"/>
  <c r="AH79" i="39"/>
  <c r="T234" i="39"/>
  <c r="G214" i="39"/>
  <c r="F220" i="39"/>
  <c r="G255" i="39" l="1"/>
  <c r="I219" i="39"/>
  <c r="H214" i="39"/>
  <c r="G220" i="39"/>
  <c r="AE37" i="37"/>
  <c r="I214" i="39" l="1"/>
  <c r="H220" i="39"/>
  <c r="H255" i="39"/>
  <c r="J219" i="39"/>
  <c r="K219" i="39" l="1"/>
  <c r="I255" i="39"/>
  <c r="I220" i="39"/>
  <c r="J214" i="39"/>
  <c r="J220" i="39" l="1"/>
  <c r="K214" i="39"/>
  <c r="J255" i="39"/>
  <c r="L219" i="39"/>
  <c r="K255" i="39" l="1"/>
  <c r="M219" i="39"/>
  <c r="K220" i="39"/>
  <c r="L214" i="39"/>
  <c r="L220" i="39" l="1"/>
  <c r="M214" i="39"/>
  <c r="L255" i="39"/>
  <c r="N219" i="39"/>
  <c r="M255" i="39" l="1"/>
  <c r="O219" i="39"/>
  <c r="N214" i="39"/>
  <c r="M220" i="39"/>
  <c r="O214" i="39" l="1"/>
  <c r="N220" i="39"/>
  <c r="N255" i="39"/>
  <c r="P219" i="39"/>
  <c r="O255" i="39" s="1"/>
  <c r="P214" i="39" l="1"/>
  <c r="O220" i="39"/>
  <c r="P220" i="39" l="1"/>
  <c r="AH98" i="39" l="1"/>
  <c r="AI98" i="39"/>
  <c r="AD37" i="37" l="1"/>
  <c r="AC37" i="37"/>
  <c r="AB37" i="37"/>
  <c r="AA37" i="37" l="1"/>
  <c r="Z37" i="37" l="1"/>
  <c r="Y37" i="37"/>
  <c r="X37" i="37" l="1"/>
  <c r="X38" i="37"/>
  <c r="W37" i="37" l="1"/>
  <c r="V37" i="37"/>
  <c r="U37" i="37"/>
  <c r="T37" i="37"/>
  <c r="S37" i="37"/>
  <c r="B38" i="37" l="1"/>
  <c r="AI31" i="37"/>
  <c r="AH31" i="37"/>
  <c r="AF259" i="37" l="1"/>
  <c r="AE259" i="37"/>
  <c r="AD259" i="37"/>
  <c r="AC259" i="37"/>
  <c r="AB259" i="37"/>
  <c r="AA259" i="37"/>
  <c r="Z259" i="37"/>
  <c r="Y259" i="37"/>
  <c r="X259" i="37"/>
  <c r="W259" i="37"/>
  <c r="V259" i="37"/>
  <c r="U259" i="37"/>
  <c r="T259" i="37"/>
  <c r="S259" i="37"/>
  <c r="R259" i="37"/>
  <c r="Q259" i="37"/>
  <c r="P259" i="37"/>
  <c r="O259" i="37"/>
  <c r="N259" i="37"/>
  <c r="M259" i="37"/>
  <c r="L259" i="37"/>
  <c r="K259" i="37"/>
  <c r="J259" i="37"/>
  <c r="I259" i="37"/>
  <c r="H259" i="37"/>
  <c r="G259" i="37"/>
  <c r="F259" i="37"/>
  <c r="E259" i="37"/>
  <c r="D259" i="37"/>
  <c r="C259" i="37"/>
  <c r="B259" i="37"/>
  <c r="A259" i="37"/>
  <c r="AF258" i="37"/>
  <c r="AE258" i="37"/>
  <c r="AD258" i="37"/>
  <c r="AC258" i="37"/>
  <c r="AB258" i="37"/>
  <c r="AA258" i="37"/>
  <c r="Z258" i="37"/>
  <c r="Y258" i="37"/>
  <c r="X258" i="37"/>
  <c r="W258" i="37"/>
  <c r="V258" i="37"/>
  <c r="U258" i="37"/>
  <c r="T258" i="37"/>
  <c r="S258" i="37"/>
  <c r="R258" i="37"/>
  <c r="Q258" i="37"/>
  <c r="P258" i="37"/>
  <c r="O258" i="37"/>
  <c r="N258" i="37"/>
  <c r="M258" i="37"/>
  <c r="L258" i="37"/>
  <c r="K258" i="37"/>
  <c r="J258" i="37"/>
  <c r="I258" i="37"/>
  <c r="H258" i="37"/>
  <c r="G258" i="37"/>
  <c r="F258" i="37"/>
  <c r="E258" i="37"/>
  <c r="D258" i="37"/>
  <c r="C258" i="37"/>
  <c r="B258" i="37"/>
  <c r="A258" i="37"/>
  <c r="AF257" i="37"/>
  <c r="AE257" i="37"/>
  <c r="AD257" i="37"/>
  <c r="AC257" i="37"/>
  <c r="AB257" i="37"/>
  <c r="AA257" i="37"/>
  <c r="Z257" i="37"/>
  <c r="Y257" i="37"/>
  <c r="X257" i="37"/>
  <c r="W257" i="37"/>
  <c r="V257" i="37"/>
  <c r="U257" i="37"/>
  <c r="T257" i="37"/>
  <c r="S257" i="37"/>
  <c r="R257" i="37"/>
  <c r="Q257" i="37"/>
  <c r="P257" i="37"/>
  <c r="O257" i="37"/>
  <c r="N257" i="37"/>
  <c r="M257" i="37"/>
  <c r="L257" i="37"/>
  <c r="K257" i="37"/>
  <c r="J257" i="37"/>
  <c r="I257" i="37"/>
  <c r="H257" i="37"/>
  <c r="G257" i="37"/>
  <c r="F257" i="37"/>
  <c r="E257" i="37"/>
  <c r="D257" i="37"/>
  <c r="C257" i="37"/>
  <c r="B257" i="37"/>
  <c r="A257" i="37"/>
  <c r="AF256" i="37"/>
  <c r="AE256" i="37"/>
  <c r="AD256" i="37"/>
  <c r="AC256" i="37"/>
  <c r="AB256" i="37"/>
  <c r="AA256" i="37"/>
  <c r="Z256" i="37"/>
  <c r="Y256" i="37"/>
  <c r="X256" i="37"/>
  <c r="W256" i="37"/>
  <c r="V256" i="37"/>
  <c r="U256" i="37"/>
  <c r="T256" i="37"/>
  <c r="S256" i="37"/>
  <c r="R256" i="37"/>
  <c r="Q256" i="37"/>
  <c r="P256" i="37"/>
  <c r="O256" i="37"/>
  <c r="N256" i="37"/>
  <c r="M256" i="37"/>
  <c r="L256" i="37"/>
  <c r="K256" i="37"/>
  <c r="J256" i="37"/>
  <c r="I256" i="37"/>
  <c r="H256" i="37"/>
  <c r="G256" i="37"/>
  <c r="F256" i="37"/>
  <c r="E256" i="37"/>
  <c r="D256" i="37"/>
  <c r="C256" i="37"/>
  <c r="B256" i="37"/>
  <c r="A256" i="37"/>
  <c r="AE255" i="37"/>
  <c r="AD255" i="37"/>
  <c r="AC255" i="37"/>
  <c r="AB255" i="37"/>
  <c r="AA255" i="37"/>
  <c r="Z255" i="37"/>
  <c r="Y255" i="37"/>
  <c r="X255" i="37"/>
  <c r="W255" i="37"/>
  <c r="V255" i="37"/>
  <c r="U255" i="37"/>
  <c r="T255" i="37"/>
  <c r="S255" i="37"/>
  <c r="R255" i="37"/>
  <c r="Q255" i="37"/>
  <c r="P255" i="37"/>
  <c r="B255" i="37"/>
  <c r="S230" i="37"/>
  <c r="AG220" i="37"/>
  <c r="AG55" i="37" s="1"/>
  <c r="AG56" i="37" s="1"/>
  <c r="AG3" i="37" s="1"/>
  <c r="AE220" i="37"/>
  <c r="AD220" i="37"/>
  <c r="AC220" i="37"/>
  <c r="AB220" i="37"/>
  <c r="AA220" i="37"/>
  <c r="Z220" i="37"/>
  <c r="Y220" i="37"/>
  <c r="X220" i="37"/>
  <c r="W220" i="37"/>
  <c r="V220" i="37"/>
  <c r="U220" i="37"/>
  <c r="T220" i="37"/>
  <c r="S220" i="37"/>
  <c r="R220" i="37"/>
  <c r="Q220" i="37"/>
  <c r="C220" i="37"/>
  <c r="D219" i="37"/>
  <c r="E219" i="37" s="1"/>
  <c r="B219" i="37"/>
  <c r="AF255" i="37" s="1"/>
  <c r="D218" i="37"/>
  <c r="E218" i="37" s="1"/>
  <c r="F218" i="37" s="1"/>
  <c r="G218" i="37" s="1"/>
  <c r="H218" i="37" s="1"/>
  <c r="I218" i="37" s="1"/>
  <c r="J218" i="37" s="1"/>
  <c r="K218" i="37" s="1"/>
  <c r="L218" i="37" s="1"/>
  <c r="M218" i="37" s="1"/>
  <c r="N218" i="37" s="1"/>
  <c r="O218" i="37" s="1"/>
  <c r="P218" i="37" s="1"/>
  <c r="B218" i="37"/>
  <c r="D217" i="37"/>
  <c r="E217" i="37" s="1"/>
  <c r="F217" i="37" s="1"/>
  <c r="G217" i="37" s="1"/>
  <c r="H217" i="37" s="1"/>
  <c r="I217" i="37" s="1"/>
  <c r="J217" i="37" s="1"/>
  <c r="K217" i="37" s="1"/>
  <c r="L217" i="37" s="1"/>
  <c r="M217" i="37" s="1"/>
  <c r="N217" i="37" s="1"/>
  <c r="O217" i="37" s="1"/>
  <c r="P217" i="37" s="1"/>
  <c r="B217" i="37"/>
  <c r="D216" i="37"/>
  <c r="E216" i="37" s="1"/>
  <c r="F216" i="37" s="1"/>
  <c r="G216" i="37" s="1"/>
  <c r="H216" i="37" s="1"/>
  <c r="I216" i="37" s="1"/>
  <c r="J216" i="37" s="1"/>
  <c r="K216" i="37" s="1"/>
  <c r="L216" i="37" s="1"/>
  <c r="M216" i="37" s="1"/>
  <c r="N216" i="37" s="1"/>
  <c r="O216" i="37" s="1"/>
  <c r="P216" i="37" s="1"/>
  <c r="B216" i="37"/>
  <c r="D215" i="37"/>
  <c r="E215" i="37" s="1"/>
  <c r="F215" i="37" s="1"/>
  <c r="G215" i="37" s="1"/>
  <c r="H215" i="37" s="1"/>
  <c r="I215" i="37" s="1"/>
  <c r="J215" i="37" s="1"/>
  <c r="K215" i="37" s="1"/>
  <c r="L215" i="37" s="1"/>
  <c r="M215" i="37" s="1"/>
  <c r="N215" i="37" s="1"/>
  <c r="O215" i="37" s="1"/>
  <c r="P215" i="37" s="1"/>
  <c r="B215" i="37"/>
  <c r="D214" i="37"/>
  <c r="B214" i="37"/>
  <c r="AG212" i="37"/>
  <c r="AE212" i="37"/>
  <c r="AD212" i="37"/>
  <c r="AC212" i="37"/>
  <c r="AB212" i="37"/>
  <c r="AA212" i="37"/>
  <c r="Z212" i="37"/>
  <c r="Y212" i="37"/>
  <c r="X212" i="37"/>
  <c r="W212" i="37"/>
  <c r="V212" i="37"/>
  <c r="U212" i="37"/>
  <c r="T212" i="37"/>
  <c r="S212" i="37"/>
  <c r="R212" i="37"/>
  <c r="Q212" i="37"/>
  <c r="P212" i="37"/>
  <c r="O212" i="37"/>
  <c r="N212" i="37"/>
  <c r="M212" i="37"/>
  <c r="L212" i="37"/>
  <c r="K212" i="37"/>
  <c r="J212" i="37"/>
  <c r="I212" i="37"/>
  <c r="H212" i="37"/>
  <c r="G212" i="37"/>
  <c r="F212" i="37"/>
  <c r="E212" i="37"/>
  <c r="D212" i="37"/>
  <c r="C212" i="37"/>
  <c r="B212" i="37"/>
  <c r="AH105" i="37"/>
  <c r="AI105" i="37" s="1"/>
  <c r="AH104" i="37"/>
  <c r="AI104" i="37" s="1"/>
  <c r="AH103" i="37"/>
  <c r="AI103" i="37" s="1"/>
  <c r="AH102" i="37"/>
  <c r="AI102" i="37" s="1"/>
  <c r="AH101" i="37"/>
  <c r="AI101" i="37" s="1"/>
  <c r="AH100" i="37"/>
  <c r="AI100" i="37" s="1"/>
  <c r="AH99" i="37"/>
  <c r="AI99" i="37" s="1"/>
  <c r="AE98" i="37"/>
  <c r="AD98" i="37"/>
  <c r="AC98" i="37"/>
  <c r="AB98" i="37"/>
  <c r="AA98" i="37"/>
  <c r="Z98" i="37"/>
  <c r="Y98" i="37"/>
  <c r="X98" i="37"/>
  <c r="W98" i="37"/>
  <c r="V98" i="37"/>
  <c r="U98" i="37"/>
  <c r="T98" i="37"/>
  <c r="S98" i="37"/>
  <c r="R98" i="37"/>
  <c r="Q98" i="37"/>
  <c r="C98" i="37"/>
  <c r="AI97" i="37"/>
  <c r="AH97" i="37"/>
  <c r="AI96" i="37"/>
  <c r="AH96" i="37"/>
  <c r="AI95" i="37"/>
  <c r="AH95" i="37"/>
  <c r="AI94" i="37"/>
  <c r="AH94" i="37"/>
  <c r="AI93" i="37"/>
  <c r="AH93" i="37"/>
  <c r="AI92" i="37"/>
  <c r="AH92" i="37"/>
  <c r="AI91" i="37"/>
  <c r="AH91" i="37"/>
  <c r="AI90" i="37"/>
  <c r="AH90" i="37"/>
  <c r="AI89" i="37"/>
  <c r="AH89" i="37"/>
  <c r="AI86" i="37"/>
  <c r="AH86" i="37"/>
  <c r="AE85" i="37"/>
  <c r="AD85" i="37"/>
  <c r="AC85" i="37"/>
  <c r="AB85" i="37"/>
  <c r="AA85" i="37"/>
  <c r="Z85" i="37"/>
  <c r="Y85" i="37"/>
  <c r="X85" i="37"/>
  <c r="W85" i="37"/>
  <c r="V85" i="37"/>
  <c r="U85" i="37"/>
  <c r="T85" i="37"/>
  <c r="S85" i="37"/>
  <c r="R85" i="37"/>
  <c r="Q85" i="37"/>
  <c r="P85" i="37"/>
  <c r="O85" i="37"/>
  <c r="N85" i="37"/>
  <c r="M85" i="37"/>
  <c r="L85" i="37"/>
  <c r="K85" i="37"/>
  <c r="J85" i="37"/>
  <c r="I85" i="37"/>
  <c r="H85" i="37"/>
  <c r="G85" i="37"/>
  <c r="F85" i="37"/>
  <c r="E85" i="37"/>
  <c r="D85" i="37"/>
  <c r="C85" i="37"/>
  <c r="B85" i="37"/>
  <c r="AE84" i="37"/>
  <c r="AD84" i="37"/>
  <c r="AC84" i="37"/>
  <c r="AB84" i="37"/>
  <c r="AA84" i="37"/>
  <c r="Z84" i="37"/>
  <c r="Y84" i="37"/>
  <c r="X84" i="37"/>
  <c r="W84" i="37"/>
  <c r="V84" i="37"/>
  <c r="U84" i="37"/>
  <c r="T84" i="37"/>
  <c r="S84" i="37"/>
  <c r="R84" i="37"/>
  <c r="Q84" i="37"/>
  <c r="P84" i="37"/>
  <c r="O84" i="37"/>
  <c r="N84" i="37"/>
  <c r="M84" i="37"/>
  <c r="L84" i="37"/>
  <c r="K84" i="37"/>
  <c r="J84" i="37"/>
  <c r="I84" i="37"/>
  <c r="H84" i="37"/>
  <c r="G84" i="37"/>
  <c r="F84" i="37"/>
  <c r="E84" i="37"/>
  <c r="D84" i="37"/>
  <c r="C84" i="37"/>
  <c r="B84" i="37"/>
  <c r="AE83" i="37"/>
  <c r="AD83" i="37"/>
  <c r="AC83" i="37"/>
  <c r="AB83" i="37"/>
  <c r="AA83" i="37"/>
  <c r="Z83" i="37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AE82" i="37"/>
  <c r="AD82" i="37"/>
  <c r="AC82" i="37"/>
  <c r="AB82" i="37"/>
  <c r="AA82" i="37"/>
  <c r="Z82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AE81" i="37"/>
  <c r="AD81" i="37"/>
  <c r="AC81" i="37"/>
  <c r="AB81" i="37"/>
  <c r="AA81" i="37"/>
  <c r="Z81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AI78" i="37"/>
  <c r="AH78" i="37"/>
  <c r="AI76" i="37"/>
  <c r="AH76" i="37"/>
  <c r="AG76" i="37"/>
  <c r="AI75" i="37"/>
  <c r="AH75" i="37"/>
  <c r="AI74" i="37"/>
  <c r="AH74" i="37"/>
  <c r="AI73" i="37"/>
  <c r="AH73" i="37"/>
  <c r="AG72" i="37"/>
  <c r="AE5" i="37"/>
  <c r="AE72" i="37"/>
  <c r="AD5" i="37" s="1"/>
  <c r="AD72" i="37"/>
  <c r="AC5" i="37" s="1"/>
  <c r="AC72" i="37"/>
  <c r="AB5" i="37" s="1"/>
  <c r="AB72" i="37"/>
  <c r="AA5" i="37" s="1"/>
  <c r="AA72" i="37"/>
  <c r="Z5" i="37" s="1"/>
  <c r="Z72" i="37"/>
  <c r="Y5" i="37" s="1"/>
  <c r="Y72" i="37"/>
  <c r="X5" i="37" s="1"/>
  <c r="X72" i="37"/>
  <c r="W5" i="37" s="1"/>
  <c r="W72" i="37"/>
  <c r="V5" i="37" s="1"/>
  <c r="V72" i="37"/>
  <c r="U5" i="37" s="1"/>
  <c r="U72" i="37"/>
  <c r="T5" i="37" s="1"/>
  <c r="T72" i="37"/>
  <c r="S5" i="37" s="1"/>
  <c r="S72" i="37"/>
  <c r="R5" i="37" s="1"/>
  <c r="R72" i="37"/>
  <c r="Q5" i="37" s="1"/>
  <c r="Q72" i="37"/>
  <c r="P5" i="37" s="1"/>
  <c r="P72" i="37"/>
  <c r="O72" i="37"/>
  <c r="N5" i="37" s="1"/>
  <c r="N72" i="37"/>
  <c r="M5" i="37" s="1"/>
  <c r="M72" i="37"/>
  <c r="L5" i="37" s="1"/>
  <c r="L72" i="37"/>
  <c r="K5" i="37" s="1"/>
  <c r="K72" i="37"/>
  <c r="J5" i="37" s="1"/>
  <c r="J72" i="37"/>
  <c r="I72" i="37"/>
  <c r="H72" i="37"/>
  <c r="G72" i="37"/>
  <c r="F72" i="37"/>
  <c r="E5" i="37" s="1"/>
  <c r="E72" i="37"/>
  <c r="D5" i="37" s="1"/>
  <c r="D72" i="37"/>
  <c r="C5" i="37" s="1"/>
  <c r="C72" i="37"/>
  <c r="B72" i="37"/>
  <c r="AI71" i="37"/>
  <c r="AH71" i="37"/>
  <c r="AI70" i="37"/>
  <c r="AH70" i="37"/>
  <c r="AI69" i="37"/>
  <c r="AH69" i="37"/>
  <c r="AI68" i="37"/>
  <c r="AH68" i="37"/>
  <c r="AI67" i="37"/>
  <c r="AH67" i="37"/>
  <c r="AI66" i="37"/>
  <c r="AH66" i="37"/>
  <c r="AI65" i="37"/>
  <c r="AH65" i="37"/>
  <c r="AI64" i="37"/>
  <c r="AH64" i="37"/>
  <c r="AI63" i="37"/>
  <c r="AH63" i="37"/>
  <c r="AI62" i="37"/>
  <c r="AH62" i="37"/>
  <c r="AI61" i="37"/>
  <c r="AH61" i="37"/>
  <c r="AG60" i="37"/>
  <c r="AG4" i="37" s="1"/>
  <c r="AE60" i="37"/>
  <c r="AD60" i="37"/>
  <c r="AC60" i="37"/>
  <c r="AB60" i="37"/>
  <c r="AA60" i="37"/>
  <c r="Z60" i="37"/>
  <c r="Y60" i="37"/>
  <c r="X60" i="37"/>
  <c r="W60" i="37"/>
  <c r="V60" i="37"/>
  <c r="U60" i="37"/>
  <c r="T60" i="37"/>
  <c r="S60" i="37"/>
  <c r="R60" i="37"/>
  <c r="Q60" i="37"/>
  <c r="P60" i="37"/>
  <c r="O60" i="37"/>
  <c r="N60" i="37"/>
  <c r="M60" i="37"/>
  <c r="L60" i="37"/>
  <c r="K60" i="37"/>
  <c r="J60" i="37"/>
  <c r="I60" i="37"/>
  <c r="H60" i="37"/>
  <c r="G60" i="37"/>
  <c r="F60" i="37"/>
  <c r="E60" i="37"/>
  <c r="D60" i="37"/>
  <c r="C60" i="37"/>
  <c r="B60" i="37"/>
  <c r="AI59" i="37"/>
  <c r="AH59" i="37"/>
  <c r="AI58" i="37"/>
  <c r="AH58" i="37"/>
  <c r="AI57" i="37"/>
  <c r="AH57" i="37"/>
  <c r="AE56" i="37"/>
  <c r="AD56" i="37"/>
  <c r="AC56" i="37"/>
  <c r="AB56" i="37"/>
  <c r="AA56" i="37"/>
  <c r="Z56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AI55" i="37"/>
  <c r="AH55" i="37"/>
  <c r="AI54" i="37"/>
  <c r="AH54" i="37"/>
  <c r="AI53" i="37"/>
  <c r="AH53" i="37"/>
  <c r="AI52" i="37"/>
  <c r="AH52" i="37"/>
  <c r="AI51" i="37"/>
  <c r="AH51" i="37"/>
  <c r="AI50" i="37"/>
  <c r="AH50" i="37"/>
  <c r="AI49" i="37"/>
  <c r="AH49" i="37"/>
  <c r="AI48" i="37"/>
  <c r="AH48" i="37"/>
  <c r="AI47" i="37"/>
  <c r="AH47" i="37"/>
  <c r="AI46" i="37"/>
  <c r="AH46" i="37"/>
  <c r="AI45" i="37"/>
  <c r="AH45" i="37"/>
  <c r="AI44" i="37"/>
  <c r="AH44" i="37"/>
  <c r="AI43" i="37"/>
  <c r="AH43" i="37"/>
  <c r="AG42" i="37"/>
  <c r="AE42" i="37"/>
  <c r="AD42" i="37"/>
  <c r="AC42" i="37"/>
  <c r="AB42" i="37"/>
  <c r="AA42" i="37"/>
  <c r="Z42" i="37"/>
  <c r="Y42" i="37"/>
  <c r="X42" i="37"/>
  <c r="W42" i="37"/>
  <c r="V42" i="37"/>
  <c r="U42" i="37"/>
  <c r="T42" i="37"/>
  <c r="S42" i="37"/>
  <c r="R42" i="37"/>
  <c r="Q42" i="37"/>
  <c r="P42" i="37"/>
  <c r="O42" i="37"/>
  <c r="N42" i="37"/>
  <c r="M42" i="37"/>
  <c r="L42" i="37"/>
  <c r="K42" i="37"/>
  <c r="J42" i="37"/>
  <c r="I42" i="37"/>
  <c r="H42" i="37"/>
  <c r="G42" i="37"/>
  <c r="F42" i="37"/>
  <c r="E42" i="37"/>
  <c r="D42" i="37"/>
  <c r="C42" i="37"/>
  <c r="B42" i="37"/>
  <c r="AI41" i="37"/>
  <c r="AH41" i="37"/>
  <c r="AI40" i="37"/>
  <c r="AH40" i="37"/>
  <c r="AI39" i="37"/>
  <c r="AH39" i="37"/>
  <c r="AG38" i="37"/>
  <c r="AG2" i="37" s="1"/>
  <c r="AE38" i="37"/>
  <c r="AD38" i="37"/>
  <c r="AC38" i="37"/>
  <c r="AB38" i="37"/>
  <c r="AA38" i="37"/>
  <c r="Z38" i="37"/>
  <c r="Y38" i="37"/>
  <c r="W38" i="37"/>
  <c r="V38" i="37"/>
  <c r="U38" i="37"/>
  <c r="T38" i="37"/>
  <c r="S38" i="37"/>
  <c r="R38" i="37"/>
  <c r="Q38" i="37"/>
  <c r="P38" i="37"/>
  <c r="O38" i="37"/>
  <c r="N38" i="37"/>
  <c r="M38" i="37"/>
  <c r="L38" i="37"/>
  <c r="K38" i="37"/>
  <c r="J38" i="37"/>
  <c r="I38" i="37"/>
  <c r="H38" i="37"/>
  <c r="G38" i="37"/>
  <c r="F38" i="37"/>
  <c r="E38" i="37"/>
  <c r="E77" i="37" s="1"/>
  <c r="E79" i="37" s="1"/>
  <c r="D38" i="37"/>
  <c r="C38" i="37"/>
  <c r="AI37" i="37"/>
  <c r="AH37" i="37"/>
  <c r="AI36" i="37"/>
  <c r="AH36" i="37"/>
  <c r="AI35" i="37"/>
  <c r="AH35" i="37"/>
  <c r="AI34" i="37"/>
  <c r="AH34" i="37"/>
  <c r="AI33" i="37"/>
  <c r="AH33" i="37"/>
  <c r="AI32" i="37"/>
  <c r="AH32" i="37"/>
  <c r="AI30" i="37"/>
  <c r="AH30" i="37"/>
  <c r="AI29" i="37"/>
  <c r="AH29" i="37"/>
  <c r="AI28" i="37"/>
  <c r="AH28" i="37"/>
  <c r="AI27" i="37"/>
  <c r="AH27" i="37"/>
  <c r="AI26" i="37"/>
  <c r="AH26" i="37"/>
  <c r="AI25" i="37"/>
  <c r="AH25" i="37"/>
  <c r="AI24" i="37"/>
  <c r="AH24" i="37"/>
  <c r="AI23" i="37"/>
  <c r="AH23" i="37"/>
  <c r="AI22" i="37"/>
  <c r="AH22" i="37"/>
  <c r="AI21" i="37"/>
  <c r="AH21" i="37"/>
  <c r="AI20" i="37"/>
  <c r="AH20" i="37"/>
  <c r="AI19" i="37"/>
  <c r="AH19" i="37"/>
  <c r="AI18" i="37"/>
  <c r="AH18" i="37"/>
  <c r="AI17" i="37"/>
  <c r="AH17" i="37"/>
  <c r="AI16" i="37"/>
  <c r="AH16" i="37"/>
  <c r="AI15" i="37"/>
  <c r="AH15" i="37"/>
  <c r="AI14" i="37"/>
  <c r="AH14" i="37"/>
  <c r="AI13" i="37"/>
  <c r="AH13" i="37"/>
  <c r="AI12" i="37"/>
  <c r="AH12" i="37"/>
  <c r="AI11" i="37"/>
  <c r="AH11" i="37"/>
  <c r="AF5" i="37"/>
  <c r="O5" i="37"/>
  <c r="I5" i="37"/>
  <c r="H5" i="37"/>
  <c r="G5" i="37"/>
  <c r="K4" i="37"/>
  <c r="B4" i="37"/>
  <c r="S231" i="37" s="1"/>
  <c r="I87" i="36"/>
  <c r="Q87" i="36"/>
  <c r="Y87" i="36"/>
  <c r="C81" i="36"/>
  <c r="C87" i="36" s="1"/>
  <c r="D81" i="36"/>
  <c r="E81" i="36"/>
  <c r="E87" i="36" s="1"/>
  <c r="F81" i="36"/>
  <c r="F87" i="36" s="1"/>
  <c r="G81" i="36"/>
  <c r="G87" i="36" s="1"/>
  <c r="G88" i="36" s="1"/>
  <c r="H81" i="36"/>
  <c r="H87" i="36" s="1"/>
  <c r="I81" i="36"/>
  <c r="J81" i="36"/>
  <c r="J87" i="36" s="1"/>
  <c r="K81" i="36"/>
  <c r="K87" i="36" s="1"/>
  <c r="L81" i="36"/>
  <c r="M81" i="36"/>
  <c r="M87" i="36" s="1"/>
  <c r="N81" i="36"/>
  <c r="N87" i="36" s="1"/>
  <c r="O81" i="36"/>
  <c r="O87" i="36" s="1"/>
  <c r="O88" i="36" s="1"/>
  <c r="P81" i="36"/>
  <c r="P87" i="36" s="1"/>
  <c r="Q81" i="36"/>
  <c r="R81" i="36"/>
  <c r="R87" i="36" s="1"/>
  <c r="S81" i="36"/>
  <c r="S87" i="36" s="1"/>
  <c r="T81" i="36"/>
  <c r="U81" i="36"/>
  <c r="U87" i="36" s="1"/>
  <c r="V81" i="36"/>
  <c r="V87" i="36" s="1"/>
  <c r="W81" i="36"/>
  <c r="W87" i="36" s="1"/>
  <c r="W88" i="36" s="1"/>
  <c r="X81" i="36"/>
  <c r="X87" i="36" s="1"/>
  <c r="Y81" i="36"/>
  <c r="Z81" i="36"/>
  <c r="Z87" i="36" s="1"/>
  <c r="AA81" i="36"/>
  <c r="AA87" i="36" s="1"/>
  <c r="AB81" i="36"/>
  <c r="AC81" i="36"/>
  <c r="AC87" i="36" s="1"/>
  <c r="AD81" i="36"/>
  <c r="AD87" i="36" s="1"/>
  <c r="AE81" i="36"/>
  <c r="AE87" i="36" s="1"/>
  <c r="AE88" i="36" s="1"/>
  <c r="AF81" i="36"/>
  <c r="AF87" i="36" s="1"/>
  <c r="C82" i="36"/>
  <c r="D82" i="36"/>
  <c r="D87" i="36" s="1"/>
  <c r="E82" i="36"/>
  <c r="F82" i="36"/>
  <c r="G82" i="36"/>
  <c r="H82" i="36"/>
  <c r="I82" i="36"/>
  <c r="J82" i="36"/>
  <c r="K82" i="36"/>
  <c r="L82" i="36"/>
  <c r="L87" i="36" s="1"/>
  <c r="M82" i="36"/>
  <c r="N82" i="36"/>
  <c r="O82" i="36"/>
  <c r="P82" i="36"/>
  <c r="Q82" i="36"/>
  <c r="R82" i="36"/>
  <c r="S82" i="36"/>
  <c r="T82" i="36"/>
  <c r="T87" i="36" s="1"/>
  <c r="U82" i="36"/>
  <c r="V82" i="36"/>
  <c r="W82" i="36"/>
  <c r="X82" i="36"/>
  <c r="Y82" i="36"/>
  <c r="Z82" i="36"/>
  <c r="AA82" i="36"/>
  <c r="AB82" i="36"/>
  <c r="AB87" i="36" s="1"/>
  <c r="AC82" i="36"/>
  <c r="AD82" i="36"/>
  <c r="AE82" i="36"/>
  <c r="AF82" i="36"/>
  <c r="C83" i="36"/>
  <c r="D83" i="36"/>
  <c r="E83" i="36"/>
  <c r="F83" i="36"/>
  <c r="G83" i="36"/>
  <c r="H83" i="36"/>
  <c r="I83" i="36"/>
  <c r="J83" i="36"/>
  <c r="K83" i="36"/>
  <c r="L83" i="36"/>
  <c r="M83" i="36"/>
  <c r="N83" i="36"/>
  <c r="O83" i="36"/>
  <c r="P83" i="36"/>
  <c r="Q83" i="36"/>
  <c r="R83" i="36"/>
  <c r="S83" i="36"/>
  <c r="T83" i="36"/>
  <c r="U83" i="36"/>
  <c r="V83" i="36"/>
  <c r="W83" i="36"/>
  <c r="X83" i="36"/>
  <c r="Y83" i="36"/>
  <c r="Z83" i="36"/>
  <c r="AA83" i="36"/>
  <c r="AB83" i="36"/>
  <c r="AC83" i="36"/>
  <c r="AD83" i="36"/>
  <c r="AE83" i="36"/>
  <c r="AF83" i="36"/>
  <c r="C84" i="36"/>
  <c r="D84" i="36"/>
  <c r="E84" i="36"/>
  <c r="F84" i="36"/>
  <c r="G84" i="36"/>
  <c r="H84" i="36"/>
  <c r="I84" i="36"/>
  <c r="J84" i="36"/>
  <c r="K84" i="36"/>
  <c r="L84" i="36"/>
  <c r="M84" i="36"/>
  <c r="N84" i="36"/>
  <c r="O84" i="36"/>
  <c r="P84" i="36"/>
  <c r="Q84" i="36"/>
  <c r="R84" i="36"/>
  <c r="S84" i="36"/>
  <c r="T84" i="36"/>
  <c r="U84" i="36"/>
  <c r="V84" i="36"/>
  <c r="W84" i="36"/>
  <c r="X84" i="36"/>
  <c r="Y84" i="36"/>
  <c r="Z84" i="36"/>
  <c r="AA84" i="36"/>
  <c r="AB84" i="36"/>
  <c r="AC84" i="36"/>
  <c r="AD84" i="36"/>
  <c r="AE84" i="36"/>
  <c r="AF84" i="36"/>
  <c r="C85" i="36"/>
  <c r="D85" i="36"/>
  <c r="E85" i="36"/>
  <c r="F85" i="36"/>
  <c r="G85" i="36"/>
  <c r="H85" i="36"/>
  <c r="I85" i="36"/>
  <c r="J85" i="36"/>
  <c r="K85" i="36"/>
  <c r="L85" i="36"/>
  <c r="M85" i="36"/>
  <c r="N85" i="36"/>
  <c r="O85" i="36"/>
  <c r="P85" i="36"/>
  <c r="Q85" i="36"/>
  <c r="R85" i="36"/>
  <c r="S85" i="36"/>
  <c r="T85" i="36"/>
  <c r="U85" i="36"/>
  <c r="V85" i="36"/>
  <c r="W85" i="36"/>
  <c r="X85" i="36"/>
  <c r="Y85" i="36"/>
  <c r="Z85" i="36"/>
  <c r="AA85" i="36"/>
  <c r="AB85" i="36"/>
  <c r="AC85" i="36"/>
  <c r="AD85" i="36"/>
  <c r="AE85" i="36"/>
  <c r="AF85" i="36"/>
  <c r="B85" i="36"/>
  <c r="B84" i="36"/>
  <c r="B87" i="36" s="1"/>
  <c r="B83" i="36"/>
  <c r="B82" i="36"/>
  <c r="B81" i="36"/>
  <c r="AG72" i="36"/>
  <c r="N72" i="36"/>
  <c r="N88" i="36" s="1"/>
  <c r="O72" i="36"/>
  <c r="P72" i="36"/>
  <c r="O5" i="36" s="1"/>
  <c r="Q72" i="36"/>
  <c r="Q88" i="36" s="1"/>
  <c r="R72" i="36"/>
  <c r="R88" i="36" s="1"/>
  <c r="S72" i="36"/>
  <c r="R5" i="36" s="1"/>
  <c r="T72" i="36"/>
  <c r="U72" i="36"/>
  <c r="U88" i="36" s="1"/>
  <c r="V72" i="36"/>
  <c r="V88" i="36" s="1"/>
  <c r="W72" i="36"/>
  <c r="X72" i="36"/>
  <c r="W5" i="36" s="1"/>
  <c r="Y72" i="36"/>
  <c r="Y88" i="36" s="1"/>
  <c r="Z72" i="36"/>
  <c r="Z88" i="36" s="1"/>
  <c r="AA72" i="36"/>
  <c r="Z5" i="36" s="1"/>
  <c r="AB72" i="36"/>
  <c r="AC72" i="36"/>
  <c r="AC88" i="36" s="1"/>
  <c r="AD72" i="36"/>
  <c r="AD88" i="36" s="1"/>
  <c r="AE72" i="36"/>
  <c r="AF72" i="36"/>
  <c r="AE5" i="36" s="1"/>
  <c r="M72" i="36"/>
  <c r="L5" i="36" s="1"/>
  <c r="C60" i="36"/>
  <c r="D60" i="36"/>
  <c r="E60" i="36"/>
  <c r="F60" i="36"/>
  <c r="G60" i="36"/>
  <c r="H60" i="36"/>
  <c r="I60" i="36"/>
  <c r="J60" i="36"/>
  <c r="K60" i="36"/>
  <c r="L60" i="36"/>
  <c r="M60" i="36"/>
  <c r="N60" i="36"/>
  <c r="O60" i="36"/>
  <c r="P60" i="36"/>
  <c r="Q60" i="36"/>
  <c r="R60" i="36"/>
  <c r="S60" i="36"/>
  <c r="T60" i="36"/>
  <c r="U60" i="36"/>
  <c r="V60" i="36"/>
  <c r="W60" i="36"/>
  <c r="X60" i="36"/>
  <c r="Y60" i="36"/>
  <c r="Z60" i="36"/>
  <c r="AA60" i="36"/>
  <c r="AB60" i="36"/>
  <c r="AC60" i="36"/>
  <c r="AD60" i="36"/>
  <c r="AE60" i="36"/>
  <c r="AF60" i="36"/>
  <c r="AG60" i="36"/>
  <c r="AG4" i="36" s="1"/>
  <c r="B60" i="36"/>
  <c r="C56" i="36"/>
  <c r="D56" i="36"/>
  <c r="E56" i="36"/>
  <c r="F56" i="36"/>
  <c r="G56" i="36"/>
  <c r="H56" i="36"/>
  <c r="I56" i="36"/>
  <c r="J56" i="36"/>
  <c r="K56" i="36"/>
  <c r="L56" i="36"/>
  <c r="M56" i="36"/>
  <c r="N56" i="36"/>
  <c r="O56" i="36"/>
  <c r="P56" i="36"/>
  <c r="Q56" i="36"/>
  <c r="R56" i="36"/>
  <c r="S56" i="36"/>
  <c r="T56" i="36"/>
  <c r="U56" i="36"/>
  <c r="V56" i="36"/>
  <c r="W56" i="36"/>
  <c r="X56" i="36"/>
  <c r="Y56" i="36"/>
  <c r="Z56" i="36"/>
  <c r="AA56" i="36"/>
  <c r="AB56" i="36"/>
  <c r="AC56" i="36"/>
  <c r="AD56" i="36"/>
  <c r="AE56" i="36"/>
  <c r="AF56" i="36"/>
  <c r="AG56" i="36"/>
  <c r="B56" i="36"/>
  <c r="C42" i="36"/>
  <c r="D42" i="36"/>
  <c r="E42" i="36"/>
  <c r="F42" i="36"/>
  <c r="G42" i="36"/>
  <c r="H42" i="36"/>
  <c r="I42" i="36"/>
  <c r="J42" i="36"/>
  <c r="K42" i="36"/>
  <c r="L42" i="36"/>
  <c r="M42" i="36"/>
  <c r="N42" i="36"/>
  <c r="O42" i="36"/>
  <c r="P42" i="36"/>
  <c r="Q42" i="36"/>
  <c r="R42" i="36"/>
  <c r="S42" i="36"/>
  <c r="T42" i="36"/>
  <c r="U42" i="36"/>
  <c r="V42" i="36"/>
  <c r="W42" i="36"/>
  <c r="X42" i="36"/>
  <c r="Y42" i="36"/>
  <c r="Z42" i="36"/>
  <c r="AA42" i="36"/>
  <c r="AB42" i="36"/>
  <c r="AC42" i="36"/>
  <c r="AD42" i="36"/>
  <c r="AE42" i="36"/>
  <c r="AF42" i="36"/>
  <c r="AG42" i="36"/>
  <c r="B42" i="36"/>
  <c r="C38" i="36"/>
  <c r="C77" i="36" s="1"/>
  <c r="D38" i="36"/>
  <c r="D77" i="36" s="1"/>
  <c r="E38" i="36"/>
  <c r="E77" i="36" s="1"/>
  <c r="F38" i="36"/>
  <c r="F77" i="36" s="1"/>
  <c r="G38" i="36"/>
  <c r="G77" i="36" s="1"/>
  <c r="H38" i="36"/>
  <c r="H77" i="36" s="1"/>
  <c r="I38" i="36"/>
  <c r="I77" i="36" s="1"/>
  <c r="J38" i="36"/>
  <c r="J77" i="36" s="1"/>
  <c r="K38" i="36"/>
  <c r="K77" i="36" s="1"/>
  <c r="L38" i="36"/>
  <c r="L77" i="36" s="1"/>
  <c r="M38" i="36"/>
  <c r="M77" i="36" s="1"/>
  <c r="N38" i="36"/>
  <c r="N77" i="36" s="1"/>
  <c r="O38" i="36"/>
  <c r="O77" i="36" s="1"/>
  <c r="P38" i="36"/>
  <c r="P77" i="36" s="1"/>
  <c r="Q38" i="36"/>
  <c r="Q77" i="36" s="1"/>
  <c r="R38" i="36"/>
  <c r="R77" i="36" s="1"/>
  <c r="S38" i="36"/>
  <c r="S77" i="36" s="1"/>
  <c r="T38" i="36"/>
  <c r="T77" i="36" s="1"/>
  <c r="U38" i="36"/>
  <c r="U77" i="36" s="1"/>
  <c r="V38" i="36"/>
  <c r="V77" i="36" s="1"/>
  <c r="W38" i="36"/>
  <c r="W77" i="36" s="1"/>
  <c r="X38" i="36"/>
  <c r="X77" i="36" s="1"/>
  <c r="Y38" i="36"/>
  <c r="Y77" i="36" s="1"/>
  <c r="Z38" i="36"/>
  <c r="Z77" i="36" s="1"/>
  <c r="AA38" i="36"/>
  <c r="AA77" i="36" s="1"/>
  <c r="AB38" i="36"/>
  <c r="AB77" i="36" s="1"/>
  <c r="AC38" i="36"/>
  <c r="AC77" i="36" s="1"/>
  <c r="AD38" i="36"/>
  <c r="AD77" i="36" s="1"/>
  <c r="AE38" i="36"/>
  <c r="AE77" i="36" s="1"/>
  <c r="AF38" i="36"/>
  <c r="AF77" i="36" s="1"/>
  <c r="AG38" i="36"/>
  <c r="AG77" i="36" s="1"/>
  <c r="B38" i="36"/>
  <c r="B77" i="36" s="1"/>
  <c r="B79" i="36" s="1"/>
  <c r="AI97" i="36"/>
  <c r="AH97" i="36"/>
  <c r="B72" i="36"/>
  <c r="AI41" i="36"/>
  <c r="AH41" i="36"/>
  <c r="AI40" i="36"/>
  <c r="AH40" i="36"/>
  <c r="AI39" i="36"/>
  <c r="AH39" i="36"/>
  <c r="AF260" i="36"/>
  <c r="AE260" i="36"/>
  <c r="AD260" i="36"/>
  <c r="AC260" i="36"/>
  <c r="AB260" i="36"/>
  <c r="AA260" i="36"/>
  <c r="Z260" i="36"/>
  <c r="Y260" i="36"/>
  <c r="X260" i="36"/>
  <c r="W260" i="36"/>
  <c r="V260" i="36"/>
  <c r="U260" i="36"/>
  <c r="T260" i="36"/>
  <c r="S260" i="36"/>
  <c r="R260" i="36"/>
  <c r="Q260" i="36"/>
  <c r="P260" i="36"/>
  <c r="O260" i="36"/>
  <c r="N260" i="36"/>
  <c r="M260" i="36"/>
  <c r="L260" i="36"/>
  <c r="K260" i="36"/>
  <c r="J260" i="36"/>
  <c r="I260" i="36"/>
  <c r="H260" i="36"/>
  <c r="G260" i="36"/>
  <c r="F260" i="36"/>
  <c r="E260" i="36"/>
  <c r="D260" i="36"/>
  <c r="C260" i="36"/>
  <c r="B260" i="36"/>
  <c r="A260" i="36"/>
  <c r="AF259" i="36"/>
  <c r="AE259" i="36"/>
  <c r="AD259" i="36"/>
  <c r="AC259" i="36"/>
  <c r="AB259" i="36"/>
  <c r="AA259" i="36"/>
  <c r="Z259" i="36"/>
  <c r="Y259" i="36"/>
  <c r="X259" i="36"/>
  <c r="W259" i="36"/>
  <c r="V259" i="36"/>
  <c r="U259" i="36"/>
  <c r="T259" i="36"/>
  <c r="S259" i="36"/>
  <c r="R259" i="36"/>
  <c r="Q259" i="36"/>
  <c r="P259" i="36"/>
  <c r="O259" i="36"/>
  <c r="N259" i="36"/>
  <c r="M259" i="36"/>
  <c r="L259" i="36"/>
  <c r="K259" i="36"/>
  <c r="J259" i="36"/>
  <c r="I259" i="36"/>
  <c r="H259" i="36"/>
  <c r="G259" i="36"/>
  <c r="F259" i="36"/>
  <c r="E259" i="36"/>
  <c r="D259" i="36"/>
  <c r="C259" i="36"/>
  <c r="B259" i="36"/>
  <c r="A259" i="36"/>
  <c r="AF258" i="36"/>
  <c r="AE258" i="36"/>
  <c r="AD258" i="36"/>
  <c r="AC258" i="36"/>
  <c r="AB258" i="36"/>
  <c r="AA258" i="36"/>
  <c r="Z258" i="36"/>
  <c r="Y258" i="36"/>
  <c r="X258" i="36"/>
  <c r="W258" i="36"/>
  <c r="V258" i="36"/>
  <c r="U258" i="36"/>
  <c r="T258" i="36"/>
  <c r="S258" i="36"/>
  <c r="R258" i="36"/>
  <c r="Q258" i="36"/>
  <c r="P258" i="36"/>
  <c r="O258" i="36"/>
  <c r="N258" i="36"/>
  <c r="M258" i="36"/>
  <c r="L258" i="36"/>
  <c r="K258" i="36"/>
  <c r="J258" i="36"/>
  <c r="I258" i="36"/>
  <c r="H258" i="36"/>
  <c r="G258" i="36"/>
  <c r="F258" i="36"/>
  <c r="E258" i="36"/>
  <c r="D258" i="36"/>
  <c r="C258" i="36"/>
  <c r="B258" i="36"/>
  <c r="A258" i="36"/>
  <c r="AF257" i="36"/>
  <c r="AE257" i="36"/>
  <c r="AD257" i="36"/>
  <c r="AC257" i="36"/>
  <c r="AB257" i="36"/>
  <c r="AA257" i="36"/>
  <c r="Z257" i="36"/>
  <c r="Y257" i="36"/>
  <c r="X257" i="36"/>
  <c r="W257" i="36"/>
  <c r="V257" i="36"/>
  <c r="U257" i="36"/>
  <c r="T257" i="36"/>
  <c r="S257" i="36"/>
  <c r="R257" i="36"/>
  <c r="Q257" i="36"/>
  <c r="P257" i="36"/>
  <c r="O257" i="36"/>
  <c r="N257" i="36"/>
  <c r="M257" i="36"/>
  <c r="L257" i="36"/>
  <c r="K257" i="36"/>
  <c r="J257" i="36"/>
  <c r="I257" i="36"/>
  <c r="H257" i="36"/>
  <c r="G257" i="36"/>
  <c r="F257" i="36"/>
  <c r="E257" i="36"/>
  <c r="D257" i="36"/>
  <c r="C257" i="36"/>
  <c r="B257" i="36"/>
  <c r="A257" i="36"/>
  <c r="B256" i="36"/>
  <c r="S231" i="36"/>
  <c r="AG221" i="36"/>
  <c r="C221" i="36"/>
  <c r="D220" i="36"/>
  <c r="D219" i="36"/>
  <c r="E219" i="36" s="1"/>
  <c r="F219" i="36" s="1"/>
  <c r="G219" i="36" s="1"/>
  <c r="H219" i="36" s="1"/>
  <c r="I219" i="36" s="1"/>
  <c r="J219" i="36" s="1"/>
  <c r="K219" i="36" s="1"/>
  <c r="L219" i="36" s="1"/>
  <c r="M219" i="36" s="1"/>
  <c r="N219" i="36" s="1"/>
  <c r="O219" i="36" s="1"/>
  <c r="P219" i="36" s="1"/>
  <c r="B219" i="36" s="1"/>
  <c r="D218" i="36"/>
  <c r="E218" i="36" s="1"/>
  <c r="F218" i="36" s="1"/>
  <c r="G218" i="36" s="1"/>
  <c r="H218" i="36" s="1"/>
  <c r="I218" i="36" s="1"/>
  <c r="J218" i="36" s="1"/>
  <c r="K218" i="36" s="1"/>
  <c r="L218" i="36" s="1"/>
  <c r="M218" i="36" s="1"/>
  <c r="N218" i="36" s="1"/>
  <c r="O218" i="36" s="1"/>
  <c r="P218" i="36" s="1"/>
  <c r="B218" i="36" s="1"/>
  <c r="D217" i="36"/>
  <c r="E217" i="36" s="1"/>
  <c r="F217" i="36" s="1"/>
  <c r="G217" i="36" s="1"/>
  <c r="H217" i="36" s="1"/>
  <c r="I217" i="36" s="1"/>
  <c r="J217" i="36" s="1"/>
  <c r="K217" i="36" s="1"/>
  <c r="L217" i="36" s="1"/>
  <c r="M217" i="36" s="1"/>
  <c r="N217" i="36" s="1"/>
  <c r="O217" i="36" s="1"/>
  <c r="P217" i="36" s="1"/>
  <c r="B217" i="36" s="1"/>
  <c r="D216" i="36"/>
  <c r="D215" i="36"/>
  <c r="E215" i="36" s="1"/>
  <c r="F215" i="36" s="1"/>
  <c r="AG213" i="36"/>
  <c r="C213" i="36"/>
  <c r="AH105" i="36"/>
  <c r="AI105" i="36" s="1"/>
  <c r="AH104" i="36"/>
  <c r="AI104" i="36" s="1"/>
  <c r="AH103" i="36"/>
  <c r="AI103" i="36" s="1"/>
  <c r="AH102" i="36"/>
  <c r="AI102" i="36" s="1"/>
  <c r="AH101" i="36"/>
  <c r="AI101" i="36" s="1"/>
  <c r="AH100" i="36"/>
  <c r="AI100" i="36" s="1"/>
  <c r="AH99" i="36"/>
  <c r="AI99" i="36" s="1"/>
  <c r="C98" i="36"/>
  <c r="AI96" i="36"/>
  <c r="AH96" i="36"/>
  <c r="AI95" i="36"/>
  <c r="AH95" i="36"/>
  <c r="AI94" i="36"/>
  <c r="AH94" i="36"/>
  <c r="AI93" i="36"/>
  <c r="AH93" i="36"/>
  <c r="AI92" i="36"/>
  <c r="AH92" i="36"/>
  <c r="AI91" i="36"/>
  <c r="AH91" i="36"/>
  <c r="AI90" i="36"/>
  <c r="AH90" i="36"/>
  <c r="AI89" i="36"/>
  <c r="AH89" i="36"/>
  <c r="AI86" i="36"/>
  <c r="AH86" i="36"/>
  <c r="AI78" i="36"/>
  <c r="AH78" i="36"/>
  <c r="AI76" i="36"/>
  <c r="AH76" i="36"/>
  <c r="AG76" i="36"/>
  <c r="AI75" i="36"/>
  <c r="AH75" i="36"/>
  <c r="AI74" i="36"/>
  <c r="AH74" i="36"/>
  <c r="AI73" i="36"/>
  <c r="AH73" i="36"/>
  <c r="X5" i="36"/>
  <c r="V5" i="36"/>
  <c r="U5" i="36"/>
  <c r="T5" i="36"/>
  <c r="N5" i="36"/>
  <c r="M5" i="36"/>
  <c r="L72" i="36"/>
  <c r="L88" i="36" s="1"/>
  <c r="K72" i="36"/>
  <c r="J5" i="36" s="1"/>
  <c r="J72" i="36"/>
  <c r="J88" i="36" s="1"/>
  <c r="I72" i="36"/>
  <c r="H5" i="36" s="1"/>
  <c r="H72" i="36"/>
  <c r="G5" i="36" s="1"/>
  <c r="G72" i="36"/>
  <c r="F5" i="36" s="1"/>
  <c r="F72" i="36"/>
  <c r="E5" i="36" s="1"/>
  <c r="E72" i="36"/>
  <c r="D5" i="36" s="1"/>
  <c r="D72" i="36"/>
  <c r="C5" i="36" s="1"/>
  <c r="C72" i="36"/>
  <c r="B5" i="36" s="1"/>
  <c r="AI71" i="36"/>
  <c r="AH71" i="36"/>
  <c r="AI70" i="36"/>
  <c r="AH70" i="36"/>
  <c r="AI69" i="36"/>
  <c r="AH69" i="36"/>
  <c r="AI68" i="36"/>
  <c r="AH68" i="36"/>
  <c r="AI67" i="36"/>
  <c r="AH67" i="36"/>
  <c r="AI66" i="36"/>
  <c r="AH66" i="36"/>
  <c r="AI65" i="36"/>
  <c r="AH65" i="36"/>
  <c r="AI64" i="36"/>
  <c r="AH64" i="36"/>
  <c r="AI63" i="36"/>
  <c r="AH63" i="36"/>
  <c r="AI62" i="36"/>
  <c r="AH62" i="36"/>
  <c r="AI61" i="36"/>
  <c r="AH61" i="36"/>
  <c r="AI59" i="36"/>
  <c r="AH59" i="36"/>
  <c r="AI58" i="36"/>
  <c r="AH58" i="36"/>
  <c r="AI57" i="36"/>
  <c r="AH57" i="36"/>
  <c r="AI55" i="36"/>
  <c r="AH55" i="36"/>
  <c r="AG55" i="36"/>
  <c r="AI54" i="36"/>
  <c r="AH54" i="36"/>
  <c r="AI53" i="36"/>
  <c r="AH53" i="36"/>
  <c r="AI52" i="36"/>
  <c r="AH52" i="36"/>
  <c r="AI51" i="36"/>
  <c r="AH51" i="36"/>
  <c r="AI50" i="36"/>
  <c r="AH50" i="36"/>
  <c r="AI49" i="36"/>
  <c r="AH49" i="36"/>
  <c r="AI48" i="36"/>
  <c r="AH48" i="36"/>
  <c r="AI47" i="36"/>
  <c r="AH47" i="36"/>
  <c r="AI46" i="36"/>
  <c r="AH46" i="36"/>
  <c r="AI45" i="36"/>
  <c r="AH45" i="36"/>
  <c r="AI44" i="36"/>
  <c r="AH44" i="36"/>
  <c r="AI43" i="36"/>
  <c r="AH43" i="36"/>
  <c r="AI37" i="36"/>
  <c r="AH37" i="36"/>
  <c r="AI36" i="36"/>
  <c r="AH36" i="36"/>
  <c r="AI35" i="36"/>
  <c r="AH35" i="36"/>
  <c r="AI34" i="36"/>
  <c r="AH34" i="36"/>
  <c r="AI33" i="36"/>
  <c r="AH33" i="36"/>
  <c r="AI32" i="36"/>
  <c r="AH32" i="36"/>
  <c r="AI30" i="36"/>
  <c r="AH30" i="36"/>
  <c r="AI29" i="36"/>
  <c r="AH29" i="36"/>
  <c r="AI28" i="36"/>
  <c r="AH28" i="36"/>
  <c r="AI27" i="36"/>
  <c r="AH27" i="36"/>
  <c r="AI26" i="36"/>
  <c r="AH26" i="36"/>
  <c r="AI25" i="36"/>
  <c r="AH25" i="36"/>
  <c r="AI24" i="36"/>
  <c r="AH24" i="36"/>
  <c r="AI23" i="36"/>
  <c r="AH23" i="36"/>
  <c r="AI22" i="36"/>
  <c r="AH22" i="36"/>
  <c r="AI21" i="36"/>
  <c r="AH21" i="36"/>
  <c r="AI20" i="36"/>
  <c r="AH20" i="36"/>
  <c r="AI19" i="36"/>
  <c r="AH19" i="36"/>
  <c r="AI18" i="36"/>
  <c r="AH18" i="36"/>
  <c r="AI17" i="36"/>
  <c r="AH17" i="36"/>
  <c r="AI16" i="36"/>
  <c r="AH16" i="36"/>
  <c r="AI15" i="36"/>
  <c r="AH15" i="36"/>
  <c r="AI14" i="36"/>
  <c r="AH14" i="36"/>
  <c r="AI13" i="36"/>
  <c r="AH13" i="36"/>
  <c r="AI12" i="36"/>
  <c r="AH12" i="36"/>
  <c r="AI11" i="36"/>
  <c r="AH11" i="36"/>
  <c r="AF5" i="36"/>
  <c r="AD5" i="36"/>
  <c r="AC5" i="36"/>
  <c r="AB5" i="36"/>
  <c r="AA5" i="36"/>
  <c r="Y5" i="36"/>
  <c r="S5" i="36"/>
  <c r="Q5" i="36"/>
  <c r="P5" i="36"/>
  <c r="K5" i="36"/>
  <c r="I5" i="36"/>
  <c r="K4" i="36"/>
  <c r="B4" i="36"/>
  <c r="E4" i="36"/>
  <c r="E4" i="37"/>
  <c r="AB88" i="36" l="1"/>
  <c r="T88" i="36"/>
  <c r="AF88" i="36"/>
  <c r="X88" i="36"/>
  <c r="P88" i="36"/>
  <c r="H88" i="36"/>
  <c r="F88" i="36"/>
  <c r="AG2" i="36"/>
  <c r="AG6" i="36" s="1"/>
  <c r="M88" i="36"/>
  <c r="E88" i="36"/>
  <c r="AG3" i="36"/>
  <c r="D88" i="36"/>
  <c r="AA88" i="36"/>
  <c r="S88" i="36"/>
  <c r="K88" i="36"/>
  <c r="C88" i="36"/>
  <c r="I88" i="36"/>
  <c r="AC77" i="37"/>
  <c r="AC79" i="37" s="1"/>
  <c r="AB87" i="37"/>
  <c r="Y77" i="37"/>
  <c r="Y79" i="37" s="1"/>
  <c r="U77" i="37"/>
  <c r="U79" i="37" s="1"/>
  <c r="AM234" i="37" s="1"/>
  <c r="T87" i="37"/>
  <c r="V87" i="37"/>
  <c r="AD87" i="37"/>
  <c r="AD88" i="37" s="1"/>
  <c r="B98" i="37"/>
  <c r="C255" i="37"/>
  <c r="D87" i="37"/>
  <c r="D88" i="37" s="1"/>
  <c r="F87" i="37"/>
  <c r="F88" i="37" s="1"/>
  <c r="L87" i="37"/>
  <c r="I77" i="37"/>
  <c r="I79" i="37" s="1"/>
  <c r="AA234" i="37" s="1"/>
  <c r="H4" i="36"/>
  <c r="H4" i="37"/>
  <c r="J87" i="37"/>
  <c r="J88" i="37" s="1"/>
  <c r="Z87" i="37"/>
  <c r="Z88" i="37" s="1"/>
  <c r="C77" i="37"/>
  <c r="C79" i="37" s="1"/>
  <c r="K77" i="37"/>
  <c r="K79" i="37" s="1"/>
  <c r="S77" i="37"/>
  <c r="S79" i="37" s="1"/>
  <c r="AA77" i="37"/>
  <c r="AA79" i="37" s="1"/>
  <c r="AS234" i="37" s="1"/>
  <c r="C87" i="37"/>
  <c r="C88" i="37" s="1"/>
  <c r="K87" i="37"/>
  <c r="K88" i="37" s="1"/>
  <c r="S87" i="37"/>
  <c r="S88" i="37" s="1"/>
  <c r="AA87" i="37"/>
  <c r="AA88" i="37" s="1"/>
  <c r="D220" i="37"/>
  <c r="D77" i="37"/>
  <c r="D79" i="37" s="1"/>
  <c r="L77" i="37"/>
  <c r="L79" i="37" s="1"/>
  <c r="L80" i="37" s="1"/>
  <c r="T77" i="37"/>
  <c r="T79" i="37" s="1"/>
  <c r="T80" i="37" s="1"/>
  <c r="AB77" i="37"/>
  <c r="AB79" i="37" s="1"/>
  <c r="AB80" i="37" s="1"/>
  <c r="G88" i="37"/>
  <c r="B220" i="37"/>
  <c r="E87" i="37"/>
  <c r="E88" i="37" s="1"/>
  <c r="U87" i="37"/>
  <c r="U88" i="37" s="1"/>
  <c r="AC87" i="37"/>
  <c r="AC88" i="37" s="1"/>
  <c r="Z77" i="37"/>
  <c r="Z79" i="37" s="1"/>
  <c r="F77" i="37"/>
  <c r="F79" i="37" s="1"/>
  <c r="N77" i="37"/>
  <c r="N79" i="37" s="1"/>
  <c r="N80" i="37" s="1"/>
  <c r="V77" i="37"/>
  <c r="V79" i="37" s="1"/>
  <c r="V80" i="37" s="1"/>
  <c r="AD77" i="37"/>
  <c r="AD79" i="37" s="1"/>
  <c r="AD80" i="37" s="1"/>
  <c r="N87" i="37"/>
  <c r="G87" i="37"/>
  <c r="O87" i="37"/>
  <c r="W87" i="37"/>
  <c r="W88" i="37" s="1"/>
  <c r="AE87" i="37"/>
  <c r="AE88" i="37" s="1"/>
  <c r="AI85" i="37"/>
  <c r="J77" i="37"/>
  <c r="J79" i="37" s="1"/>
  <c r="J80" i="37" s="1"/>
  <c r="G77" i="37"/>
  <c r="G79" i="37" s="1"/>
  <c r="G7" i="37" s="1"/>
  <c r="W77" i="37"/>
  <c r="W79" i="37" s="1"/>
  <c r="W80" i="37" s="1"/>
  <c r="AE77" i="37"/>
  <c r="AE79" i="37" s="1"/>
  <c r="B77" i="37"/>
  <c r="B79" i="37" s="1"/>
  <c r="F5" i="37"/>
  <c r="H77" i="37"/>
  <c r="H79" i="37" s="1"/>
  <c r="X77" i="37"/>
  <c r="X79" i="37" s="1"/>
  <c r="H87" i="37"/>
  <c r="X87" i="37"/>
  <c r="X88" i="37" s="1"/>
  <c r="I87" i="37"/>
  <c r="Y87" i="37"/>
  <c r="Y88" i="37" s="1"/>
  <c r="AI72" i="37"/>
  <c r="P87" i="37"/>
  <c r="P88" i="37" s="1"/>
  <c r="Q87" i="37"/>
  <c r="Q88" i="37" s="1"/>
  <c r="AI83" i="37"/>
  <c r="AI84" i="37"/>
  <c r="AH82" i="37"/>
  <c r="R77" i="37"/>
  <c r="R79" i="37" s="1"/>
  <c r="AJ234" i="37" s="1"/>
  <c r="AI81" i="37"/>
  <c r="R87" i="37"/>
  <c r="R88" i="37" s="1"/>
  <c r="AH85" i="37"/>
  <c r="AH72" i="37"/>
  <c r="O88" i="37"/>
  <c r="AH83" i="37"/>
  <c r="M87" i="37"/>
  <c r="M88" i="37" s="1"/>
  <c r="O77" i="37"/>
  <c r="O79" i="37" s="1"/>
  <c r="O80" i="37" s="1"/>
  <c r="AH60" i="37"/>
  <c r="AI60" i="37"/>
  <c r="AH56" i="37"/>
  <c r="AI56" i="37"/>
  <c r="M77" i="37"/>
  <c r="M79" i="37" s="1"/>
  <c r="P77" i="37"/>
  <c r="P79" i="37" s="1"/>
  <c r="AH42" i="37"/>
  <c r="Q77" i="37"/>
  <c r="Q79" i="37" s="1"/>
  <c r="AI42" i="37"/>
  <c r="D255" i="37"/>
  <c r="F219" i="37"/>
  <c r="W234" i="37"/>
  <c r="E7" i="37"/>
  <c r="AU234" i="37"/>
  <c r="AC7" i="37"/>
  <c r="H88" i="37"/>
  <c r="N7" i="37"/>
  <c r="I88" i="37"/>
  <c r="AG234" i="37"/>
  <c r="O7" i="37"/>
  <c r="I7" i="37"/>
  <c r="Y7" i="37"/>
  <c r="AQ234" i="37"/>
  <c r="AG6" i="37"/>
  <c r="AG77" i="37"/>
  <c r="D231" i="37"/>
  <c r="AI82" i="37"/>
  <c r="AH38" i="37"/>
  <c r="AH84" i="37"/>
  <c r="L88" i="37"/>
  <c r="T88" i="37"/>
  <c r="AB88" i="37"/>
  <c r="N88" i="37"/>
  <c r="V88" i="37"/>
  <c r="E214" i="37"/>
  <c r="AI38" i="37"/>
  <c r="B5" i="37"/>
  <c r="D98" i="37"/>
  <c r="AH81" i="37"/>
  <c r="B87" i="37"/>
  <c r="J79" i="36"/>
  <c r="J7" i="36" s="1"/>
  <c r="R79" i="36"/>
  <c r="AJ235" i="36" s="1"/>
  <c r="Z79" i="36"/>
  <c r="Z7" i="36" s="1"/>
  <c r="AI42" i="36"/>
  <c r="V79" i="36"/>
  <c r="AN235" i="36" s="1"/>
  <c r="F79" i="36"/>
  <c r="X235" i="36" s="1"/>
  <c r="N79" i="36"/>
  <c r="N7" i="36" s="1"/>
  <c r="AD79" i="36"/>
  <c r="AV235" i="36" s="1"/>
  <c r="G79" i="36"/>
  <c r="G7" i="36" s="1"/>
  <c r="O79" i="36"/>
  <c r="AG235" i="36" s="1"/>
  <c r="W79" i="36"/>
  <c r="AO235" i="36" s="1"/>
  <c r="AE79" i="36"/>
  <c r="AW235" i="36" s="1"/>
  <c r="AH42" i="36"/>
  <c r="H79" i="36"/>
  <c r="Z235" i="36" s="1"/>
  <c r="P79" i="36"/>
  <c r="AH235" i="36" s="1"/>
  <c r="X79" i="36"/>
  <c r="AP235" i="36" s="1"/>
  <c r="AF79" i="36"/>
  <c r="AX235" i="36" s="1"/>
  <c r="AH85" i="36"/>
  <c r="AI38" i="36"/>
  <c r="AI83" i="36"/>
  <c r="AH84" i="36"/>
  <c r="AH60" i="36"/>
  <c r="D79" i="36"/>
  <c r="V235" i="36" s="1"/>
  <c r="L79" i="36"/>
  <c r="AD235" i="36" s="1"/>
  <c r="T79" i="36"/>
  <c r="AL235" i="36" s="1"/>
  <c r="AB79" i="36"/>
  <c r="AB7" i="36" s="1"/>
  <c r="AI60" i="36"/>
  <c r="D98" i="36"/>
  <c r="AH56" i="36"/>
  <c r="AI56" i="36"/>
  <c r="AI81" i="36"/>
  <c r="E79" i="36"/>
  <c r="M79" i="36"/>
  <c r="U79" i="36"/>
  <c r="AC79" i="36"/>
  <c r="S232" i="36"/>
  <c r="D232" i="36"/>
  <c r="AI72" i="36"/>
  <c r="AH72" i="36"/>
  <c r="AI85" i="36"/>
  <c r="I79" i="36"/>
  <c r="Q79" i="36"/>
  <c r="Y79" i="36"/>
  <c r="AI84" i="36"/>
  <c r="AH38" i="36"/>
  <c r="C79" i="36"/>
  <c r="K79" i="36"/>
  <c r="S79" i="36"/>
  <c r="AA79" i="36"/>
  <c r="AI82" i="36"/>
  <c r="AG79" i="36"/>
  <c r="AH81" i="36"/>
  <c r="AH82" i="36"/>
  <c r="AH83" i="36"/>
  <c r="D213" i="36"/>
  <c r="G215" i="36"/>
  <c r="D221" i="36"/>
  <c r="E216" i="36"/>
  <c r="C256" i="36"/>
  <c r="E220" i="36"/>
  <c r="AR235" i="36" l="1"/>
  <c r="V7" i="36"/>
  <c r="AE80" i="37"/>
  <c r="AE7" i="37"/>
  <c r="AW234" i="37"/>
  <c r="AV234" i="37"/>
  <c r="AA7" i="37"/>
  <c r="X80" i="37"/>
  <c r="AO234" i="37"/>
  <c r="W7" i="37"/>
  <c r="U7" i="37"/>
  <c r="T7" i="37"/>
  <c r="AD7" i="37"/>
  <c r="C80" i="37"/>
  <c r="AX234" i="37"/>
  <c r="AT234" i="37"/>
  <c r="AC80" i="37"/>
  <c r="U80" i="37"/>
  <c r="AF234" i="37"/>
  <c r="H80" i="37"/>
  <c r="AA80" i="37"/>
  <c r="I80" i="37"/>
  <c r="S80" i="37"/>
  <c r="B80" i="37"/>
  <c r="Y80" i="37"/>
  <c r="AF7" i="37"/>
  <c r="X7" i="37"/>
  <c r="P7" i="37"/>
  <c r="P80" i="37"/>
  <c r="AN234" i="37"/>
  <c r="AK234" i="37"/>
  <c r="V7" i="37"/>
  <c r="AB7" i="37"/>
  <c r="S7" i="37"/>
  <c r="M7" i="37"/>
  <c r="M80" i="37"/>
  <c r="Z7" i="37"/>
  <c r="Z80" i="37"/>
  <c r="Q7" i="37"/>
  <c r="Q80" i="37"/>
  <c r="R7" i="37"/>
  <c r="R80" i="37"/>
  <c r="AP234" i="37"/>
  <c r="AL234" i="37"/>
  <c r="G80" i="37"/>
  <c r="F80" i="37"/>
  <c r="D80" i="37"/>
  <c r="K80" i="37"/>
  <c r="E80" i="37"/>
  <c r="AB234" i="37"/>
  <c r="J7" i="37"/>
  <c r="AD234" i="37"/>
  <c r="Y234" i="37"/>
  <c r="C7" i="37"/>
  <c r="X234" i="37"/>
  <c r="F7" i="37"/>
  <c r="Z234" i="37"/>
  <c r="L7" i="37"/>
  <c r="AC234" i="37"/>
  <c r="H7" i="37"/>
  <c r="B229" i="37"/>
  <c r="V234" i="37"/>
  <c r="K7" i="37"/>
  <c r="C229" i="37"/>
  <c r="D7" i="37"/>
  <c r="U234" i="37"/>
  <c r="AR234" i="37"/>
  <c r="AI234" i="37"/>
  <c r="AI77" i="37"/>
  <c r="AE234" i="37"/>
  <c r="AH234" i="37"/>
  <c r="AH77" i="37"/>
  <c r="B88" i="37"/>
  <c r="AI87" i="37"/>
  <c r="AH87" i="37"/>
  <c r="AI79" i="37"/>
  <c r="B7" i="37"/>
  <c r="AH79" i="37"/>
  <c r="T234" i="37"/>
  <c r="E255" i="37"/>
  <c r="G219" i="37"/>
  <c r="E98" i="37"/>
  <c r="F214" i="37"/>
  <c r="E220" i="37"/>
  <c r="AE7" i="36"/>
  <c r="AB235" i="36"/>
  <c r="AF235" i="36"/>
  <c r="AD7" i="36"/>
  <c r="R7" i="36"/>
  <c r="F7" i="36"/>
  <c r="O7" i="36"/>
  <c r="Y235" i="36"/>
  <c r="AF7" i="36"/>
  <c r="AT235" i="36"/>
  <c r="W7" i="36"/>
  <c r="E213" i="36"/>
  <c r="X7" i="36"/>
  <c r="P7" i="36"/>
  <c r="L7" i="36"/>
  <c r="T7" i="36"/>
  <c r="H7" i="36"/>
  <c r="D7" i="36"/>
  <c r="AI87" i="36"/>
  <c r="AH87" i="36"/>
  <c r="AA235" i="36"/>
  <c r="I7" i="36"/>
  <c r="AU235" i="36"/>
  <c r="AC7" i="36"/>
  <c r="AI77" i="36"/>
  <c r="AH77" i="36"/>
  <c r="AM235" i="36"/>
  <c r="U7" i="36"/>
  <c r="F216" i="36"/>
  <c r="E221" i="36"/>
  <c r="F213" i="36"/>
  <c r="AS235" i="36"/>
  <c r="AA7" i="36"/>
  <c r="AE235" i="36"/>
  <c r="M7" i="36"/>
  <c r="AK235" i="36"/>
  <c r="S7" i="36"/>
  <c r="W235" i="36"/>
  <c r="E7" i="36"/>
  <c r="H215" i="36"/>
  <c r="AC235" i="36"/>
  <c r="K7" i="36"/>
  <c r="B88" i="36"/>
  <c r="U235" i="36"/>
  <c r="C7" i="36"/>
  <c r="B230" i="36"/>
  <c r="AQ235" i="36"/>
  <c r="Y7" i="36"/>
  <c r="C230" i="36"/>
  <c r="D256" i="36"/>
  <c r="F220" i="36"/>
  <c r="E98" i="36"/>
  <c r="AI235" i="36"/>
  <c r="Q7" i="36"/>
  <c r="AH80" i="37" l="1"/>
  <c r="K6" i="37"/>
  <c r="A7" i="37"/>
  <c r="F98" i="37"/>
  <c r="G214" i="37"/>
  <c r="F220" i="37"/>
  <c r="F255" i="37"/>
  <c r="H219" i="37"/>
  <c r="AI88" i="37"/>
  <c r="AH88" i="37"/>
  <c r="E256" i="36"/>
  <c r="G220" i="36"/>
  <c r="F98" i="36"/>
  <c r="AI88" i="36"/>
  <c r="AH88" i="36"/>
  <c r="G216" i="36"/>
  <c r="F221" i="36"/>
  <c r="T235" i="36"/>
  <c r="AI79" i="36"/>
  <c r="AH79" i="36"/>
  <c r="B7" i="36"/>
  <c r="A7" i="36" s="1"/>
  <c r="I215" i="36"/>
  <c r="K6" i="36"/>
  <c r="G213" i="36"/>
  <c r="G255" i="37" l="1"/>
  <c r="I219" i="37"/>
  <c r="G98" i="37"/>
  <c r="H214" i="37"/>
  <c r="G220" i="37"/>
  <c r="H216" i="36"/>
  <c r="G221" i="36"/>
  <c r="H213" i="36"/>
  <c r="F256" i="36"/>
  <c r="H220" i="36"/>
  <c r="G98" i="36"/>
  <c r="J215" i="36"/>
  <c r="I214" i="37" l="1"/>
  <c r="H220" i="37"/>
  <c r="H98" i="37"/>
  <c r="H255" i="37"/>
  <c r="J219" i="37"/>
  <c r="G256" i="36"/>
  <c r="I220" i="36"/>
  <c r="H98" i="36"/>
  <c r="K215" i="36"/>
  <c r="I213" i="36"/>
  <c r="I216" i="36"/>
  <c r="H221" i="36"/>
  <c r="K219" i="37" l="1"/>
  <c r="I255" i="37"/>
  <c r="I220" i="37"/>
  <c r="I98" i="37"/>
  <c r="J214" i="37"/>
  <c r="J213" i="36"/>
  <c r="L215" i="36"/>
  <c r="J216" i="36"/>
  <c r="I221" i="36"/>
  <c r="H256" i="36"/>
  <c r="J220" i="36"/>
  <c r="I98" i="36"/>
  <c r="J220" i="37" l="1"/>
  <c r="J98" i="37"/>
  <c r="K214" i="37"/>
  <c r="J255" i="37"/>
  <c r="L219" i="37"/>
  <c r="M215" i="36"/>
  <c r="K216" i="36"/>
  <c r="J221" i="36"/>
  <c r="K220" i="36"/>
  <c r="I256" i="36"/>
  <c r="J98" i="36"/>
  <c r="K213" i="36"/>
  <c r="K255" i="37" l="1"/>
  <c r="M219" i="37"/>
  <c r="K220" i="37"/>
  <c r="K98" i="37"/>
  <c r="L214" i="37"/>
  <c r="J256" i="36"/>
  <c r="L220" i="36"/>
  <c r="K98" i="36"/>
  <c r="L216" i="36"/>
  <c r="K221" i="36"/>
  <c r="L213" i="36"/>
  <c r="N215" i="36"/>
  <c r="L220" i="37" l="1"/>
  <c r="L98" i="37"/>
  <c r="M214" i="37"/>
  <c r="N219" i="37"/>
  <c r="L255" i="37"/>
  <c r="M213" i="36"/>
  <c r="M216" i="36"/>
  <c r="L221" i="36"/>
  <c r="O215" i="36"/>
  <c r="K256" i="36"/>
  <c r="M220" i="36"/>
  <c r="L98" i="36"/>
  <c r="M255" i="37" l="1"/>
  <c r="O219" i="37"/>
  <c r="M98" i="37"/>
  <c r="N214" i="37"/>
  <c r="M220" i="37"/>
  <c r="P215" i="36"/>
  <c r="N216" i="36"/>
  <c r="M221" i="36"/>
  <c r="N213" i="36"/>
  <c r="L256" i="36"/>
  <c r="N220" i="36"/>
  <c r="M98" i="36"/>
  <c r="N98" i="37" l="1"/>
  <c r="O214" i="37"/>
  <c r="N220" i="37"/>
  <c r="N255" i="37"/>
  <c r="P219" i="37"/>
  <c r="O255" i="37" s="1"/>
  <c r="M256" i="36"/>
  <c r="O220" i="36"/>
  <c r="N98" i="36"/>
  <c r="O213" i="36"/>
  <c r="O216" i="36"/>
  <c r="N221" i="36"/>
  <c r="O98" i="37" l="1"/>
  <c r="P214" i="37"/>
  <c r="O220" i="37"/>
  <c r="P216" i="36"/>
  <c r="O221" i="36"/>
  <c r="P213" i="36"/>
  <c r="N256" i="36"/>
  <c r="P220" i="36"/>
  <c r="O98" i="36"/>
  <c r="P220" i="37" l="1"/>
  <c r="P98" i="37"/>
  <c r="O256" i="36"/>
  <c r="P98" i="36"/>
  <c r="Q213" i="36"/>
  <c r="P221" i="36"/>
  <c r="AH98" i="37" l="1"/>
  <c r="AI98" i="37"/>
  <c r="R213" i="36"/>
  <c r="Q221" i="36"/>
  <c r="P256" i="36"/>
  <c r="Q98" i="36"/>
  <c r="R221" i="36" l="1"/>
  <c r="S213" i="36"/>
  <c r="Q256" i="36"/>
  <c r="R98" i="36"/>
  <c r="R256" i="36" l="1"/>
  <c r="S98" i="36"/>
  <c r="T213" i="36"/>
  <c r="S221" i="36"/>
  <c r="U213" i="36" l="1"/>
  <c r="T221" i="36"/>
  <c r="S256" i="36"/>
  <c r="T98" i="36"/>
  <c r="T256" i="36" l="1"/>
  <c r="U98" i="36"/>
  <c r="U221" i="36"/>
  <c r="V213" i="36"/>
  <c r="U256" i="36" l="1"/>
  <c r="V98" i="36"/>
  <c r="V221" i="36"/>
  <c r="W213" i="36"/>
  <c r="W221" i="36" l="1"/>
  <c r="V256" i="36"/>
  <c r="W98" i="36"/>
  <c r="X213" i="36"/>
  <c r="W256" i="36" l="1"/>
  <c r="X98" i="36"/>
  <c r="Y213" i="36"/>
  <c r="X221" i="36"/>
  <c r="X256" i="36" l="1"/>
  <c r="Y98" i="36"/>
  <c r="Z213" i="36"/>
  <c r="Y221" i="36"/>
  <c r="Z221" i="36" l="1"/>
  <c r="AA213" i="36"/>
  <c r="Y256" i="36"/>
  <c r="Z98" i="36"/>
  <c r="AB213" i="36" l="1"/>
  <c r="Z256" i="36"/>
  <c r="AA98" i="36"/>
  <c r="AA221" i="36"/>
  <c r="AC213" i="36" l="1"/>
  <c r="AA256" i="36"/>
  <c r="AB98" i="36"/>
  <c r="AB221" i="36"/>
  <c r="AC221" i="36" l="1"/>
  <c r="AB256" i="36"/>
  <c r="AC98" i="36"/>
  <c r="AD213" i="36"/>
  <c r="AC256" i="36" l="1"/>
  <c r="AD98" i="36"/>
  <c r="B215" i="36"/>
  <c r="AE213" i="36"/>
  <c r="AD221" i="36"/>
  <c r="AE221" i="36" l="1"/>
  <c r="AD256" i="36"/>
  <c r="AE98" i="36"/>
  <c r="AF213" i="36"/>
  <c r="B213" i="36"/>
  <c r="B220" i="36" l="1"/>
  <c r="AE256" i="36"/>
  <c r="AF98" i="36"/>
  <c r="B216" i="36"/>
  <c r="B221" i="36" s="1"/>
  <c r="AF221" i="36"/>
  <c r="AI98" i="36" l="1"/>
  <c r="AH98" i="36"/>
  <c r="AF256" i="36"/>
  <c r="B98" i="36"/>
  <c r="AI37" i="59"/>
  <c r="AH37" i="59"/>
</calcChain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>
  <authors>
    <author>Author</author>
    <author>Data Server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  <comment ref="P106" authorId="1">
      <text>
        <r>
          <rPr>
            <b/>
            <sz val="9"/>
            <color indexed="81"/>
            <rFont val="Tahoma"/>
            <family val="2"/>
          </rPr>
          <t>Data Server:</t>
        </r>
        <r>
          <rPr>
            <sz val="9"/>
            <color indexed="81"/>
            <rFont val="Tahoma"/>
            <family val="2"/>
          </rPr>
          <t xml:space="preserve">
Hetauda-Kamane on Shut Down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<sst xmlns="http://schemas.openxmlformats.org/spreadsheetml/2006/main" count="8109" uniqueCount="283">
  <si>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</si>
  <si>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</si>
  <si>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</si>
  <si>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</si>
  <si>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</si>
  <si>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</si>
  <si>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</si>
  <si>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</si>
  <si>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</si>
  <si>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</si>
  <si>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</si>
  <si>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</si>
  <si>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</si>
  <si>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</si>
  <si>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</si>
  <si>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</si>
  <si>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</si>
  <si>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</si>
  <si>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</si>
  <si>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Lower Modi (20)</t>
  </si>
  <si>
    <t>Other IPP Total</t>
  </si>
  <si>
    <t>Kabeli Corridor</t>
  </si>
  <si>
    <t>Total IPP</t>
  </si>
  <si>
    <t>KGA(144)</t>
  </si>
  <si>
    <t>Middle MRS(70)</t>
  </si>
  <si>
    <t>MRS(69)</t>
  </si>
  <si>
    <t>U Trisuli 3A(60)</t>
  </si>
  <si>
    <t>CHM(30)</t>
  </si>
  <si>
    <t>NEA  SOLAR(25)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</si>
  <si>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</si>
  <si>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</si>
  <si>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</si>
  <si>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</si>
  <si>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</si>
  <si>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</si>
  <si>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</si>
  <si>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</si>
  <si>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</si>
  <si>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</si>
  <si>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</si>
  <si>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</si>
  <si>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TANAKPUR</t>
  </si>
  <si>
    <t>KATAIYA</t>
  </si>
  <si>
    <t>MUJAFFARPUR</t>
  </si>
  <si>
    <t>RAMNAGAR</t>
  </si>
  <si>
    <t>RAXAUL 132</t>
  </si>
  <si>
    <t>NANPARA(33kV)</t>
  </si>
  <si>
    <t>BISHANPUR(33kV)</t>
  </si>
  <si>
    <t>JALESHWOR(33kV)</t>
  </si>
  <si>
    <t>RAJBIRAJ(33kV)</t>
  </si>
  <si>
    <t>RAXAUL(33kV)</t>
  </si>
  <si>
    <t>OTHERS IMPORT</t>
  </si>
  <si>
    <t>Total IMPORT</t>
  </si>
  <si>
    <t>MULTI F(39)</t>
  </si>
  <si>
    <t>HTD DIE(14.41)</t>
  </si>
  <si>
    <t>MRS DI()</t>
  </si>
  <si>
    <t>Total THERMAL</t>
  </si>
  <si>
    <t>TOTAL SYSTEM LOAD (ACTUAL)</t>
  </si>
  <si>
    <t>Interruption/Tripping</t>
  </si>
  <si>
    <t>TOTAL SYSTEM LOAD (EXPECTED)</t>
  </si>
  <si>
    <t>RAXAUL</t>
  </si>
  <si>
    <t>MUZAFFARPUR</t>
  </si>
  <si>
    <t>OTHERS EXPORT</t>
  </si>
  <si>
    <t>Total EXPORT</t>
  </si>
  <si>
    <t>NET IMPORT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</si>
  <si>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</si>
  <si>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</si>
  <si>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</si>
  <si>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</si>
  <si>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</si>
  <si>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</si>
  <si>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</si>
  <si>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</si>
  <si>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>Kathmandu Load</t>
  </si>
  <si>
    <t>MRS-SYU</t>
  </si>
  <si>
    <t>KL2-MATA</t>
  </si>
  <si>
    <t>KL1-SYU</t>
  </si>
  <si>
    <t>KHIMTI-LAMOSAGU</t>
  </si>
  <si>
    <t>DHALKE-CHAPUR I</t>
  </si>
  <si>
    <t>Others IPP Detail</t>
  </si>
  <si>
    <t>Indrawati - III (7.5)</t>
  </si>
  <si>
    <t>Puwa Khola -1 (4)</t>
  </si>
  <si>
    <t>Others IPP Total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</si>
  <si>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</si>
  <si>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</si>
  <si>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</si>
  <si>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</si>
  <si>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</si>
  <si>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</si>
  <si>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</si>
  <si>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</si>
  <si>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</si>
  <si>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</si>
  <si>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</si>
  <si>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</si>
  <si>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</si>
  <si>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</si>
  <si>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</si>
  <si>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</si>
  <si>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</si>
  <si>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</si>
  <si>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</si>
  <si>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</si>
  <si>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</si>
  <si>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</si>
  <si>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>NBHARATPUR-BARDGHAT</t>
  </si>
  <si>
    <t>DAMAK-DUHABI</t>
  </si>
  <si>
    <t>Likhu-IV(52.4)</t>
  </si>
  <si>
    <t>Upper Marsyangdi "A"(50)</t>
  </si>
  <si>
    <t>Upper Bhotekoshi Khola(45)</t>
  </si>
  <si>
    <t>Mistri Khola(42)</t>
  </si>
  <si>
    <t>Nyadi(30)</t>
  </si>
  <si>
    <t>Upper Madi(25)</t>
  </si>
  <si>
    <t>Kabeli B-1(25)</t>
  </si>
  <si>
    <t>Singati Khola(25)</t>
  </si>
  <si>
    <t>Likhu Khola A(24.2)</t>
  </si>
  <si>
    <t>Solu Khola(23.5)</t>
  </si>
  <si>
    <t>Upper Chaku A(22.2)</t>
  </si>
  <si>
    <t>Tallo Hewa Khola(22.1)</t>
  </si>
  <si>
    <t>Bagmati Khola Small(22)</t>
  </si>
  <si>
    <t>Hewa Khola A(14.9)</t>
  </si>
  <si>
    <t>Thapa Khola(13.6)</t>
  </si>
  <si>
    <t>Madkyu Khola(13)</t>
  </si>
  <si>
    <t>Jhimruk Khola(12)</t>
  </si>
  <si>
    <t>Upper Khimti(12)</t>
  </si>
  <si>
    <t>Namarjun Madi(11.88)</t>
  </si>
  <si>
    <t>Lower Khare(11)</t>
  </si>
  <si>
    <t>Lower Modi 1(10)</t>
  </si>
  <si>
    <t>Mithila Solar PV Electric Project(10)</t>
  </si>
  <si>
    <t>Total NEA SUBSIDIARIES</t>
  </si>
  <si>
    <t>Upper Tamakoshi(456)</t>
  </si>
  <si>
    <t>Khimti Khola(60)</t>
  </si>
  <si>
    <t>Chilime(22.1)</t>
  </si>
  <si>
    <t>Upper Mai Khola(9.98)</t>
  </si>
  <si>
    <t>Kabeli B-1 Cascade(9.94)</t>
  </si>
  <si>
    <t>Iwa Khola(9.9)</t>
  </si>
  <si>
    <t>Sipring Khola(9.658)</t>
  </si>
  <si>
    <t>Super Mai 'A' (9.6)</t>
  </si>
  <si>
    <t>Mai Beni(9.51)</t>
  </si>
  <si>
    <t>Andhi Khola(9.4)</t>
  </si>
  <si>
    <t>Rudi Khola A(8.8)</t>
  </si>
  <si>
    <t>Naugadh gad Khola(8.5)</t>
  </si>
  <si>
    <t>Butwal Solar Project(8.5)</t>
  </si>
  <si>
    <t>Upper Hewa Khola Small(8.5)</t>
  </si>
  <si>
    <t>Ankhu Khola - 1(8.4)</t>
  </si>
  <si>
    <t>Mai sana Cascade(8)</t>
  </si>
  <si>
    <t>Upper Naugad Gad(8)</t>
  </si>
  <si>
    <t>Taksar Pikhuwa(8)</t>
  </si>
  <si>
    <t>Super Mai(7.8)</t>
  </si>
  <si>
    <t>Jogmai(7.6)</t>
  </si>
  <si>
    <t>Upper Khorunga(7.5)</t>
  </si>
  <si>
    <t>Mai Cascade(7)</t>
  </si>
  <si>
    <t>Molung Khola(7)</t>
  </si>
  <si>
    <t>Upper Mardi(7)</t>
  </si>
  <si>
    <t>Upper Khimti II(7)</t>
  </si>
  <si>
    <t>Rudi Khola B(6.6)</t>
  </si>
  <si>
    <t>Sapsup Khola(6.6)</t>
  </si>
  <si>
    <t>Suri Khola(6.4)</t>
  </si>
  <si>
    <t>Lower Jogmai(6.2)</t>
  </si>
  <si>
    <t>Daraudi Khola A(6)</t>
  </si>
  <si>
    <t>Upper Mai C(5.1)</t>
  </si>
  <si>
    <t>Tadi Khola (Thaprek)(5)</t>
  </si>
  <si>
    <t>Mailung Khola(5)</t>
  </si>
  <si>
    <t>Upper Hugdi Khola(5)</t>
  </si>
  <si>
    <t>Pikhuwa Khola(5)</t>
  </si>
  <si>
    <t>Ghalemdi Khola(5)</t>
  </si>
  <si>
    <t>Ghatte Khola(5)</t>
  </si>
  <si>
    <t>Belchautara Solar Project(5)</t>
  </si>
  <si>
    <t>Lower Tadi(4.993)</t>
  </si>
  <si>
    <t>Richet Khola(4.98)</t>
  </si>
  <si>
    <t>Siuri Khola(4.95)</t>
  </si>
  <si>
    <t>Phawa Khola(4.95)</t>
  </si>
  <si>
    <t>Mardi Khola(4.8)</t>
  </si>
  <si>
    <t>Padam Khola(4.8)</t>
  </si>
  <si>
    <t>Mai Khola(4.5)</t>
  </si>
  <si>
    <t>Bijayapur 2 Khola Small(4.5)</t>
  </si>
  <si>
    <t>Hewa Khola(4.455)</t>
  </si>
  <si>
    <t>Bijayapur-1(4.41)</t>
  </si>
  <si>
    <t>Radhi Khola(4.4)</t>
  </si>
  <si>
    <t>Tungun-Thosne(4.36)</t>
  </si>
  <si>
    <t>Baramchi Khola(4.2)</t>
  </si>
  <si>
    <t>Khudi Khola(4)</t>
  </si>
  <si>
    <t>Sabha Khola(4)</t>
  </si>
  <si>
    <t>Sardi Khola(4)</t>
  </si>
  <si>
    <t>Chandranigahpur Solar Project(4)</t>
  </si>
  <si>
    <t>Upper Chhyangdi Khola(4)</t>
  </si>
  <si>
    <t>Super Mai Cascade(3.8)</t>
  </si>
  <si>
    <t>Dwari Khola(3.75)</t>
  </si>
  <si>
    <t>Charanawati  Khola(3.52)</t>
  </si>
  <si>
    <t>Kapadi Gad(3.33)</t>
  </si>
  <si>
    <t>Piluwa Khola Small(3)</t>
  </si>
  <si>
    <t>Chaku Khola(3)</t>
  </si>
  <si>
    <t>Bhairab Kunda(3)</t>
  </si>
  <si>
    <t>Upper Puwa -1(3)</t>
  </si>
  <si>
    <t>Midim Karapu(3)</t>
  </si>
  <si>
    <t>Upper Rawa(3)</t>
  </si>
  <si>
    <t>Everest Sugar and Chemical Industries Ltd.(3)</t>
  </si>
  <si>
    <t>Indushankar Chini Udhyog Ltd.(3)</t>
  </si>
  <si>
    <t>Dhalkebar Solar Project(3)</t>
  </si>
  <si>
    <t>Chake Khola(2.83)</t>
  </si>
  <si>
    <t>Sunkoshi Small(2.5)</t>
  </si>
  <si>
    <t>Daram Khola A(2.5)</t>
  </si>
  <si>
    <t>Ridi Khola(2.4)</t>
  </si>
  <si>
    <t>Upper Syange Khola(2.4)</t>
  </si>
  <si>
    <t>Jiri Khola Small(2.2)</t>
  </si>
  <si>
    <t>Chhandi(2)</t>
  </si>
  <si>
    <t>Jhyadi Khola(2)</t>
  </si>
  <si>
    <t>Khani Khola(2)</t>
  </si>
  <si>
    <t>Middle Chaku(1.8)</t>
  </si>
  <si>
    <t>Lower Chaku Khola(1.8)</t>
  </si>
  <si>
    <t>Thoppal Khola(1.65)</t>
  </si>
  <si>
    <t>Theule Khola(1.5)</t>
  </si>
  <si>
    <t>Dhalkebar Saurya Aayojana(1)</t>
  </si>
  <si>
    <t>Suspa Bukhari(0.998)</t>
  </si>
  <si>
    <t>Lower Chhote Khola(0.997)</t>
  </si>
  <si>
    <t>Hadi Khola Sunkoshi A(0.997)</t>
  </si>
  <si>
    <t>Pati Khola Small(0.996)</t>
  </si>
  <si>
    <t>Miya Khola(0.996)</t>
  </si>
  <si>
    <t>Jeuligad(0.996)</t>
  </si>
  <si>
    <t>Pheme Khola(0.995)</t>
  </si>
  <si>
    <t>Chhote Khola(0.993)</t>
  </si>
  <si>
    <t>Upper Hadi Khola(0.991)</t>
  </si>
  <si>
    <t>Lower Piluwa Small(0.99)</t>
  </si>
  <si>
    <t>Seti-II(0.979)</t>
  </si>
  <si>
    <t>Bishnu Priya Solar Farm Project(0.96)</t>
  </si>
  <si>
    <t>Sisne Khola Small(0.75)</t>
  </si>
  <si>
    <t>Solar(0.68)</t>
  </si>
  <si>
    <t>Dhunge-Jiri(0.6)</t>
  </si>
  <si>
    <t>Belkhu(0.518)</t>
  </si>
  <si>
    <t>Rairang Khola(0.5)</t>
  </si>
  <si>
    <t>Sali Nadi(0.25)</t>
  </si>
  <si>
    <t>Syange Khola(0.183)</t>
  </si>
  <si>
    <t>Midim Khola(0.1)</t>
  </si>
  <si>
    <t>Sobuwa Khola-2 MHP(0.09)</t>
  </si>
  <si>
    <t>Leguwa Khola(0.04)</t>
  </si>
  <si>
    <t>Syauri Bhumey(0.023)</t>
  </si>
  <si>
    <t>Sikless/Madkyu Khola(13)</t>
  </si>
  <si>
    <t>TOTAL NATIONAL LOAD (ACTUAL)</t>
  </si>
  <si>
    <t>Upper Mai Khola (12)</t>
  </si>
  <si>
    <t>Sanima Mai Khola(22)</t>
  </si>
  <si>
    <t xml:space="preserve"> Sanima Mai Khola(22)</t>
  </si>
  <si>
    <t>Uppallo Khimti(12)</t>
  </si>
  <si>
    <t>N/A</t>
  </si>
  <si>
    <t xml:space="preserve"> </t>
  </si>
  <si>
    <t>26..1</t>
  </si>
  <si>
    <t>i</t>
  </si>
  <si>
    <t>s</t>
  </si>
  <si>
    <t>t</t>
  </si>
  <si>
    <t>r</t>
  </si>
  <si>
    <t>P</t>
  </si>
  <si>
    <t>a</t>
  </si>
  <si>
    <t>l</t>
  </si>
  <si>
    <t>S</t>
  </si>
  <si>
    <t>y</t>
  </si>
  <si>
    <t>e</t>
  </si>
  <si>
    <t>m</t>
  </si>
  <si>
    <t>C</t>
  </si>
  <si>
    <t>o</t>
  </si>
  <si>
    <t>p</t>
  </si>
  <si>
    <t>Api Darchla</t>
  </si>
  <si>
    <t>chhayangdi HP</t>
  </si>
  <si>
    <t>lamjung</t>
  </si>
  <si>
    <t>Khanikhola</t>
  </si>
  <si>
    <t xml:space="preserve">Ghattekhola </t>
  </si>
  <si>
    <t>Dolakha</t>
  </si>
  <si>
    <t>Sardikhola</t>
  </si>
  <si>
    <t>Kaski</t>
  </si>
  <si>
    <t>Nyadi</t>
  </si>
  <si>
    <t>Upper Rawa khola</t>
  </si>
  <si>
    <t>khotang</t>
  </si>
  <si>
    <t>siprimg Khola</t>
  </si>
  <si>
    <t>dolakha</t>
  </si>
  <si>
    <t>Taksar Pikhuwa</t>
  </si>
  <si>
    <t>Bhojpur</t>
  </si>
  <si>
    <t>Upper Mardi</t>
  </si>
  <si>
    <t>Upper Khorunga</t>
  </si>
  <si>
    <t>Terathum</t>
  </si>
  <si>
    <t>100% Contingency</t>
  </si>
  <si>
    <t>Bagmati</t>
  </si>
  <si>
    <t>PN</t>
  </si>
  <si>
    <t>HETAUDA-KAMANE</t>
  </si>
  <si>
    <t xml:space="preserve">   </t>
  </si>
  <si>
    <t>Partial System Collapse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</si>
</sst>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h:mm;@"/>
    <numFmt numFmtId="165" formatCode="[$-F800]dddd\,\ mmmm\ dd\,\ yyyy"/>
    <numFmt numFmtId="166" formatCode="0.0"/>
    <numFmt numFmtId="167" formatCode="[hh]:mm"/>
    <numFmt numFmtId="168" formatCode="00.00"/>
    <numFmt numFmtId="169" formatCode="0.00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/>
      <bottom style="double">
        <color indexed="64"/>
      </bottom>
      <diagonal style="double">
        <color indexed="64"/>
      </diagonal>
    </border>
  </borders>
  <cellStyleXfs count="5">
    <xf numFmtId="165" fontId="0" fillId="0" borderId="0"/>
    <xf numFmtId="43" fontId="1" fillId="0" borderId="0" applyFont="0" applyFill="0" applyBorder="0" applyAlignment="0" applyProtection="0"/>
    <xf numFmtId="165" fontId="33" fillId="0" borderId="0"/>
    <xf numFmtId="165" fontId="34" fillId="0" borderId="0"/>
    <xf numFmtId="165" fontId="35" fillId="0" borderId="0"/>
  </cellStyleXfs>
  <cellXfs count="213">
    <xf numFmtId="165" fontId="0" fillId="0" borderId="0" xfId="0"/>
    <xf numFmtId="165" fontId="0" fillId="0" borderId="0" xfId="0" applyNumberFormat="1"/>
    <xf numFmtId="165" fontId="0" fillId="0" borderId="0" xfId="0" applyFill="1" applyBorder="1" applyProtection="1">
      <protection locked="0"/>
    </xf>
    <xf numFmtId="165" fontId="0" fillId="0" borderId="0" xfId="0" applyFill="1" applyBorder="1"/>
    <xf numFmtId="165" fontId="6" fillId="0" borderId="0" xfId="0" applyFont="1" applyAlignment="1">
      <alignment vertical="center"/>
    </xf>
    <xf numFmtId="165" fontId="7" fillId="0" borderId="2" xfId="0" applyFont="1" applyBorder="1" applyAlignment="1">
      <alignment vertical="center"/>
    </xf>
    <xf numFmtId="165" fontId="7" fillId="0" borderId="4" xfId="0" applyFont="1" applyBorder="1" applyAlignment="1">
      <alignment vertical="center"/>
    </xf>
    <xf numFmtId="165" fontId="4" fillId="0" borderId="6" xfId="0" applyFont="1" applyBorder="1" applyAlignment="1">
      <alignment horizontal="center" vertical="center"/>
    </xf>
    <xf numFmtId="165" fontId="4" fillId="0" borderId="6" xfId="0" applyFont="1" applyBorder="1" applyAlignment="1">
      <alignment vertical="center"/>
    </xf>
    <xf numFmtId="165" fontId="4" fillId="0" borderId="0" xfId="0" applyFont="1" applyBorder="1" applyAlignment="1">
      <alignment vertical="center"/>
    </xf>
    <xf numFmtId="14" fontId="8" fillId="0" borderId="0" xfId="0" applyNumberFormat="1" applyFont="1" applyBorder="1" applyAlignment="1">
      <alignment vertical="center"/>
    </xf>
    <xf numFmtId="165" fontId="4" fillId="0" borderId="0" xfId="0" applyFont="1" applyAlignment="1">
      <alignment vertical="center"/>
    </xf>
    <xf numFmtId="43" fontId="9" fillId="3" borderId="0" xfId="1" applyFont="1" applyFill="1" applyAlignment="1">
      <alignment horizontal="center"/>
    </xf>
    <xf numFmtId="165" fontId="9" fillId="3" borderId="0" xfId="0" applyFont="1" applyFill="1"/>
    <xf numFmtId="165" fontId="0" fillId="3" borderId="0" xfId="0" applyFill="1"/>
    <xf numFmtId="165" fontId="10" fillId="0" borderId="0" xfId="0" applyFont="1" applyFill="1" applyBorder="1" applyAlignment="1">
      <alignment horizontal="center" vertical="center"/>
    </xf>
    <xf numFmtId="165" fontId="11" fillId="0" borderId="0" xfId="0" applyFont="1"/>
    <xf numFmtId="165" fontId="12" fillId="0" borderId="0" xfId="0" applyFont="1" applyAlignment="1">
      <alignment vertical="center"/>
    </xf>
    <xf numFmtId="165" fontId="7" fillId="0" borderId="8" xfId="0" applyFont="1" applyBorder="1" applyAlignment="1">
      <alignment vertical="center"/>
    </xf>
    <xf numFmtId="165" fontId="7" fillId="0" borderId="10" xfId="0" applyFont="1" applyBorder="1" applyAlignment="1">
      <alignment vertical="center"/>
    </xf>
    <xf numFmtId="165" fontId="0" fillId="0" borderId="6" xfId="0" applyBorder="1" applyAlignment="1">
      <alignment horizontal="center" vertical="center"/>
    </xf>
    <xf numFmtId="165" fontId="3" fillId="0" borderId="0" xfId="0" applyFont="1" applyAlignment="1">
      <alignment horizontal="center" vertical="center"/>
    </xf>
    <xf numFmtId="165" fontId="3" fillId="0" borderId="0" xfId="0" applyFont="1" applyAlignment="1">
      <alignment vertical="center"/>
    </xf>
    <xf numFmtId="165" fontId="12" fillId="0" borderId="0" xfId="0" applyFont="1" applyAlignment="1">
      <alignment horizontal="center" vertical="center"/>
    </xf>
    <xf numFmtId="43" fontId="13" fillId="3" borderId="0" xfId="1" applyFont="1" applyFill="1" applyAlignment="1">
      <alignment horizontal="center" vertical="center"/>
    </xf>
    <xf numFmtId="20" fontId="0" fillId="0" borderId="0" xfId="0" applyNumberFormat="1" applyFill="1" applyBorder="1" applyAlignment="1">
      <alignment horizontal="center" vertical="center"/>
    </xf>
    <xf numFmtId="164" fontId="14" fillId="0" borderId="0" xfId="0" applyNumberFormat="1" applyFont="1" applyFill="1" applyBorder="1" applyAlignment="1"/>
    <xf numFmtId="165" fontId="15" fillId="4" borderId="0" xfId="0" applyFont="1" applyFill="1" applyAlignment="1">
      <alignment horizontal="right" vertical="center"/>
    </xf>
    <xf numFmtId="165" fontId="16" fillId="0" borderId="0" xfId="0" applyFont="1" applyAlignment="1">
      <alignment vertical="center"/>
    </xf>
    <xf numFmtId="165" fontId="17" fillId="0" borderId="0" xfId="0" applyFont="1" applyAlignment="1">
      <alignment vertical="center"/>
    </xf>
    <xf numFmtId="165" fontId="0" fillId="0" borderId="0" xfId="0" applyAlignment="1">
      <alignment horizontal="center" vertical="center"/>
    </xf>
    <xf numFmtId="165" fontId="15" fillId="4" borderId="0" xfId="0" applyFont="1" applyFill="1" applyAlignment="1">
      <alignment vertical="center"/>
    </xf>
    <xf numFmtId="166" fontId="0" fillId="5" borderId="0" xfId="0" applyNumberFormat="1" applyFill="1"/>
    <xf numFmtId="165" fontId="0" fillId="5" borderId="0" xfId="0" applyFill="1"/>
    <xf numFmtId="165" fontId="15" fillId="4" borderId="0" xfId="0" applyNumberFormat="1" applyFont="1" applyFill="1" applyAlignment="1">
      <alignment horizontal="left" vertical="center"/>
    </xf>
    <xf numFmtId="165" fontId="18" fillId="3" borderId="0" xfId="0" applyFont="1" applyFill="1"/>
    <xf numFmtId="165" fontId="19" fillId="0" borderId="0" xfId="0" applyFont="1" applyAlignment="1">
      <alignment horizontal="left" vertical="center"/>
    </xf>
    <xf numFmtId="1" fontId="20" fillId="0" borderId="0" xfId="0" applyNumberFormat="1" applyFont="1" applyAlignment="1">
      <alignment horizontal="center" vertical="center"/>
    </xf>
    <xf numFmtId="43" fontId="21" fillId="0" borderId="0" xfId="1" applyFont="1" applyFill="1" applyAlignment="1">
      <alignment horizontal="center" vertical="center"/>
    </xf>
    <xf numFmtId="165" fontId="0" fillId="0" borderId="0" xfId="0" applyFill="1"/>
    <xf numFmtId="165" fontId="2" fillId="0" borderId="0" xfId="0" applyFont="1" applyFill="1"/>
    <xf numFmtId="20" fontId="0" fillId="0" borderId="0" xfId="0" applyNumberFormat="1" applyAlignment="1">
      <alignment horizontal="center" vertical="center"/>
    </xf>
    <xf numFmtId="165" fontId="12" fillId="0" borderId="12" xfId="0" applyFont="1" applyBorder="1" applyAlignment="1">
      <alignment vertical="center"/>
    </xf>
    <xf numFmtId="2" fontId="12" fillId="6" borderId="16" xfId="0" applyNumberFormat="1" applyFont="1" applyFill="1" applyBorder="1" applyAlignment="1">
      <alignment horizontal="center" vertical="center"/>
    </xf>
    <xf numFmtId="165" fontId="18" fillId="0" borderId="0" xfId="0" applyFont="1" applyFill="1" applyAlignment="1">
      <alignment horizontal="center"/>
    </xf>
    <xf numFmtId="165" fontId="18" fillId="0" borderId="0" xfId="0" applyFont="1" applyFill="1"/>
    <xf numFmtId="165" fontId="18" fillId="0" borderId="0" xfId="0" applyFont="1" applyFill="1" applyAlignment="1">
      <alignment horizontal="left"/>
    </xf>
    <xf numFmtId="165" fontId="0" fillId="0" borderId="0" xfId="0" applyAlignment="1">
      <alignment horizontal="center"/>
    </xf>
    <xf numFmtId="166" fontId="12" fillId="0" borderId="6" xfId="0" applyNumberFormat="1" applyFont="1" applyBorder="1" applyAlignment="1" applyProtection="1">
      <alignment horizontal="center" vertical="center"/>
      <protection locked="0"/>
    </xf>
    <xf numFmtId="166" fontId="12" fillId="0" borderId="23" xfId="0" applyNumberFormat="1" applyFont="1" applyBorder="1" applyAlignment="1" applyProtection="1">
      <alignment horizontal="center" vertical="center"/>
      <protection locked="0"/>
    </xf>
    <xf numFmtId="166" fontId="12" fillId="0" borderId="24" xfId="0" applyNumberFormat="1" applyFont="1" applyBorder="1" applyAlignment="1" applyProtection="1">
      <alignment horizontal="center" vertical="center"/>
      <protection locked="0"/>
    </xf>
    <xf numFmtId="166" fontId="12" fillId="9" borderId="24" xfId="0" applyNumberFormat="1" applyFont="1" applyFill="1" applyBorder="1" applyAlignment="1" applyProtection="1">
      <alignment horizontal="center" vertical="center"/>
      <protection locked="0"/>
    </xf>
    <xf numFmtId="166" fontId="12" fillId="0" borderId="25" xfId="0" applyNumberFormat="1" applyFont="1" applyBorder="1" applyAlignment="1" applyProtection="1">
      <alignment horizontal="center" vertical="center"/>
      <protection locked="0"/>
    </xf>
    <xf numFmtId="2" fontId="12" fillId="0" borderId="24" xfId="0" applyNumberFormat="1" applyFont="1" applyBorder="1" applyAlignment="1" applyProtection="1">
      <alignment horizontal="center" vertical="center"/>
      <protection locked="0"/>
    </xf>
    <xf numFmtId="166" fontId="0" fillId="0" borderId="0" xfId="0" applyNumberFormat="1" applyAlignment="1" applyProtection="1">
      <alignment horizontal="center"/>
      <protection locked="0"/>
    </xf>
    <xf numFmtId="166" fontId="0" fillId="0" borderId="0" xfId="0" applyNumberFormat="1" applyProtection="1">
      <protection locked="0"/>
    </xf>
    <xf numFmtId="20" fontId="0" fillId="0" borderId="0" xfId="0" applyNumberFormat="1"/>
    <xf numFmtId="165" fontId="12" fillId="0" borderId="26" xfId="0" applyFont="1" applyBorder="1" applyAlignment="1">
      <alignment horizontal="right" vertical="center"/>
    </xf>
    <xf numFmtId="165" fontId="12" fillId="0" borderId="0" xfId="0" applyFont="1" applyBorder="1" applyAlignment="1">
      <alignment vertical="center"/>
    </xf>
    <xf numFmtId="165" fontId="12" fillId="0" borderId="0" xfId="0" applyNumberFormat="1" applyFont="1" applyBorder="1" applyAlignment="1">
      <alignment horizontal="center" vertical="center"/>
    </xf>
    <xf numFmtId="165" fontId="12" fillId="0" borderId="28" xfId="0" applyFont="1" applyBorder="1" applyAlignment="1">
      <alignment horizontal="right" vertical="center"/>
    </xf>
    <xf numFmtId="165" fontId="26" fillId="0" borderId="28" xfId="0" applyFont="1" applyBorder="1" applyAlignment="1">
      <alignment horizontal="right" vertical="center"/>
    </xf>
    <xf numFmtId="166" fontId="12" fillId="9" borderId="6" xfId="0" applyNumberFormat="1" applyFont="1" applyFill="1" applyBorder="1" applyAlignment="1" applyProtection="1">
      <alignment horizontal="center" vertical="center"/>
      <protection locked="0"/>
    </xf>
    <xf numFmtId="165" fontId="16" fillId="0" borderId="26" xfId="0" applyFont="1" applyBorder="1" applyAlignment="1">
      <alignment horizontal="right" vertical="center"/>
    </xf>
    <xf numFmtId="166" fontId="12" fillId="10" borderId="24" xfId="0" applyNumberFormat="1" applyFont="1" applyFill="1" applyBorder="1" applyAlignment="1" applyProtection="1">
      <alignment horizontal="center" vertical="center"/>
      <protection locked="0"/>
    </xf>
    <xf numFmtId="165" fontId="16" fillId="0" borderId="30" xfId="0" applyFont="1" applyBorder="1" applyAlignment="1">
      <alignment horizontal="left" vertical="center"/>
    </xf>
    <xf numFmtId="166" fontId="16" fillId="0" borderId="31" xfId="0" applyNumberFormat="1" applyFont="1" applyBorder="1" applyAlignment="1">
      <alignment horizontal="center" vertical="center"/>
    </xf>
    <xf numFmtId="165" fontId="27" fillId="0" borderId="0" xfId="0" applyFont="1"/>
    <xf numFmtId="165" fontId="12" fillId="0" borderId="32" xfId="0" applyFont="1" applyBorder="1" applyAlignment="1">
      <alignment horizontal="right" vertical="center"/>
    </xf>
    <xf numFmtId="2" fontId="26" fillId="0" borderId="33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 applyProtection="1">
      <alignment horizontal="center" vertical="center"/>
      <protection locked="0"/>
    </xf>
    <xf numFmtId="166" fontId="12" fillId="0" borderId="24" xfId="0" applyNumberFormat="1" applyFont="1" applyBorder="1" applyAlignment="1">
      <alignment horizontal="center" vertical="center"/>
    </xf>
    <xf numFmtId="166" fontId="12" fillId="0" borderId="6" xfId="0" applyNumberFormat="1" applyFont="1" applyBorder="1" applyAlignment="1">
      <alignment horizontal="center" vertical="center"/>
    </xf>
    <xf numFmtId="165" fontId="12" fillId="0" borderId="35" xfId="0" applyFont="1" applyBorder="1" applyAlignment="1">
      <alignment horizontal="right" vertical="center"/>
    </xf>
    <xf numFmtId="166" fontId="12" fillId="0" borderId="33" xfId="0" applyNumberFormat="1" applyFont="1" applyBorder="1" applyAlignment="1">
      <alignment horizontal="center" vertical="center"/>
    </xf>
    <xf numFmtId="1" fontId="16" fillId="0" borderId="31" xfId="0" applyNumberFormat="1" applyFont="1" applyBorder="1" applyAlignment="1">
      <alignment horizontal="center" vertical="center"/>
    </xf>
    <xf numFmtId="165" fontId="16" fillId="11" borderId="30" xfId="0" applyFont="1" applyFill="1" applyBorder="1" applyAlignment="1">
      <alignment vertical="center" wrapText="1"/>
    </xf>
    <xf numFmtId="166" fontId="12" fillId="0" borderId="31" xfId="0" applyNumberFormat="1" applyFont="1" applyBorder="1" applyAlignment="1" applyProtection="1">
      <alignment horizontal="center" vertical="center"/>
      <protection locked="0"/>
    </xf>
    <xf numFmtId="165" fontId="16" fillId="0" borderId="30" xfId="0" applyFont="1" applyBorder="1" applyAlignment="1">
      <alignment horizontal="center" vertical="center"/>
    </xf>
    <xf numFmtId="165" fontId="16" fillId="0" borderId="37" xfId="0" applyFont="1" applyBorder="1" applyAlignment="1">
      <alignment vertical="center"/>
    </xf>
    <xf numFmtId="2" fontId="12" fillId="0" borderId="2" xfId="0" applyNumberFormat="1" applyFont="1" applyBorder="1" applyAlignment="1" applyProtection="1">
      <alignment horizontal="center" vertical="center"/>
      <protection locked="0"/>
    </xf>
    <xf numFmtId="165" fontId="16" fillId="0" borderId="39" xfId="0" applyFont="1" applyBorder="1" applyAlignment="1">
      <alignment vertical="center"/>
    </xf>
    <xf numFmtId="166" fontId="12" fillId="0" borderId="6" xfId="0" applyNumberFormat="1" applyFont="1" applyBorder="1" applyAlignment="1" applyProtection="1">
      <alignment horizontal="center"/>
      <protection locked="0"/>
    </xf>
    <xf numFmtId="166" fontId="12" fillId="0" borderId="8" xfId="0" applyNumberFormat="1" applyFont="1" applyBorder="1" applyAlignment="1" applyProtection="1">
      <alignment horizontal="center" vertical="center"/>
      <protection locked="0"/>
    </xf>
    <xf numFmtId="2" fontId="0" fillId="0" borderId="0" xfId="0" applyNumberFormat="1" applyAlignment="1">
      <alignment horizontal="center"/>
    </xf>
    <xf numFmtId="165" fontId="12" fillId="0" borderId="1" xfId="0" applyFont="1" applyBorder="1" applyAlignment="1">
      <alignment vertical="center"/>
    </xf>
    <xf numFmtId="166" fontId="16" fillId="0" borderId="3" xfId="0" applyNumberFormat="1" applyFont="1" applyBorder="1" applyAlignment="1">
      <alignment horizontal="center" vertical="center"/>
    </xf>
    <xf numFmtId="166" fontId="12" fillId="0" borderId="43" xfId="0" applyNumberFormat="1" applyFon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>
      <alignment horizontal="center"/>
    </xf>
    <xf numFmtId="164" fontId="0" fillId="0" borderId="0" xfId="0" applyNumberFormat="1" applyProtection="1">
      <protection locked="0"/>
    </xf>
    <xf numFmtId="166" fontId="12" fillId="0" borderId="44" xfId="0" applyNumberFormat="1" applyFont="1" applyBorder="1" applyAlignment="1" applyProtection="1">
      <alignment horizontal="center" vertical="center"/>
      <protection locked="0"/>
    </xf>
    <xf numFmtId="166" fontId="12" fillId="0" borderId="46" xfId="0" applyNumberFormat="1" applyFont="1" applyBorder="1" applyAlignment="1" applyProtection="1">
      <alignment horizontal="center"/>
      <protection locked="0"/>
    </xf>
    <xf numFmtId="165" fontId="16" fillId="0" borderId="47" xfId="0" applyFont="1" applyBorder="1" applyAlignment="1">
      <alignment vertical="center"/>
    </xf>
    <xf numFmtId="165" fontId="0" fillId="0" borderId="48" xfId="0" applyBorder="1" applyAlignment="1">
      <alignment horizontal="center"/>
    </xf>
    <xf numFmtId="166" fontId="0" fillId="0" borderId="0" xfId="0" applyNumberFormat="1" applyBorder="1" applyAlignment="1" applyProtection="1">
      <alignment horizontal="center"/>
      <protection locked="0"/>
    </xf>
    <xf numFmtId="2" fontId="12" fillId="0" borderId="24" xfId="0" applyNumberFormat="1" applyFont="1" applyBorder="1" applyAlignment="1">
      <alignment horizontal="center" vertical="center"/>
    </xf>
    <xf numFmtId="169" fontId="25" fillId="0" borderId="51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 applyProtection="1">
      <alignment horizontal="center" vertical="center"/>
      <protection locked="0"/>
    </xf>
    <xf numFmtId="169" fontId="25" fillId="0" borderId="52" xfId="0" applyNumberFormat="1" applyFont="1" applyBorder="1" applyAlignment="1">
      <alignment horizontal="center" vertical="center"/>
    </xf>
    <xf numFmtId="169" fontId="25" fillId="0" borderId="53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29" fillId="0" borderId="2" xfId="0" applyNumberFormat="1" applyFont="1" applyBorder="1" applyAlignment="1">
      <alignment horizontal="center" vertical="center"/>
    </xf>
    <xf numFmtId="2" fontId="29" fillId="0" borderId="4" xfId="0" applyNumberFormat="1" applyFont="1" applyBorder="1" applyAlignment="1">
      <alignment horizontal="center" vertical="center"/>
    </xf>
    <xf numFmtId="165" fontId="16" fillId="0" borderId="50" xfId="0" applyFont="1" applyBorder="1" applyAlignment="1">
      <alignment vertical="center"/>
    </xf>
    <xf numFmtId="2" fontId="29" fillId="0" borderId="24" xfId="0" applyNumberFormat="1" applyFont="1" applyBorder="1" applyAlignment="1">
      <alignment horizontal="center" vertical="center"/>
    </xf>
    <xf numFmtId="2" fontId="29" fillId="0" borderId="51" xfId="0" applyNumberFormat="1" applyFont="1" applyBorder="1" applyAlignment="1">
      <alignment horizontal="center" vertical="center"/>
    </xf>
    <xf numFmtId="165" fontId="0" fillId="0" borderId="57" xfId="0" applyBorder="1" applyAlignment="1">
      <alignment horizontal="center"/>
    </xf>
    <xf numFmtId="2" fontId="29" fillId="0" borderId="6" xfId="0" applyNumberFormat="1" applyFont="1" applyBorder="1" applyAlignment="1">
      <alignment horizontal="center" vertical="center"/>
    </xf>
    <xf numFmtId="2" fontId="29" fillId="0" borderId="52" xfId="0" applyNumberFormat="1" applyFont="1" applyBorder="1" applyAlignment="1">
      <alignment horizontal="center" vertical="center"/>
    </xf>
    <xf numFmtId="165" fontId="16" fillId="0" borderId="54" xfId="0" applyFont="1" applyBorder="1" applyAlignment="1">
      <alignment vertical="center"/>
    </xf>
    <xf numFmtId="2" fontId="29" fillId="0" borderId="8" xfId="0" applyNumberFormat="1" applyFont="1" applyBorder="1" applyAlignment="1">
      <alignment horizontal="center" vertical="center"/>
    </xf>
    <xf numFmtId="2" fontId="29" fillId="0" borderId="10" xfId="0" applyNumberFormat="1" applyFont="1" applyBorder="1" applyAlignment="1">
      <alignment horizontal="center" vertical="center"/>
    </xf>
    <xf numFmtId="165" fontId="12" fillId="12" borderId="6" xfId="0" applyFont="1" applyFill="1" applyBorder="1" applyAlignment="1">
      <alignment vertical="center"/>
    </xf>
    <xf numFmtId="1" fontId="0" fillId="12" borderId="6" xfId="0" applyNumberFormat="1" applyFill="1" applyBorder="1"/>
    <xf numFmtId="20" fontId="30" fillId="12" borderId="6" xfId="0" applyNumberFormat="1" applyFont="1" applyFill="1" applyBorder="1" applyAlignment="1">
      <alignment horizontal="center"/>
    </xf>
    <xf numFmtId="165" fontId="0" fillId="0" borderId="0" xfId="0" applyAlignment="1">
      <alignment horizontal="left"/>
    </xf>
    <xf numFmtId="165" fontId="31" fillId="14" borderId="0" xfId="0" applyFont="1" applyFill="1"/>
    <xf numFmtId="165" fontId="0" fillId="15" borderId="0" xfId="0" applyFill="1" applyProtection="1">
      <protection locked="0"/>
    </xf>
    <xf numFmtId="165" fontId="0" fillId="0" borderId="0" xfId="0" applyAlignment="1"/>
    <xf numFmtId="165" fontId="16" fillId="0" borderId="0" xfId="0" applyFont="1" applyBorder="1" applyAlignment="1">
      <alignment vertical="top" wrapText="1"/>
    </xf>
    <xf numFmtId="20" fontId="12" fillId="0" borderId="33" xfId="0" applyNumberFormat="1" applyFont="1" applyBorder="1" applyAlignment="1">
      <alignment vertical="center"/>
    </xf>
    <xf numFmtId="167" fontId="12" fillId="0" borderId="58" xfId="0" applyNumberFormat="1" applyFont="1" applyBorder="1" applyAlignment="1">
      <alignment vertical="center"/>
    </xf>
    <xf numFmtId="167" fontId="12" fillId="0" borderId="33" xfId="0" applyNumberFormat="1" applyFont="1" applyBorder="1" applyAlignment="1">
      <alignment vertical="center"/>
    </xf>
    <xf numFmtId="167" fontId="12" fillId="0" borderId="18" xfId="0" applyNumberFormat="1" applyFont="1" applyBorder="1" applyAlignment="1">
      <alignment vertical="center"/>
    </xf>
    <xf numFmtId="1" fontId="0" fillId="0" borderId="0" xfId="0" applyNumberFormat="1" applyAlignment="1">
      <alignment horizontal="center"/>
    </xf>
    <xf numFmtId="164" fontId="0" fillId="15" borderId="0" xfId="0" applyNumberFormat="1" applyFill="1" applyProtection="1">
      <protection locked="0"/>
    </xf>
    <xf numFmtId="165" fontId="0" fillId="0" borderId="6" xfId="0" applyBorder="1"/>
    <xf numFmtId="166" fontId="0" fillId="0" borderId="6" xfId="0" applyNumberFormat="1" applyBorder="1" applyAlignment="1">
      <alignment horizontal="center"/>
    </xf>
    <xf numFmtId="165" fontId="16" fillId="0" borderId="59" xfId="0" applyFont="1" applyBorder="1" applyAlignment="1">
      <alignment horizontal="left" vertical="center"/>
    </xf>
    <xf numFmtId="165" fontId="16" fillId="0" borderId="60" xfId="0" applyFont="1" applyBorder="1" applyAlignment="1">
      <alignment horizontal="left" vertical="center"/>
    </xf>
    <xf numFmtId="169" fontId="12" fillId="0" borderId="24" xfId="0" applyNumberFormat="1" applyFont="1" applyBorder="1" applyAlignment="1" applyProtection="1">
      <alignment horizontal="center" vertical="center"/>
      <protection locked="0"/>
    </xf>
    <xf numFmtId="169" fontId="12" fillId="0" borderId="25" xfId="0" applyNumberFormat="1" applyFont="1" applyBorder="1" applyAlignment="1" applyProtection="1">
      <alignment horizontal="center" vertical="center"/>
      <protection locked="0"/>
    </xf>
    <xf numFmtId="169" fontId="25" fillId="0" borderId="27" xfId="0" applyNumberFormat="1" applyFont="1" applyBorder="1" applyAlignment="1">
      <alignment horizontal="center" vertical="center"/>
    </xf>
    <xf numFmtId="169" fontId="25" fillId="0" borderId="29" xfId="0" applyNumberFormat="1" applyFont="1" applyBorder="1" applyAlignment="1">
      <alignment horizontal="center" vertical="center"/>
    </xf>
    <xf numFmtId="169" fontId="25" fillId="0" borderId="22" xfId="0" applyNumberFormat="1" applyFont="1" applyBorder="1" applyAlignment="1">
      <alignment horizontal="center" vertical="center"/>
    </xf>
    <xf numFmtId="169" fontId="16" fillId="0" borderId="34" xfId="0" applyNumberFormat="1" applyFont="1" applyBorder="1" applyAlignment="1">
      <alignment horizontal="center" vertical="center"/>
    </xf>
    <xf numFmtId="169" fontId="26" fillId="0" borderId="33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36" xfId="0" applyNumberFormat="1" applyFont="1" applyBorder="1" applyAlignment="1">
      <alignment horizontal="center" vertical="center"/>
    </xf>
    <xf numFmtId="169" fontId="12" fillId="0" borderId="27" xfId="0" applyNumberFormat="1" applyFont="1" applyBorder="1" applyAlignment="1">
      <alignment horizontal="center" vertical="center"/>
    </xf>
    <xf numFmtId="169" fontId="16" fillId="0" borderId="31" xfId="0" applyNumberFormat="1" applyFont="1" applyBorder="1" applyAlignment="1">
      <alignment horizontal="center" vertical="center"/>
    </xf>
    <xf numFmtId="169" fontId="25" fillId="0" borderId="36" xfId="0" applyNumberFormat="1" applyFont="1" applyBorder="1" applyAlignment="1">
      <alignment horizontal="center" vertical="center"/>
    </xf>
    <xf numFmtId="169" fontId="12" fillId="0" borderId="38" xfId="0" applyNumberFormat="1" applyFont="1" applyBorder="1" applyAlignment="1">
      <alignment horizontal="center" vertical="center"/>
    </xf>
    <xf numFmtId="169" fontId="12" fillId="0" borderId="40" xfId="0" applyNumberFormat="1" applyFont="1" applyBorder="1" applyAlignment="1">
      <alignment horizontal="center" vertical="center"/>
    </xf>
    <xf numFmtId="169" fontId="12" fillId="0" borderId="40" xfId="0" applyNumberFormat="1" applyFont="1" applyBorder="1" applyAlignment="1">
      <alignment horizontal="center"/>
    </xf>
    <xf numFmtId="169" fontId="12" fillId="0" borderId="42" xfId="0" applyNumberFormat="1" applyFont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169" fontId="0" fillId="0" borderId="0" xfId="0" applyNumberFormat="1"/>
    <xf numFmtId="169" fontId="0" fillId="0" borderId="6" xfId="0" applyNumberFormat="1" applyBorder="1" applyAlignment="1">
      <alignment horizontal="center"/>
    </xf>
    <xf numFmtId="169" fontId="0" fillId="0" borderId="33" xfId="0" applyNumberFormat="1" applyBorder="1" applyAlignment="1">
      <alignment horizontal="center"/>
    </xf>
    <xf numFmtId="169" fontId="0" fillId="0" borderId="0" xfId="0" applyNumberFormat="1" applyBorder="1" applyAlignment="1">
      <alignment horizontal="center"/>
    </xf>
    <xf numFmtId="169" fontId="0" fillId="0" borderId="49" xfId="0" applyNumberFormat="1" applyBorder="1" applyAlignment="1">
      <alignment horizontal="center"/>
    </xf>
    <xf numFmtId="169" fontId="28" fillId="0" borderId="4" xfId="0" applyNumberFormat="1" applyFont="1" applyBorder="1" applyAlignment="1">
      <alignment horizontal="center" vertical="center"/>
    </xf>
    <xf numFmtId="169" fontId="28" fillId="0" borderId="52" xfId="0" applyNumberFormat="1" applyFont="1" applyBorder="1" applyAlignment="1">
      <alignment horizontal="center" vertical="center"/>
    </xf>
    <xf numFmtId="169" fontId="28" fillId="0" borderId="53" xfId="0" applyNumberFormat="1" applyFont="1" applyBorder="1" applyAlignment="1">
      <alignment horizontal="center" vertical="center"/>
    </xf>
    <xf numFmtId="169" fontId="0" fillId="0" borderId="56" xfId="0" applyNumberFormat="1" applyBorder="1" applyAlignment="1">
      <alignment horizontal="center"/>
    </xf>
    <xf numFmtId="165" fontId="12" fillId="0" borderId="61" xfId="0" applyFont="1" applyBorder="1" applyAlignment="1">
      <alignment horizontal="right" vertical="center"/>
    </xf>
    <xf numFmtId="165" fontId="12" fillId="0" borderId="62" xfId="0" applyFont="1" applyBorder="1" applyAlignment="1">
      <alignment horizontal="right" vertical="center"/>
    </xf>
    <xf numFmtId="165" fontId="12" fillId="0" borderId="63" xfId="0" applyFont="1" applyBorder="1" applyAlignment="1">
      <alignment horizontal="right" vertical="center"/>
    </xf>
    <xf numFmtId="165" fontId="12" fillId="0" borderId="50" xfId="0" applyFont="1" applyBorder="1" applyAlignment="1">
      <alignment horizontal="right" vertical="center"/>
    </xf>
    <xf numFmtId="165" fontId="12" fillId="0" borderId="39" xfId="0" applyFont="1" applyBorder="1" applyAlignment="1">
      <alignment horizontal="right" vertical="center"/>
    </xf>
    <xf numFmtId="165" fontId="12" fillId="0" borderId="45" xfId="0" applyFont="1" applyBorder="1" applyAlignment="1">
      <alignment horizontal="right" vertical="center"/>
    </xf>
    <xf numFmtId="165" fontId="12" fillId="0" borderId="60" xfId="0" applyFont="1" applyBorder="1" applyAlignment="1">
      <alignment vertical="center"/>
    </xf>
    <xf numFmtId="2" fontId="12" fillId="0" borderId="20" xfId="0" applyNumberFormat="1" applyFont="1" applyBorder="1" applyAlignment="1" applyProtection="1">
      <alignment horizontal="center" vertical="center"/>
      <protection locked="0"/>
    </xf>
    <xf numFmtId="2" fontId="12" fillId="0" borderId="55" xfId="0" applyNumberFormat="1" applyFont="1" applyBorder="1" applyAlignment="1">
      <alignment horizontal="center" vertical="center"/>
    </xf>
    <xf numFmtId="2" fontId="12" fillId="0" borderId="64" xfId="0" applyNumberFormat="1" applyFont="1" applyBorder="1" applyAlignment="1">
      <alignment horizontal="center" vertical="center"/>
    </xf>
    <xf numFmtId="169" fontId="25" fillId="0" borderId="60" xfId="0" applyNumberFormat="1" applyFont="1" applyBorder="1" applyAlignment="1">
      <alignment horizontal="center" vertical="center"/>
    </xf>
    <xf numFmtId="165" fontId="12" fillId="0" borderId="37" xfId="0" applyFont="1" applyBorder="1" applyAlignment="1">
      <alignment horizontal="right" vertical="center"/>
    </xf>
    <xf numFmtId="165" fontId="12" fillId="0" borderId="6" xfId="0" applyFont="1" applyBorder="1" applyAlignment="1">
      <alignment horizontal="right" vertical="center"/>
    </xf>
    <xf numFmtId="165" fontId="16" fillId="0" borderId="0" xfId="0" applyFont="1" applyBorder="1" applyAlignment="1">
      <alignment horizontal="right" vertical="center"/>
    </xf>
    <xf numFmtId="165" fontId="12" fillId="0" borderId="55" xfId="0" applyFont="1" applyBorder="1" applyAlignment="1">
      <alignment horizontal="right" vertical="center"/>
    </xf>
    <xf numFmtId="165" fontId="12" fillId="0" borderId="41" xfId="0" applyFont="1" applyBorder="1" applyAlignment="1">
      <alignment horizontal="right" vertical="center"/>
    </xf>
    <xf numFmtId="169" fontId="12" fillId="0" borderId="24" xfId="0" applyNumberFormat="1" applyFont="1" applyBorder="1" applyAlignment="1">
      <alignment horizontal="center" vertical="center"/>
    </xf>
    <xf numFmtId="169" fontId="12" fillId="0" borderId="6" xfId="0" applyNumberFormat="1" applyFont="1" applyBorder="1" applyAlignment="1">
      <alignment horizontal="center" vertical="center"/>
    </xf>
    <xf numFmtId="169" fontId="12" fillId="0" borderId="33" xfId="0" applyNumberFormat="1" applyFont="1" applyBorder="1" applyAlignment="1">
      <alignment horizontal="center" vertical="center"/>
    </xf>
    <xf numFmtId="2" fontId="25" fillId="0" borderId="27" xfId="0" applyNumberFormat="1" applyFont="1" applyBorder="1" applyAlignment="1">
      <alignment horizontal="center" vertical="center"/>
    </xf>
    <xf numFmtId="165" fontId="0" fillId="0" borderId="0" xfId="0" applyAlignment="1">
      <alignment horizontal="center"/>
    </xf>
    <xf numFmtId="166" fontId="12" fillId="5" borderId="24" xfId="0" applyNumberFormat="1" applyFont="1" applyFill="1" applyBorder="1" applyAlignment="1" applyProtection="1">
      <alignment horizontal="center" vertical="center"/>
      <protection locked="0"/>
    </xf>
    <xf numFmtId="166" fontId="12" fillId="16" borderId="6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Alignment="1">
      <alignment horizontal="center" vertical="center"/>
    </xf>
    <xf numFmtId="0" fontId="0" fillId="0" borderId="0" xfId="0" applyNumberFormat="1"/>
    <xf numFmtId="165" fontId="4" fillId="0" borderId="0" xfId="0" applyFont="1" applyAlignment="1">
      <alignment horizontal="center" vertical="center" wrapText="1"/>
    </xf>
    <xf numFmtId="165" fontId="5" fillId="2" borderId="0" xfId="0" applyFont="1" applyFill="1" applyAlignment="1">
      <alignment horizontal="center" vertical="center"/>
    </xf>
    <xf numFmtId="165" fontId="4" fillId="0" borderId="1" xfId="0" applyFont="1" applyBorder="1" applyAlignment="1">
      <alignment horizontal="center" vertical="center"/>
    </xf>
    <xf numFmtId="165" fontId="4" fillId="0" borderId="7" xfId="0" applyFont="1" applyBorder="1" applyAlignment="1">
      <alignment horizontal="center" vertical="center"/>
    </xf>
    <xf numFmtId="165" fontId="4" fillId="0" borderId="3" xfId="0" applyFont="1" applyBorder="1" applyAlignment="1">
      <alignment horizontal="center" vertical="center"/>
    </xf>
    <xf numFmtId="165" fontId="4" fillId="0" borderId="9" xfId="0" applyFont="1" applyBorder="1" applyAlignment="1">
      <alignment horizontal="center" vertical="center"/>
    </xf>
    <xf numFmtId="165" fontId="0" fillId="0" borderId="5" xfId="0" applyBorder="1" applyAlignment="1">
      <alignment horizontal="center" textRotation="90"/>
    </xf>
    <xf numFmtId="165" fontId="15" fillId="4" borderId="11" xfId="0" applyFont="1" applyFill="1" applyBorder="1" applyAlignment="1">
      <alignment horizontal="left" vertical="center"/>
    </xf>
    <xf numFmtId="165" fontId="15" fillId="4" borderId="11" xfId="0" applyNumberFormat="1" applyFont="1" applyFill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2" fontId="22" fillId="0" borderId="14" xfId="0" applyNumberFormat="1" applyFont="1" applyBorder="1" applyAlignment="1">
      <alignment horizontal="center" vertical="center"/>
    </xf>
    <xf numFmtId="2" fontId="22" fillId="0" borderId="15" xfId="0" applyNumberFormat="1" applyFont="1" applyBorder="1" applyAlignment="1">
      <alignment horizontal="center" vertical="center"/>
    </xf>
    <xf numFmtId="2" fontId="23" fillId="0" borderId="13" xfId="0" applyNumberFormat="1" applyFont="1" applyBorder="1" applyAlignment="1">
      <alignment horizontal="center" vertical="center"/>
    </xf>
    <xf numFmtId="2" fontId="23" fillId="0" borderId="14" xfId="0" applyNumberFormat="1" applyFont="1" applyBorder="1" applyAlignment="1">
      <alignment horizontal="center" vertical="center"/>
    </xf>
    <xf numFmtId="2" fontId="23" fillId="0" borderId="15" xfId="0" applyNumberFormat="1" applyFont="1" applyBorder="1" applyAlignment="1">
      <alignment horizontal="center" vertical="center"/>
    </xf>
    <xf numFmtId="167" fontId="12" fillId="7" borderId="18" xfId="0" applyNumberFormat="1" applyFont="1" applyFill="1" applyBorder="1" applyAlignment="1">
      <alignment horizontal="center" vertical="center"/>
    </xf>
    <xf numFmtId="167" fontId="12" fillId="7" borderId="21" xfId="0" applyNumberFormat="1" applyFont="1" applyFill="1" applyBorder="1" applyAlignment="1">
      <alignment horizontal="center" vertical="center"/>
    </xf>
    <xf numFmtId="165" fontId="16" fillId="0" borderId="17" xfId="0" applyFont="1" applyBorder="1" applyAlignment="1">
      <alignment horizontal="left" vertical="top" wrapText="1"/>
    </xf>
    <xf numFmtId="165" fontId="16" fillId="0" borderId="65" xfId="0" applyFont="1" applyBorder="1" applyAlignment="1">
      <alignment horizontal="left" vertical="top" wrapText="1"/>
    </xf>
    <xf numFmtId="167" fontId="12" fillId="0" borderId="20" xfId="0" applyNumberFormat="1" applyFont="1" applyBorder="1" applyAlignment="1">
      <alignment horizontal="center" vertical="center"/>
    </xf>
    <xf numFmtId="167" fontId="12" fillId="0" borderId="21" xfId="0" applyNumberFormat="1" applyFont="1" applyBorder="1" applyAlignment="1">
      <alignment horizontal="center" vertical="center"/>
    </xf>
    <xf numFmtId="167" fontId="12" fillId="0" borderId="18" xfId="0" applyNumberFormat="1" applyFont="1" applyBorder="1" applyAlignment="1">
      <alignment horizontal="center" vertical="center"/>
    </xf>
    <xf numFmtId="168" fontId="24" fillId="8" borderId="19" xfId="0" applyNumberFormat="1" applyFont="1" applyFill="1" applyBorder="1" applyAlignment="1">
      <alignment horizontal="center" vertical="center" wrapText="1"/>
    </xf>
    <xf numFmtId="168" fontId="24" fillId="8" borderId="22" xfId="0" applyNumberFormat="1" applyFont="1" applyFill="1" applyBorder="1" applyAlignment="1">
      <alignment horizontal="center" vertical="center" wrapText="1"/>
    </xf>
    <xf numFmtId="165" fontId="31" fillId="13" borderId="0" xfId="0" applyFont="1" applyFill="1" applyAlignment="1">
      <alignment horizontal="center"/>
    </xf>
    <xf numFmtId="166" fontId="12" fillId="0" borderId="18" xfId="0" applyNumberFormat="1" applyFont="1" applyBorder="1" applyAlignment="1" applyProtection="1">
      <alignment horizontal="center" vertical="center" textRotation="90" wrapText="1"/>
      <protection locked="0"/>
    </xf>
    <xf numFmtId="166" fontId="12" fillId="0" borderId="20" xfId="0" applyNumberFormat="1" applyFont="1" applyBorder="1" applyAlignment="1" applyProtection="1">
      <alignment horizontal="center" vertical="center" textRotation="90" wrapText="1"/>
      <protection locked="0"/>
    </xf>
    <xf numFmtId="166" fontId="12" fillId="0" borderId="24" xfId="0" applyNumberFormat="1" applyFont="1" applyBorder="1" applyAlignment="1" applyProtection="1">
      <alignment horizontal="center" vertical="center" textRotation="90" wrapText="1"/>
      <protection locked="0"/>
    </xf>
    <xf numFmtId="165" fontId="0" fillId="0" borderId="0" xfId="0" applyAlignment="1">
      <alignment horizontal="center"/>
    </xf>
  </cellXfs>
  <cellStyles count="5">
    <cellStyle name="Comma" xfId="1" builtinId="3"/>
    <cellStyle name="Normal" xfId="0" builtinId="0"/>
    <cellStyle name="Normal 2" xfId="2"/>
    <cellStyle name="Normal 2 2" xfId="3"/>
    <cellStyle name="Normal 2 3" xfId="4"/>
  </cellStyles>
  <dxfs count="7045"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A0B-4B79-A96A-C8645B1AF5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A0B-4B79-A96A-C8645B1AF5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A0B-4B79-A96A-C8645B1AF5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BA0B-4B79-A96A-C8645B1AF51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BA0B-4B79-A96A-C8645B1AF51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'1'!$A$232:$A$236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'1'!$B$232:$B$236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BA0B-4B79-A96A-C8645B1AF51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'1'!$S$234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'1'!$T$232:$AX$232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'1'!$U$233:$AX$233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6153-4842-B24D-EF99B29E7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604160"/>
        <c:axId val="294667776"/>
      </c:lineChart>
      <c:catAx>
        <c:axId val="2946041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667776"/>
        <c:crosses val="autoZero"/>
        <c:auto val="1"/>
        <c:lblAlgn val="ctr"/>
        <c:lblOffset val="100"/>
        <c:noMultiLvlLbl val="0"/>
      </c:catAx>
      <c:valAx>
        <c:axId val="2946677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60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A0B-4B79-A96A-C8645B1AF5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A0B-4B79-A96A-C8645B1AF5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A0B-4B79-A96A-C8645B1AF5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BA0B-4B79-A96A-C8645B1AF51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BA0B-4B79-A96A-C8645B1AF51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'2'!$A$232:$A$236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'2'!$B$232:$B$236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BA0B-4B79-A96A-C8645B1AF51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'2'!$S$234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'2'!$T$232:$AX$232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'2'!$U$233:$AX$233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6153-4842-B24D-EF99B29E7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0113920"/>
        <c:axId val="300676992"/>
      </c:lineChart>
      <c:catAx>
        <c:axId val="3001139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676992"/>
        <c:crosses val="autoZero"/>
        <c:auto val="1"/>
        <c:lblAlgn val="ctr"/>
        <c:lblOffset val="100"/>
        <c:noMultiLvlLbl val="0"/>
      </c:catAx>
      <c:valAx>
        <c:axId val="3006769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11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'3'!$A$232:$A$236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'3'!$B$232:$B$236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'3'!$S$234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'3'!$T$232:$AX$232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'3'!$U$233:$AX$233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988928"/>
        <c:axId val="393241728"/>
      </c:lineChart>
      <c:catAx>
        <c:axId val="3929889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241728"/>
        <c:crosses val="autoZero"/>
        <c:auto val="1"/>
        <c:lblAlgn val="ctr"/>
        <c:lblOffset val="100"/>
        <c:noMultiLvlLbl val="0"/>
      </c:catAx>
      <c:valAx>
        <c:axId val="3932417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98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'4'!$A$232:$A$236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'4'!$B$232:$B$236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'4'!$S$234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'4'!$T$232:$AX$232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'4'!$U$233:$AX$233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576832"/>
        <c:axId val="397755136"/>
      </c:lineChart>
      <c:catAx>
        <c:axId val="3975768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755136"/>
        <c:crosses val="autoZero"/>
        <c:auto val="1"/>
        <c:lblAlgn val="ctr"/>
        <c:lblOffset val="100"/>
        <c:noMultiLvlLbl val="0"/>
      </c:catAx>
      <c:valAx>
        <c:axId val="3977551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57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'5'!$A$232:$A$236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'5'!$B$232:$B$236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'5'!$S$234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'5'!$T$232:$AX$232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'5'!$U$233:$AX$233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130560"/>
        <c:axId val="437006336"/>
      </c:lineChart>
      <c:catAx>
        <c:axId val="436130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006336"/>
        <c:crosses val="autoZero"/>
        <c:auto val="1"/>
        <c:lblAlgn val="ctr"/>
        <c:lblOffset val="100"/>
        <c:noMultiLvlLbl val="0"/>
      </c:catAx>
      <c:valAx>
        <c:axId val="4370063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13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'6'!$A$232:$A$236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'6'!$B$232:$B$236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'6'!$S$234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'6'!$T$232:$AX$232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'6'!$U$233:$AX$233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851456"/>
        <c:axId val="494692224"/>
      </c:lineChart>
      <c:catAx>
        <c:axId val="4608514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692224"/>
        <c:crosses val="autoZero"/>
        <c:auto val="1"/>
        <c:lblAlgn val="ctr"/>
        <c:lblOffset val="100"/>
        <c:noMultiLvlLbl val="0"/>
      </c:catAx>
      <c:valAx>
        <c:axId val="4946922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85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'7'!$A$232:$A$236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'7'!$B$232:$B$236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'7'!$S$234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'7'!$T$232:$AX$232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'7'!$U$233:$AX$233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580288"/>
        <c:axId val="560182400"/>
      </c:lineChart>
      <c:catAx>
        <c:axId val="5595802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182400"/>
        <c:crosses val="autoZero"/>
        <c:auto val="1"/>
        <c:lblAlgn val="ctr"/>
        <c:lblOffset val="100"/>
        <c:noMultiLvlLbl val="0"/>
      </c:catAx>
      <c:valAx>
        <c:axId val="5601824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8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'8'!$A$232:$A$236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'8'!$B$232:$B$236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'8'!$S$234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'8'!$T$232:$AX$232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'8'!$U$233:$AX$233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788096"/>
        <c:axId val="592798464"/>
      </c:lineChart>
      <c:catAx>
        <c:axId val="5927880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798464"/>
        <c:crosses val="autoZero"/>
        <c:auto val="1"/>
        <c:lblAlgn val="ctr"/>
        <c:lblOffset val="100"/>
        <c:noMultiLvlLbl val="0"/>
      </c:catAx>
      <c:valAx>
        <c:axId val="5927984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78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'9'!$A$232:$A$236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'9'!$B$232:$B$236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'9'!$S$234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'9'!$T$232:$AX$232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'9'!$U$233:$AX$233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3242752"/>
        <c:axId val="593249024"/>
      </c:lineChart>
      <c:catAx>
        <c:axId val="5932427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249024"/>
        <c:crosses val="autoZero"/>
        <c:auto val="1"/>
        <c:lblAlgn val="ctr"/>
        <c:lblOffset val="100"/>
        <c:noMultiLvlLbl val="0"/>
      </c:catAx>
      <c:valAx>
        <c:axId val="5932490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242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'10'!$A$232:$A$236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'10'!$B$232:$B$236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'10'!$S$234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'10'!$T$232:$AX$232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'10'!$U$233:$AX$233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3890688"/>
        <c:axId val="593905152"/>
      </c:lineChart>
      <c:catAx>
        <c:axId val="5938906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905152"/>
        <c:crosses val="autoZero"/>
        <c:auto val="1"/>
        <c:lblAlgn val="ctr"/>
        <c:lblOffset val="100"/>
        <c:noMultiLvlLbl val="0"/>
      </c:catAx>
      <c:valAx>
        <c:axId val="5939051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89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'11'!$A$232:$A$236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'11'!$B$232:$B$236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'11'!$S$234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'11'!$T$232:$AX$232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'11'!$U$233:$AX$233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391808"/>
        <c:axId val="594393728"/>
      </c:lineChart>
      <c:catAx>
        <c:axId val="5943918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393728"/>
        <c:crosses val="autoZero"/>
        <c:auto val="1"/>
        <c:lblAlgn val="ctr"/>
        <c:lblOffset val="100"/>
        <c:noMultiLvlLbl val="0"/>
      </c:catAx>
      <c:valAx>
        <c:axId val="5943937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39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'12'!$A$232:$A$236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'12'!$B$232:$B$236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'12'!$S$234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'12'!$T$232:$AX$232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'12'!$U$233:$AX$233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951168"/>
        <c:axId val="594973824"/>
      </c:lineChart>
      <c:catAx>
        <c:axId val="5949511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973824"/>
        <c:crosses val="autoZero"/>
        <c:auto val="1"/>
        <c:lblAlgn val="ctr"/>
        <c:lblOffset val="100"/>
        <c:noMultiLvlLbl val="0"/>
      </c:catAx>
      <c:valAx>
        <c:axId val="5949738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95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'13'!$A$232:$A$236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'13'!$B$232:$B$236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'13'!$S$234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'13'!$T$232:$AX$232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'13'!$U$233:$AX$233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5474688"/>
        <c:axId val="595480960"/>
      </c:lineChart>
      <c:catAx>
        <c:axId val="5954746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480960"/>
        <c:crosses val="autoZero"/>
        <c:auto val="1"/>
        <c:lblAlgn val="ctr"/>
        <c:lblOffset val="100"/>
        <c:noMultiLvlLbl val="0"/>
      </c:catAx>
      <c:valAx>
        <c:axId val="5954809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47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'14'!$A$232:$A$236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'14'!$B$232:$B$236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'14'!$S$234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'14'!$T$232:$AX$232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'14'!$U$233:$AX$233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5038208"/>
        <c:axId val="595040128"/>
      </c:lineChart>
      <c:catAx>
        <c:axId val="5950382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040128"/>
        <c:crosses val="autoZero"/>
        <c:auto val="1"/>
        <c:lblAlgn val="ctr"/>
        <c:lblOffset val="100"/>
        <c:noMultiLvlLbl val="0"/>
      </c:catAx>
      <c:valAx>
        <c:axId val="5950401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03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'15'!$A$232:$A$236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'15'!$B$232:$B$236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'15'!$S$234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'15'!$T$232:$AX$232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'15'!$U$233:$AX$233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6509824"/>
        <c:axId val="596511744"/>
      </c:lineChart>
      <c:catAx>
        <c:axId val="5965098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11744"/>
        <c:crosses val="autoZero"/>
        <c:auto val="1"/>
        <c:lblAlgn val="ctr"/>
        <c:lblOffset val="100"/>
        <c:noMultiLvlLbl val="0"/>
      </c:catAx>
      <c:valAx>
        <c:axId val="5965117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0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'16'!$A$232:$A$236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'16'!$B$232:$B$236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'16'!$S$234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'16'!$T$232:$AX$232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'16'!$U$233:$AX$233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6929536"/>
        <c:axId val="596935808"/>
      </c:lineChart>
      <c:catAx>
        <c:axId val="5969295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935808"/>
        <c:crosses val="autoZero"/>
        <c:auto val="1"/>
        <c:lblAlgn val="ctr"/>
        <c:lblOffset val="100"/>
        <c:noMultiLvlLbl val="0"/>
      </c:catAx>
      <c:valAx>
        <c:axId val="5969358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92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'17'!$A$232:$A$236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'17'!$B$232:$B$236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'17'!$S$234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'17'!$T$232:$AX$232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'17'!$U$233:$AX$233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680320"/>
        <c:axId val="598682240"/>
      </c:lineChart>
      <c:catAx>
        <c:axId val="5986803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682240"/>
        <c:crosses val="autoZero"/>
        <c:auto val="1"/>
        <c:lblAlgn val="ctr"/>
        <c:lblOffset val="100"/>
        <c:noMultiLvlLbl val="0"/>
      </c:catAx>
      <c:valAx>
        <c:axId val="5986822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68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'18'!$A$232:$A$236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'18'!$B$232:$B$236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'18'!$S$234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'18'!$T$232:$AX$232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'18'!$U$233:$AX$233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878848"/>
        <c:axId val="598905600"/>
      </c:lineChart>
      <c:catAx>
        <c:axId val="5988788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905600"/>
        <c:crosses val="autoZero"/>
        <c:auto val="1"/>
        <c:lblAlgn val="ctr"/>
        <c:lblOffset val="100"/>
        <c:noMultiLvlLbl val="0"/>
      </c:catAx>
      <c:valAx>
        <c:axId val="5989056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7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'19'!$A$232:$A$236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'19'!$B$232:$B$236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'19'!$S$234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'19'!$T$232:$AX$232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'19'!$U$233:$AX$233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9425408"/>
        <c:axId val="599427328"/>
      </c:lineChart>
      <c:catAx>
        <c:axId val="5994254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427328"/>
        <c:crosses val="autoZero"/>
        <c:auto val="1"/>
        <c:lblAlgn val="ctr"/>
        <c:lblOffset val="100"/>
        <c:noMultiLvlLbl val="0"/>
      </c:catAx>
      <c:valAx>
        <c:axId val="5994273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42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'20'!$A$232:$A$236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'20'!$B$232:$B$236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'20'!$S$234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'20'!$T$232:$AX$232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'20'!$U$233:$AX$233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111744"/>
        <c:axId val="600384256"/>
      </c:lineChart>
      <c:catAx>
        <c:axId val="6001117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384256"/>
        <c:crosses val="autoZero"/>
        <c:auto val="1"/>
        <c:lblAlgn val="ctr"/>
        <c:lblOffset val="100"/>
        <c:noMultiLvlLbl val="0"/>
      </c:catAx>
      <c:valAx>
        <c:axId val="6003842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11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'21'!$A$232:$A$236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'21'!$B$232:$B$236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'21'!$S$234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'21'!$T$232:$AX$232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'21'!$U$233:$AX$233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9662976"/>
        <c:axId val="599664896"/>
      </c:lineChart>
      <c:catAx>
        <c:axId val="5996629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64896"/>
        <c:crosses val="autoZero"/>
        <c:auto val="1"/>
        <c:lblAlgn val="ctr"/>
        <c:lblOffset val="100"/>
        <c:noMultiLvlLbl val="0"/>
      </c:catAx>
      <c:valAx>
        <c:axId val="5996648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6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'22'!$A$232:$A$236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'22'!$B$232:$B$236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'22'!$S$234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'22'!$T$232:$AX$232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'22'!$U$233:$AX$233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1151744"/>
        <c:axId val="601153920"/>
      </c:lineChart>
      <c:catAx>
        <c:axId val="6011517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153920"/>
        <c:crosses val="autoZero"/>
        <c:auto val="1"/>
        <c:lblAlgn val="ctr"/>
        <c:lblOffset val="100"/>
        <c:noMultiLvlLbl val="0"/>
      </c:catAx>
      <c:valAx>
        <c:axId val="6011539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15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'23'!$A$232:$A$236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'23'!$B$232:$B$236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'23'!$S$234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'23'!$T$232:$AX$232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'23'!$U$233:$AX$233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1761280"/>
        <c:axId val="601763200"/>
      </c:lineChart>
      <c:catAx>
        <c:axId val="6017612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763200"/>
        <c:crosses val="autoZero"/>
        <c:auto val="1"/>
        <c:lblAlgn val="ctr"/>
        <c:lblOffset val="100"/>
        <c:noMultiLvlLbl val="0"/>
      </c:catAx>
      <c:valAx>
        <c:axId val="6017632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76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'24'!$A$232:$A$236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'24'!$B$232:$B$236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'24'!$S$234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'24'!$T$232:$AX$232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'24'!$U$233:$AX$233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2313856"/>
        <c:axId val="602315776"/>
      </c:lineChart>
      <c:catAx>
        <c:axId val="6023138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15776"/>
        <c:crosses val="autoZero"/>
        <c:auto val="1"/>
        <c:lblAlgn val="ctr"/>
        <c:lblOffset val="100"/>
        <c:noMultiLvlLbl val="0"/>
      </c:catAx>
      <c:valAx>
        <c:axId val="6023157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1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'25'!$A$232:$A$236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'25'!$B$232:$B$236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'25'!$S$234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'25'!$T$232:$AX$232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'25'!$U$233:$AX$233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2842240"/>
        <c:axId val="602844160"/>
      </c:lineChart>
      <c:catAx>
        <c:axId val="6028422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844160"/>
        <c:crosses val="autoZero"/>
        <c:auto val="1"/>
        <c:lblAlgn val="ctr"/>
        <c:lblOffset val="100"/>
        <c:noMultiLvlLbl val="0"/>
      </c:catAx>
      <c:valAx>
        <c:axId val="6028441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84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'26'!$A$232:$A$236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'26'!$B$232:$B$236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'26'!$S$234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'26'!$T$232:$AX$232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'26'!$U$233:$AX$233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2884352"/>
        <c:axId val="602890624"/>
      </c:lineChart>
      <c:catAx>
        <c:axId val="6028843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890624"/>
        <c:crosses val="autoZero"/>
        <c:auto val="1"/>
        <c:lblAlgn val="ctr"/>
        <c:lblOffset val="100"/>
        <c:noMultiLvlLbl val="0"/>
      </c:catAx>
      <c:valAx>
        <c:axId val="6028906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88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'27'!$A$232:$A$236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'27'!$B$232:$B$236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'27'!$S$234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'27'!$T$232:$AX$232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'27'!$U$233:$AX$233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3976832"/>
        <c:axId val="603978752"/>
      </c:lineChart>
      <c:catAx>
        <c:axId val="6039768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978752"/>
        <c:crosses val="autoZero"/>
        <c:auto val="1"/>
        <c:lblAlgn val="ctr"/>
        <c:lblOffset val="100"/>
        <c:noMultiLvlLbl val="0"/>
      </c:catAx>
      <c:valAx>
        <c:axId val="6039787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97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'28'!$A$233:$A$237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'28'!$B$233:$B$237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'28'!$T$233:$AX$233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'28'!$U$234:$AX$234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4335104"/>
        <c:axId val="604341376"/>
      </c:lineChart>
      <c:catAx>
        <c:axId val="6043351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341376"/>
        <c:crosses val="autoZero"/>
        <c:auto val="1"/>
        <c:lblAlgn val="ctr"/>
        <c:lblOffset val="100"/>
        <c:noMultiLvlLbl val="0"/>
      </c:catAx>
      <c:valAx>
        <c:axId val="6043413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33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'29'!$B$233:$B$237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'29'!$T$233:$AX$233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'29'!$U$234:$AX$234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4987392"/>
        <c:axId val="604989312"/>
      </c:lineChart>
      <c:catAx>
        <c:axId val="6049873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989312"/>
        <c:crosses val="autoZero"/>
        <c:auto val="1"/>
        <c:lblAlgn val="ctr"/>
        <c:lblOffset val="100"/>
        <c:noMultiLvlLbl val="0"/>
      </c:catAx>
      <c:valAx>
        <c:axId val="6049893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98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'30'!$A$233:$A$237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'30'!$B$233:$B$237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'30'!$T$233:$AX$233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'30'!$U$234:$AX$234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5368320"/>
        <c:axId val="605370240"/>
      </c:lineChart>
      <c:catAx>
        <c:axId val="6053683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370240"/>
        <c:crosses val="autoZero"/>
        <c:auto val="1"/>
        <c:lblAlgn val="ctr"/>
        <c:lblOffset val="100"/>
        <c:noMultiLvlLbl val="0"/>
      </c:catAx>
      <c:valAx>
        <c:axId val="6053702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36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'31'!$A$233:$A$237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'31'!$B$233:$B$237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'31'!$T$233:$AX$233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'31'!$U$234:$AX$234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5967104"/>
        <c:axId val="605969024"/>
      </c:lineChart>
      <c:catAx>
        <c:axId val="6059671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969024"/>
        <c:crosses val="autoZero"/>
        <c:auto val="1"/>
        <c:lblAlgn val="ctr"/>
        <c:lblOffset val="100"/>
        <c:noMultiLvlLbl val="0"/>
      </c:catAx>
      <c:valAx>
        <c:axId val="6059690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96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Sample_new!$A$233:$A$237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Sample_new!$B$233:$B$237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Sample_new!$S$235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Sample_new!$T$233:$AX$233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Sample_new!$U$234:$AX$234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2446464"/>
        <c:axId val="602452736"/>
      </c:lineChart>
      <c:catAx>
        <c:axId val="6024464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452736"/>
        <c:crosses val="autoZero"/>
        <c:auto val="1"/>
        <c:lblAlgn val="ctr"/>
        <c:lblOffset val="100"/>
        <c:noMultiLvlLbl val="0"/>
      </c:catAx>
      <c:valAx>
        <c:axId val="6024527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44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231</xdr:row>
      <xdr:rowOff>57156</xdr:rowOff>
    </xdr:from>
    <xdr:to>
      <xdr:col>15</xdr:col>
      <xdr:colOff>219074</xdr:colOff>
      <xdr:row>253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8BCE7438-6947-44B3-B49A-8C3B4F25B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234</xdr:row>
      <xdr:rowOff>133356</xdr:rowOff>
    </xdr:from>
    <xdr:to>
      <xdr:col>32</xdr:col>
      <xdr:colOff>9524</xdr:colOff>
      <xdr:row>252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464FF1BC-9F1C-4A1B-AE95-0F80139E9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231</xdr:row>
      <xdr:rowOff>57156</xdr:rowOff>
    </xdr:from>
    <xdr:to>
      <xdr:col>15</xdr:col>
      <xdr:colOff>219074</xdr:colOff>
      <xdr:row>253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8BCE7438-6947-44B3-B49A-8C3B4F25B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234</xdr:row>
      <xdr:rowOff>133356</xdr:rowOff>
    </xdr:from>
    <xdr:to>
      <xdr:col>32</xdr:col>
      <xdr:colOff>9524</xdr:colOff>
      <xdr:row>252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464FF1BC-9F1C-4A1B-AE95-0F80139E9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231</xdr:row>
      <xdr:rowOff>57156</xdr:rowOff>
    </xdr:from>
    <xdr:to>
      <xdr:col>15</xdr:col>
      <xdr:colOff>219074</xdr:colOff>
      <xdr:row>253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234</xdr:row>
      <xdr:rowOff>133356</xdr:rowOff>
    </xdr:from>
    <xdr:to>
      <xdr:col>32</xdr:col>
      <xdr:colOff>9524</xdr:colOff>
      <xdr:row>252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231</xdr:row>
      <xdr:rowOff>57156</xdr:rowOff>
    </xdr:from>
    <xdr:to>
      <xdr:col>15</xdr:col>
      <xdr:colOff>219074</xdr:colOff>
      <xdr:row>253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234</xdr:row>
      <xdr:rowOff>133356</xdr:rowOff>
    </xdr:from>
    <xdr:to>
      <xdr:col>32</xdr:col>
      <xdr:colOff>9524</xdr:colOff>
      <xdr:row>252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231</xdr:row>
      <xdr:rowOff>57156</xdr:rowOff>
    </xdr:from>
    <xdr:to>
      <xdr:col>15</xdr:col>
      <xdr:colOff>219074</xdr:colOff>
      <xdr:row>253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234</xdr:row>
      <xdr:rowOff>133356</xdr:rowOff>
    </xdr:from>
    <xdr:to>
      <xdr:col>32</xdr:col>
      <xdr:colOff>9524</xdr:colOff>
      <xdr:row>252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231</xdr:row>
      <xdr:rowOff>57156</xdr:rowOff>
    </xdr:from>
    <xdr:to>
      <xdr:col>15</xdr:col>
      <xdr:colOff>219074</xdr:colOff>
      <xdr:row>253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234</xdr:row>
      <xdr:rowOff>133356</xdr:rowOff>
    </xdr:from>
    <xdr:to>
      <xdr:col>32</xdr:col>
      <xdr:colOff>9524</xdr:colOff>
      <xdr:row>252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231</xdr:row>
      <xdr:rowOff>57156</xdr:rowOff>
    </xdr:from>
    <xdr:to>
      <xdr:col>15</xdr:col>
      <xdr:colOff>219074</xdr:colOff>
      <xdr:row>253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234</xdr:row>
      <xdr:rowOff>133356</xdr:rowOff>
    </xdr:from>
    <xdr:to>
      <xdr:col>32</xdr:col>
      <xdr:colOff>9524</xdr:colOff>
      <xdr:row>252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231</xdr:row>
      <xdr:rowOff>57156</xdr:rowOff>
    </xdr:from>
    <xdr:to>
      <xdr:col>15</xdr:col>
      <xdr:colOff>219074</xdr:colOff>
      <xdr:row>253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234</xdr:row>
      <xdr:rowOff>133356</xdr:rowOff>
    </xdr:from>
    <xdr:to>
      <xdr:col>32</xdr:col>
      <xdr:colOff>9524</xdr:colOff>
      <xdr:row>252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231</xdr:row>
      <xdr:rowOff>57156</xdr:rowOff>
    </xdr:from>
    <xdr:to>
      <xdr:col>15</xdr:col>
      <xdr:colOff>219074</xdr:colOff>
      <xdr:row>253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234</xdr:row>
      <xdr:rowOff>133356</xdr:rowOff>
    </xdr:from>
    <xdr:to>
      <xdr:col>32</xdr:col>
      <xdr:colOff>9524</xdr:colOff>
      <xdr:row>252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231</xdr:row>
      <xdr:rowOff>57156</xdr:rowOff>
    </xdr:from>
    <xdr:to>
      <xdr:col>15</xdr:col>
      <xdr:colOff>219074</xdr:colOff>
      <xdr:row>253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234</xdr:row>
      <xdr:rowOff>133356</xdr:rowOff>
    </xdr:from>
    <xdr:to>
      <xdr:col>32</xdr:col>
      <xdr:colOff>9524</xdr:colOff>
      <xdr:row>252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231</xdr:row>
      <xdr:rowOff>57156</xdr:rowOff>
    </xdr:from>
    <xdr:to>
      <xdr:col>15</xdr:col>
      <xdr:colOff>219074</xdr:colOff>
      <xdr:row>253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234</xdr:row>
      <xdr:rowOff>133356</xdr:rowOff>
    </xdr:from>
    <xdr:to>
      <xdr:col>32</xdr:col>
      <xdr:colOff>9524</xdr:colOff>
      <xdr:row>252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231</xdr:row>
      <xdr:rowOff>57156</xdr:rowOff>
    </xdr:from>
    <xdr:to>
      <xdr:col>15</xdr:col>
      <xdr:colOff>219074</xdr:colOff>
      <xdr:row>253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234</xdr:row>
      <xdr:rowOff>133356</xdr:rowOff>
    </xdr:from>
    <xdr:to>
      <xdr:col>32</xdr:col>
      <xdr:colOff>9524</xdr:colOff>
      <xdr:row>252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231</xdr:row>
      <xdr:rowOff>57156</xdr:rowOff>
    </xdr:from>
    <xdr:to>
      <xdr:col>15</xdr:col>
      <xdr:colOff>219074</xdr:colOff>
      <xdr:row>253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234</xdr:row>
      <xdr:rowOff>133356</xdr:rowOff>
    </xdr:from>
    <xdr:to>
      <xdr:col>32</xdr:col>
      <xdr:colOff>9524</xdr:colOff>
      <xdr:row>252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231</xdr:row>
      <xdr:rowOff>57156</xdr:rowOff>
    </xdr:from>
    <xdr:to>
      <xdr:col>15</xdr:col>
      <xdr:colOff>219074</xdr:colOff>
      <xdr:row>253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234</xdr:row>
      <xdr:rowOff>133356</xdr:rowOff>
    </xdr:from>
    <xdr:to>
      <xdr:col>32</xdr:col>
      <xdr:colOff>9524</xdr:colOff>
      <xdr:row>252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231</xdr:row>
      <xdr:rowOff>57156</xdr:rowOff>
    </xdr:from>
    <xdr:to>
      <xdr:col>15</xdr:col>
      <xdr:colOff>219074</xdr:colOff>
      <xdr:row>253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234</xdr:row>
      <xdr:rowOff>133356</xdr:rowOff>
    </xdr:from>
    <xdr:to>
      <xdr:col>32</xdr:col>
      <xdr:colOff>9524</xdr:colOff>
      <xdr:row>252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231</xdr:row>
      <xdr:rowOff>57156</xdr:rowOff>
    </xdr:from>
    <xdr:to>
      <xdr:col>15</xdr:col>
      <xdr:colOff>219074</xdr:colOff>
      <xdr:row>253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234</xdr:row>
      <xdr:rowOff>133356</xdr:rowOff>
    </xdr:from>
    <xdr:to>
      <xdr:col>32</xdr:col>
      <xdr:colOff>9524</xdr:colOff>
      <xdr:row>252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231</xdr:row>
      <xdr:rowOff>57156</xdr:rowOff>
    </xdr:from>
    <xdr:to>
      <xdr:col>15</xdr:col>
      <xdr:colOff>219074</xdr:colOff>
      <xdr:row>253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234</xdr:row>
      <xdr:rowOff>133356</xdr:rowOff>
    </xdr:from>
    <xdr:to>
      <xdr:col>32</xdr:col>
      <xdr:colOff>9524</xdr:colOff>
      <xdr:row>252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231</xdr:row>
      <xdr:rowOff>57156</xdr:rowOff>
    </xdr:from>
    <xdr:to>
      <xdr:col>15</xdr:col>
      <xdr:colOff>219074</xdr:colOff>
      <xdr:row>253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234</xdr:row>
      <xdr:rowOff>133356</xdr:rowOff>
    </xdr:from>
    <xdr:to>
      <xdr:col>32</xdr:col>
      <xdr:colOff>9524</xdr:colOff>
      <xdr:row>252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231</xdr:row>
      <xdr:rowOff>57156</xdr:rowOff>
    </xdr:from>
    <xdr:to>
      <xdr:col>15</xdr:col>
      <xdr:colOff>219074</xdr:colOff>
      <xdr:row>253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234</xdr:row>
      <xdr:rowOff>133356</xdr:rowOff>
    </xdr:from>
    <xdr:to>
      <xdr:col>32</xdr:col>
      <xdr:colOff>9524</xdr:colOff>
      <xdr:row>252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231</xdr:row>
      <xdr:rowOff>57156</xdr:rowOff>
    </xdr:from>
    <xdr:to>
      <xdr:col>15</xdr:col>
      <xdr:colOff>219074</xdr:colOff>
      <xdr:row>253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234</xdr:row>
      <xdr:rowOff>133356</xdr:rowOff>
    </xdr:from>
    <xdr:to>
      <xdr:col>32</xdr:col>
      <xdr:colOff>9524</xdr:colOff>
      <xdr:row>252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231</xdr:row>
      <xdr:rowOff>57156</xdr:rowOff>
    </xdr:from>
    <xdr:to>
      <xdr:col>15</xdr:col>
      <xdr:colOff>219074</xdr:colOff>
      <xdr:row>253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234</xdr:row>
      <xdr:rowOff>133356</xdr:rowOff>
    </xdr:from>
    <xdr:to>
      <xdr:col>32</xdr:col>
      <xdr:colOff>9524</xdr:colOff>
      <xdr:row>252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231</xdr:row>
      <xdr:rowOff>57156</xdr:rowOff>
    </xdr:from>
    <xdr:to>
      <xdr:col>15</xdr:col>
      <xdr:colOff>219074</xdr:colOff>
      <xdr:row>253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234</xdr:row>
      <xdr:rowOff>133356</xdr:rowOff>
    </xdr:from>
    <xdr:to>
      <xdr:col>32</xdr:col>
      <xdr:colOff>9524</xdr:colOff>
      <xdr:row>252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231</xdr:row>
      <xdr:rowOff>57156</xdr:rowOff>
    </xdr:from>
    <xdr:to>
      <xdr:col>15</xdr:col>
      <xdr:colOff>219074</xdr:colOff>
      <xdr:row>253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234</xdr:row>
      <xdr:rowOff>133356</xdr:rowOff>
    </xdr:from>
    <xdr:to>
      <xdr:col>32</xdr:col>
      <xdr:colOff>9524</xdr:colOff>
      <xdr:row>252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231</xdr:row>
      <xdr:rowOff>57156</xdr:rowOff>
    </xdr:from>
    <xdr:to>
      <xdr:col>15</xdr:col>
      <xdr:colOff>219074</xdr:colOff>
      <xdr:row>253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234</xdr:row>
      <xdr:rowOff>133356</xdr:rowOff>
    </xdr:from>
    <xdr:to>
      <xdr:col>32</xdr:col>
      <xdr:colOff>9524</xdr:colOff>
      <xdr:row>252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231</xdr:row>
      <xdr:rowOff>57156</xdr:rowOff>
    </xdr:from>
    <xdr:to>
      <xdr:col>15</xdr:col>
      <xdr:colOff>219074</xdr:colOff>
      <xdr:row>253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234</xdr:row>
      <xdr:rowOff>133356</xdr:rowOff>
    </xdr:from>
    <xdr:to>
      <xdr:col>32</xdr:col>
      <xdr:colOff>9524</xdr:colOff>
      <xdr:row>252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231</xdr:row>
      <xdr:rowOff>57156</xdr:rowOff>
    </xdr:from>
    <xdr:to>
      <xdr:col>15</xdr:col>
      <xdr:colOff>219074</xdr:colOff>
      <xdr:row>253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234</xdr:row>
      <xdr:rowOff>133356</xdr:rowOff>
    </xdr:from>
    <xdr:to>
      <xdr:col>32</xdr:col>
      <xdr:colOff>9524</xdr:colOff>
      <xdr:row>252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231</xdr:row>
      <xdr:rowOff>57156</xdr:rowOff>
    </xdr:from>
    <xdr:to>
      <xdr:col>15</xdr:col>
      <xdr:colOff>219074</xdr:colOff>
      <xdr:row>253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234</xdr:row>
      <xdr:rowOff>133356</xdr:rowOff>
    </xdr:from>
    <xdr:to>
      <xdr:col>32</xdr:col>
      <xdr:colOff>9524</xdr:colOff>
      <xdr:row>252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Roaming\Microsoft\AddIns\SkyDateConverter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  <sheetName val="Sheet1"/>
      <sheetName val="Sheet2"/>
      <sheetName val="Sheet3"/>
      <sheetName val="SkyDateConverter"/>
    </sheetNames>
    <definedNames>
      <definedName name="DateBStoAD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2"/>
  <sheetViews>
    <sheetView zoomScale="90" zoomScaleNormal="9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I69" sqref="I69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8.7109375" style="1"/>
    <col min="38" max="41" width="9.140625" customWidth="1"/>
  </cols>
  <sheetData>
    <row r="1" spans="1:88" ht="36" customHeight="1" thickBot="1" x14ac:dyDescent="0.4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7.45" x14ac:dyDescent="0.35">
      <c r="A4" s="27" t="s">
        <v>11</v>
      </c>
      <c r="B4" s="191" t="str">
        <f ca="1">"2079/"&amp;"02/"&amp;INT(MID(CELL("filename",D6),FIND("]",CELL("filename",D6))+1,200))</f>
        <v>2079/02/1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("&amp;ROUND(B237,0)&amp;" MW)"&amp;"    IPP   = "&amp;ROUND(B232,0)&amp;" MW     NEA RoR = "&amp;ROUND(B233,0)&amp;" MWImport   = "&amp;ROUND(B235,0)&amp;" MW      KL1+KL2+K3 = "&amp;ROUND(B234,0) &amp;" MW    EXPORT = "&amp;ROUND(B236,0)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35">
      <c r="A5" s="31"/>
      <c r="B5" s="32">
        <f t="shared" ref="B5:AE5" si="0">C72</f>
        <v>35</v>
      </c>
      <c r="C5" s="32">
        <f t="shared" si="0"/>
        <v>32.700000000000003</v>
      </c>
      <c r="D5" s="32">
        <f t="shared" si="0"/>
        <v>32.700000000000003</v>
      </c>
      <c r="E5" s="32">
        <f t="shared" si="0"/>
        <v>33.6</v>
      </c>
      <c r="F5" s="32">
        <f t="shared" si="0"/>
        <v>30.2</v>
      </c>
      <c r="G5" s="32">
        <f t="shared" si="0"/>
        <v>30.2</v>
      </c>
      <c r="H5" s="32">
        <f t="shared" si="0"/>
        <v>30.2</v>
      </c>
      <c r="I5" s="32">
        <f t="shared" si="0"/>
        <v>30.2</v>
      </c>
      <c r="J5" s="32">
        <f t="shared" si="0"/>
        <v>53</v>
      </c>
      <c r="K5" s="32">
        <f t="shared" si="0"/>
        <v>56.9</v>
      </c>
      <c r="L5" s="32">
        <f t="shared" si="0"/>
        <v>49.3</v>
      </c>
      <c r="M5" s="32">
        <f t="shared" si="0"/>
        <v>37.4</v>
      </c>
      <c r="N5" s="32">
        <f t="shared" si="0"/>
        <v>74.7</v>
      </c>
      <c r="O5" s="32">
        <f t="shared" si="0"/>
        <v>70.099999999999994</v>
      </c>
      <c r="P5" s="32">
        <f t="shared" si="0"/>
        <v>70.599999999999994</v>
      </c>
      <c r="Q5" s="32">
        <f t="shared" si="0"/>
        <v>72</v>
      </c>
      <c r="R5" s="32">
        <f t="shared" si="0"/>
        <v>70</v>
      </c>
      <c r="S5" s="32">
        <f t="shared" si="0"/>
        <v>64</v>
      </c>
      <c r="T5" s="32">
        <f t="shared" si="0"/>
        <v>5</v>
      </c>
      <c r="U5" s="32">
        <f t="shared" si="0"/>
        <v>71</v>
      </c>
      <c r="V5" s="32">
        <f t="shared" si="0"/>
        <v>69</v>
      </c>
      <c r="W5" s="32">
        <f t="shared" si="0"/>
        <v>63.4</v>
      </c>
      <c r="X5" s="32">
        <f t="shared" si="0"/>
        <v>43</v>
      </c>
      <c r="Y5" s="32">
        <f t="shared" si="0"/>
        <v>44</v>
      </c>
      <c r="Z5" s="32">
        <f t="shared" si="0"/>
        <v>46</v>
      </c>
      <c r="AA5" s="32">
        <f t="shared" si="0"/>
        <v>71.900000000000006</v>
      </c>
      <c r="AB5" s="32">
        <f t="shared" si="0"/>
        <v>75.400000000000006</v>
      </c>
      <c r="AC5" s="32">
        <f t="shared" si="0"/>
        <v>68.2</v>
      </c>
      <c r="AD5" s="32">
        <f t="shared" si="0"/>
        <v>64</v>
      </c>
      <c r="AE5" s="32">
        <f t="shared" si="0"/>
        <v>65</v>
      </c>
      <c r="AF5" s="32">
        <f>B72</f>
        <v>22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7.45" x14ac:dyDescent="0.3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"&amp;ROUND(B237,0)&amp;"MW at "&amp;TRUNC(B238*24,0)&amp;":"&amp;ROUND((B238*24-TRUNC(B238*24,0))*60,0)&amp;"hr at "&amp;ROUND(B239,1)&amp;"Hz     "&amp;A229&amp;" "&amp;ROUND(B229,0)&amp;"MW at "&amp;TRUNC(C229*24,0)&amp;":"&amp;ROUND((C229*24-TRUNC(C229*24,0))*6,0)&amp;"0hr"</f>
        <v>Evening Peak 0MW at 0:0hr at 0Hz     Morning Peak 1850MW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5.95" thickBot="1" x14ac:dyDescent="0.4">
      <c r="A7" s="36" t="str">
        <f>"Base Load="&amp;ROUND(MIN($B$7:$AF$7),0)</f>
        <v>Base Load=1703</v>
      </c>
      <c r="B7" s="37">
        <f>B79</f>
        <v>1853.44</v>
      </c>
      <c r="C7" s="37">
        <f t="shared" ref="C7:AF7" si="1">C79</f>
        <v>1827.6399999999999</v>
      </c>
      <c r="D7" s="37">
        <f t="shared" si="1"/>
        <v>1796.74</v>
      </c>
      <c r="E7" s="37">
        <f t="shared" si="1"/>
        <v>1768.74</v>
      </c>
      <c r="F7" s="37">
        <f t="shared" si="1"/>
        <v>1755.9399999999998</v>
      </c>
      <c r="G7" s="37">
        <f t="shared" si="1"/>
        <v>1732.94</v>
      </c>
      <c r="H7" s="37">
        <f t="shared" si="1"/>
        <v>1702.54</v>
      </c>
      <c r="I7" s="37">
        <f t="shared" si="1"/>
        <v>1732.54</v>
      </c>
      <c r="J7" s="37">
        <f t="shared" si="1"/>
        <v>1718.54</v>
      </c>
      <c r="K7" s="37">
        <f t="shared" si="1"/>
        <v>1788.1399999999999</v>
      </c>
      <c r="L7" s="37">
        <f t="shared" si="1"/>
        <v>1783.2400000000002</v>
      </c>
      <c r="M7" s="37">
        <f t="shared" si="1"/>
        <v>1850.34</v>
      </c>
      <c r="N7" s="37">
        <f t="shared" si="1"/>
        <v>1836.94</v>
      </c>
      <c r="O7" s="37">
        <f t="shared" si="1"/>
        <v>1884.84</v>
      </c>
      <c r="P7" s="37">
        <f t="shared" si="1"/>
        <v>1897.64</v>
      </c>
      <c r="Q7" s="37">
        <f t="shared" si="1"/>
        <v>1920.94</v>
      </c>
      <c r="R7" s="37">
        <f t="shared" si="1"/>
        <v>1899.1399999999999</v>
      </c>
      <c r="S7" s="37">
        <f t="shared" si="1"/>
        <v>1915.64</v>
      </c>
      <c r="T7" s="37">
        <f t="shared" si="1"/>
        <v>1878.14</v>
      </c>
      <c r="U7" s="37">
        <f t="shared" si="1"/>
        <v>1857.14</v>
      </c>
      <c r="V7" s="37">
        <f t="shared" si="1"/>
        <v>1846.1399999999999</v>
      </c>
      <c r="W7" s="37">
        <f t="shared" si="1"/>
        <v>1836.1399999999999</v>
      </c>
      <c r="X7" s="37">
        <f t="shared" si="1"/>
        <v>1853.1399999999999</v>
      </c>
      <c r="Y7" s="37">
        <f t="shared" si="1"/>
        <v>1827.54</v>
      </c>
      <c r="Z7" s="37">
        <f t="shared" si="1"/>
        <v>1820.54</v>
      </c>
      <c r="AA7" s="37">
        <f t="shared" si="1"/>
        <v>1872.3400000000001</v>
      </c>
      <c r="AB7" s="37">
        <f t="shared" si="1"/>
        <v>1885.5400000000002</v>
      </c>
      <c r="AC7" s="37">
        <f t="shared" si="1"/>
        <v>1889.14</v>
      </c>
      <c r="AD7" s="37">
        <f t="shared" si="1"/>
        <v>1894.14</v>
      </c>
      <c r="AE7" s="37">
        <f t="shared" si="1"/>
        <v>1876.3400000000001</v>
      </c>
      <c r="AF7" s="37">
        <f t="shared" si="1"/>
        <v>1882.04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6.5" thickTop="1" thickBot="1" x14ac:dyDescent="0.4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0">
        <v>53.8</v>
      </c>
      <c r="C11" s="49">
        <v>53.8</v>
      </c>
      <c r="D11" s="49">
        <v>53.8</v>
      </c>
      <c r="E11" s="50">
        <v>53.8</v>
      </c>
      <c r="F11" s="50">
        <v>53.8</v>
      </c>
      <c r="G11" s="50">
        <v>53.8</v>
      </c>
      <c r="H11" s="50">
        <v>53.8</v>
      </c>
      <c r="I11" s="50">
        <v>53.8</v>
      </c>
      <c r="J11" s="51">
        <v>53.8</v>
      </c>
      <c r="K11" s="51">
        <v>53.8</v>
      </c>
      <c r="L11" s="51">
        <v>53.8</v>
      </c>
      <c r="M11" s="50">
        <v>53.8</v>
      </c>
      <c r="N11" s="50">
        <v>53.8</v>
      </c>
      <c r="O11" s="50">
        <v>53.8</v>
      </c>
      <c r="P11" s="50">
        <v>53.9</v>
      </c>
      <c r="Q11" s="50">
        <v>53.9</v>
      </c>
      <c r="R11" s="50">
        <v>53.9</v>
      </c>
      <c r="S11" s="50">
        <v>53.9</v>
      </c>
      <c r="T11" s="50">
        <v>53.9</v>
      </c>
      <c r="U11" s="50">
        <v>53.9</v>
      </c>
      <c r="V11" s="50">
        <v>27.5</v>
      </c>
      <c r="W11" s="50">
        <v>27.5</v>
      </c>
      <c r="X11" s="50">
        <v>27.5</v>
      </c>
      <c r="Y11" s="52">
        <v>54.3</v>
      </c>
      <c r="Z11" s="52">
        <v>54.3</v>
      </c>
      <c r="AA11" s="52">
        <v>54.3</v>
      </c>
      <c r="AB11" s="52">
        <v>54.5</v>
      </c>
      <c r="AC11" s="52">
        <v>54.5</v>
      </c>
      <c r="AD11" s="52">
        <v>54.5</v>
      </c>
      <c r="AE11" s="52">
        <v>54.4</v>
      </c>
      <c r="AF11" s="52">
        <v>54.4</v>
      </c>
      <c r="AG11" s="133">
        <v>52.4</v>
      </c>
      <c r="AH11" s="54">
        <f>MAX(B11:AF11)</f>
        <v>54.5</v>
      </c>
      <c r="AI11" s="55">
        <f>MIN(B11:AF11)</f>
        <v>27.5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50.4</v>
      </c>
      <c r="C12" s="50">
        <v>50.4</v>
      </c>
      <c r="D12" s="50">
        <v>50.4</v>
      </c>
      <c r="E12" s="50">
        <v>50.4</v>
      </c>
      <c r="F12" s="50">
        <v>50.4</v>
      </c>
      <c r="G12" s="50">
        <v>50.4</v>
      </c>
      <c r="H12" s="50">
        <v>50.4</v>
      </c>
      <c r="I12" s="50">
        <v>50.4</v>
      </c>
      <c r="J12" s="50">
        <v>50.4</v>
      </c>
      <c r="K12" s="50">
        <v>50.4</v>
      </c>
      <c r="L12" s="50">
        <v>50.4</v>
      </c>
      <c r="M12" s="50">
        <v>50.4</v>
      </c>
      <c r="N12" s="50">
        <v>50.4</v>
      </c>
      <c r="O12" s="50">
        <v>50.4</v>
      </c>
      <c r="P12" s="50">
        <v>50.4</v>
      </c>
      <c r="Q12" s="50">
        <v>50.4</v>
      </c>
      <c r="R12" s="50">
        <v>50.4</v>
      </c>
      <c r="S12" s="50">
        <v>50.4</v>
      </c>
      <c r="T12" s="50">
        <v>50.4</v>
      </c>
      <c r="U12" s="50">
        <v>50.4</v>
      </c>
      <c r="V12" s="50">
        <v>50.4</v>
      </c>
      <c r="W12" s="50">
        <v>50.4</v>
      </c>
      <c r="X12" s="50">
        <v>50.4</v>
      </c>
      <c r="Y12" s="50">
        <v>50.4</v>
      </c>
      <c r="Z12" s="50">
        <v>50.4</v>
      </c>
      <c r="AA12" s="50">
        <v>50.4</v>
      </c>
      <c r="AB12" s="50">
        <v>50.5</v>
      </c>
      <c r="AC12" s="50">
        <v>50.5</v>
      </c>
      <c r="AD12" s="50">
        <v>50.5</v>
      </c>
      <c r="AE12" s="50">
        <v>50.4</v>
      </c>
      <c r="AF12" s="50">
        <v>50.7</v>
      </c>
      <c r="AG12" s="134">
        <v>50</v>
      </c>
      <c r="AH12" s="54">
        <f t="shared" ref="AH12:AH79" si="2">MAX(B12:AF12)</f>
        <v>50.7</v>
      </c>
      <c r="AI12" s="55">
        <f t="shared" ref="AI12:AI79" si="3">MIN(B12:AF12)</f>
        <v>50.4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46</v>
      </c>
      <c r="C13" s="50">
        <v>46</v>
      </c>
      <c r="D13" s="50">
        <v>46</v>
      </c>
      <c r="E13" s="50">
        <v>46</v>
      </c>
      <c r="F13" s="50">
        <v>46</v>
      </c>
      <c r="G13" s="50">
        <v>46</v>
      </c>
      <c r="H13" s="50">
        <v>46</v>
      </c>
      <c r="I13" s="50">
        <v>46</v>
      </c>
      <c r="J13" s="50">
        <v>46</v>
      </c>
      <c r="K13" s="50">
        <v>46</v>
      </c>
      <c r="L13" s="50">
        <v>46</v>
      </c>
      <c r="M13" s="50">
        <v>46</v>
      </c>
      <c r="N13" s="50">
        <v>46</v>
      </c>
      <c r="O13" s="50">
        <v>46</v>
      </c>
      <c r="P13" s="50">
        <v>46</v>
      </c>
      <c r="Q13" s="50">
        <v>46</v>
      </c>
      <c r="R13" s="50">
        <v>46</v>
      </c>
      <c r="S13" s="50">
        <v>46</v>
      </c>
      <c r="T13" s="50">
        <v>46</v>
      </c>
      <c r="U13" s="50">
        <v>46</v>
      </c>
      <c r="V13" s="50">
        <v>46</v>
      </c>
      <c r="W13" s="50">
        <v>46</v>
      </c>
      <c r="X13" s="50">
        <v>46</v>
      </c>
      <c r="Y13" s="50">
        <v>46</v>
      </c>
      <c r="Z13" s="50">
        <v>46</v>
      </c>
      <c r="AA13" s="50">
        <v>46</v>
      </c>
      <c r="AB13" s="50">
        <v>46</v>
      </c>
      <c r="AC13" s="50">
        <v>46</v>
      </c>
      <c r="AD13" s="50">
        <v>46</v>
      </c>
      <c r="AE13" s="50">
        <v>46</v>
      </c>
      <c r="AF13" s="50">
        <v>46</v>
      </c>
      <c r="AG13" s="134">
        <v>45</v>
      </c>
      <c r="AH13" s="54">
        <f t="shared" si="2"/>
        <v>46</v>
      </c>
      <c r="AI13" s="55">
        <f t="shared" si="3"/>
        <v>46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40</v>
      </c>
      <c r="C14" s="50">
        <v>35</v>
      </c>
      <c r="D14" s="50">
        <v>28</v>
      </c>
      <c r="E14" s="50">
        <v>0</v>
      </c>
      <c r="F14" s="50">
        <v>0</v>
      </c>
      <c r="G14" s="50">
        <v>0</v>
      </c>
      <c r="H14" s="50">
        <v>0</v>
      </c>
      <c r="I14" s="50">
        <v>30</v>
      </c>
      <c r="J14" s="50">
        <v>30</v>
      </c>
      <c r="K14" s="50">
        <v>30</v>
      </c>
      <c r="L14" s="50">
        <v>30</v>
      </c>
      <c r="M14" s="50">
        <v>37</v>
      </c>
      <c r="N14" s="50">
        <v>40</v>
      </c>
      <c r="O14" s="50">
        <v>40</v>
      </c>
      <c r="P14" s="50">
        <v>40</v>
      </c>
      <c r="Q14" s="50">
        <v>40</v>
      </c>
      <c r="R14" s="50">
        <v>40</v>
      </c>
      <c r="S14" s="50">
        <v>40</v>
      </c>
      <c r="T14" s="50">
        <v>40</v>
      </c>
      <c r="U14" s="50">
        <v>40</v>
      </c>
      <c r="V14" s="50">
        <v>40</v>
      </c>
      <c r="W14" s="50">
        <v>30</v>
      </c>
      <c r="X14" s="50">
        <v>30</v>
      </c>
      <c r="Y14" s="50">
        <v>41</v>
      </c>
      <c r="Z14" s="50">
        <v>41</v>
      </c>
      <c r="AA14" s="50">
        <v>41</v>
      </c>
      <c r="AB14" s="50">
        <v>41</v>
      </c>
      <c r="AC14" s="50">
        <v>41</v>
      </c>
      <c r="AD14" s="50">
        <v>41</v>
      </c>
      <c r="AE14" s="50">
        <v>41</v>
      </c>
      <c r="AF14" s="50">
        <v>41</v>
      </c>
      <c r="AG14" s="134">
        <v>42</v>
      </c>
      <c r="AH14" s="54">
        <f t="shared" si="2"/>
        <v>41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30</v>
      </c>
      <c r="C15" s="50">
        <v>30</v>
      </c>
      <c r="D15" s="50">
        <v>30</v>
      </c>
      <c r="E15" s="50">
        <v>30</v>
      </c>
      <c r="F15" s="50">
        <v>30</v>
      </c>
      <c r="G15" s="50">
        <v>30</v>
      </c>
      <c r="H15" s="50">
        <v>30</v>
      </c>
      <c r="I15" s="50">
        <v>30</v>
      </c>
      <c r="J15" s="50">
        <v>30</v>
      </c>
      <c r="K15" s="50">
        <v>30</v>
      </c>
      <c r="L15" s="50">
        <v>30</v>
      </c>
      <c r="M15" s="50">
        <v>30</v>
      </c>
      <c r="N15" s="50">
        <v>30</v>
      </c>
      <c r="O15" s="50">
        <v>30</v>
      </c>
      <c r="P15" s="50">
        <v>30</v>
      </c>
      <c r="Q15" s="50">
        <v>30</v>
      </c>
      <c r="R15" s="50">
        <v>30</v>
      </c>
      <c r="S15" s="50">
        <v>30</v>
      </c>
      <c r="T15" s="50">
        <v>30</v>
      </c>
      <c r="U15" s="50">
        <v>30</v>
      </c>
      <c r="V15" s="50">
        <v>30</v>
      </c>
      <c r="W15" s="50">
        <v>30</v>
      </c>
      <c r="X15" s="50">
        <v>30</v>
      </c>
      <c r="Y15" s="50">
        <v>20</v>
      </c>
      <c r="Z15" s="50">
        <v>20</v>
      </c>
      <c r="AA15" s="50">
        <v>30</v>
      </c>
      <c r="AB15" s="50">
        <v>30</v>
      </c>
      <c r="AC15" s="50">
        <v>30</v>
      </c>
      <c r="AD15" s="50">
        <v>30</v>
      </c>
      <c r="AE15" s="50">
        <v>30</v>
      </c>
      <c r="AF15" s="50">
        <v>30</v>
      </c>
      <c r="AG15" s="135">
        <v>30</v>
      </c>
      <c r="AH15" s="54">
        <f t="shared" si="2"/>
        <v>30</v>
      </c>
      <c r="AI15" s="55">
        <f t="shared" si="3"/>
        <v>20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26.2</v>
      </c>
      <c r="C16" s="50">
        <v>26.2</v>
      </c>
      <c r="D16" s="50">
        <v>26.2</v>
      </c>
      <c r="E16" s="50">
        <v>26.2</v>
      </c>
      <c r="F16" s="50">
        <v>26.2</v>
      </c>
      <c r="G16" s="50">
        <v>26.2</v>
      </c>
      <c r="H16" s="50">
        <v>26.2</v>
      </c>
      <c r="I16" s="50">
        <v>26.2</v>
      </c>
      <c r="J16" s="50">
        <v>26.2</v>
      </c>
      <c r="K16" s="50">
        <v>26.2</v>
      </c>
      <c r="L16" s="50">
        <v>26.2</v>
      </c>
      <c r="M16" s="50">
        <v>26.2</v>
      </c>
      <c r="N16" s="50">
        <v>26.2</v>
      </c>
      <c r="O16" s="50">
        <v>26.2</v>
      </c>
      <c r="P16" s="50">
        <v>26.2</v>
      </c>
      <c r="Q16" s="50">
        <v>26.2</v>
      </c>
      <c r="R16" s="50">
        <v>26.2</v>
      </c>
      <c r="S16" s="50">
        <v>26.2</v>
      </c>
      <c r="T16" s="50">
        <v>26.2</v>
      </c>
      <c r="U16" s="50">
        <v>26.2</v>
      </c>
      <c r="V16" s="50">
        <v>26.2</v>
      </c>
      <c r="W16" s="50">
        <v>26.2</v>
      </c>
      <c r="X16" s="50">
        <v>26.2</v>
      </c>
      <c r="Y16" s="50">
        <v>26.2</v>
      </c>
      <c r="Z16" s="50">
        <v>26.2</v>
      </c>
      <c r="AA16" s="50">
        <v>20</v>
      </c>
      <c r="AB16" s="50">
        <v>26</v>
      </c>
      <c r="AC16" s="50">
        <v>26</v>
      </c>
      <c r="AD16" s="50">
        <v>26</v>
      </c>
      <c r="AE16" s="50">
        <v>26.2</v>
      </c>
      <c r="AF16" s="50">
        <v>26.2</v>
      </c>
      <c r="AG16" s="134">
        <v>25</v>
      </c>
      <c r="AH16" s="54">
        <f t="shared" si="2"/>
        <v>26.2</v>
      </c>
      <c r="AI16" s="55">
        <f t="shared" si="3"/>
        <v>20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22</v>
      </c>
      <c r="N17" s="50">
        <v>22</v>
      </c>
      <c r="O17" s="50">
        <v>22</v>
      </c>
      <c r="P17" s="50">
        <v>21</v>
      </c>
      <c r="Q17" s="50">
        <v>21</v>
      </c>
      <c r="R17" s="50">
        <v>21</v>
      </c>
      <c r="S17" s="50">
        <v>21</v>
      </c>
      <c r="T17" s="50">
        <v>21</v>
      </c>
      <c r="U17" s="50">
        <v>21</v>
      </c>
      <c r="V17" s="50">
        <v>21</v>
      </c>
      <c r="W17" s="50">
        <v>21</v>
      </c>
      <c r="X17" s="50">
        <v>21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21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25</v>
      </c>
      <c r="D18" s="50">
        <v>25</v>
      </c>
      <c r="E18" s="50">
        <v>25</v>
      </c>
      <c r="F18" s="50">
        <v>25</v>
      </c>
      <c r="G18" s="50">
        <v>25</v>
      </c>
      <c r="H18" s="50">
        <v>25</v>
      </c>
      <c r="I18" s="50">
        <v>25</v>
      </c>
      <c r="J18" s="50">
        <v>25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25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32</v>
      </c>
      <c r="C19" s="50">
        <v>32</v>
      </c>
      <c r="D19" s="50">
        <v>32</v>
      </c>
      <c r="E19" s="50">
        <v>32</v>
      </c>
      <c r="F19" s="50">
        <v>32</v>
      </c>
      <c r="G19" s="50">
        <v>32</v>
      </c>
      <c r="H19" s="50">
        <v>32</v>
      </c>
      <c r="I19" s="50">
        <v>32</v>
      </c>
      <c r="J19" s="50">
        <v>32</v>
      </c>
      <c r="K19" s="50">
        <v>32</v>
      </c>
      <c r="L19" s="50">
        <v>32</v>
      </c>
      <c r="M19" s="50">
        <v>33</v>
      </c>
      <c r="N19" s="50">
        <v>33</v>
      </c>
      <c r="O19" s="50">
        <v>33</v>
      </c>
      <c r="P19" s="50">
        <v>33</v>
      </c>
      <c r="Q19" s="50">
        <v>33</v>
      </c>
      <c r="R19" s="50">
        <v>33</v>
      </c>
      <c r="S19" s="50">
        <v>33</v>
      </c>
      <c r="T19" s="50">
        <v>33</v>
      </c>
      <c r="U19" s="50">
        <v>33</v>
      </c>
      <c r="V19" s="50">
        <v>33</v>
      </c>
      <c r="W19" s="50">
        <v>33</v>
      </c>
      <c r="X19" s="50">
        <v>33</v>
      </c>
      <c r="Y19" s="50">
        <v>25</v>
      </c>
      <c r="Z19" s="50">
        <v>25</v>
      </c>
      <c r="AA19" s="50">
        <v>25</v>
      </c>
      <c r="AB19" s="50">
        <v>25</v>
      </c>
      <c r="AC19" s="50">
        <v>25</v>
      </c>
      <c r="AD19" s="50">
        <v>25</v>
      </c>
      <c r="AE19" s="50">
        <v>25</v>
      </c>
      <c r="AF19" s="50">
        <v>25</v>
      </c>
      <c r="AG19" s="134">
        <v>24.2</v>
      </c>
      <c r="AH19" s="54">
        <f t="shared" si="2"/>
        <v>33</v>
      </c>
      <c r="AI19" s="55">
        <f t="shared" si="3"/>
        <v>25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22</v>
      </c>
      <c r="C20" s="50">
        <v>22</v>
      </c>
      <c r="D20" s="50">
        <v>22</v>
      </c>
      <c r="E20" s="50">
        <v>22</v>
      </c>
      <c r="F20" s="50">
        <v>22</v>
      </c>
      <c r="G20" s="50">
        <v>22</v>
      </c>
      <c r="H20" s="50">
        <v>22</v>
      </c>
      <c r="I20" s="50">
        <v>22</v>
      </c>
      <c r="J20" s="50">
        <v>22</v>
      </c>
      <c r="K20" s="50">
        <v>22</v>
      </c>
      <c r="L20" s="50">
        <v>22</v>
      </c>
      <c r="M20" s="50">
        <v>22</v>
      </c>
      <c r="N20" s="50">
        <v>0</v>
      </c>
      <c r="O20" s="50">
        <v>0</v>
      </c>
      <c r="P20" s="50">
        <v>0</v>
      </c>
      <c r="Q20" s="50">
        <v>23.5</v>
      </c>
      <c r="R20" s="50">
        <v>23.5</v>
      </c>
      <c r="S20" s="50">
        <v>23.5</v>
      </c>
      <c r="T20" s="50">
        <v>23.5</v>
      </c>
      <c r="U20" s="50">
        <v>23.5</v>
      </c>
      <c r="V20" s="50">
        <v>23.5</v>
      </c>
      <c r="W20" s="50">
        <v>23.5</v>
      </c>
      <c r="X20" s="50">
        <v>23.5</v>
      </c>
      <c r="Y20" s="50">
        <v>23.5</v>
      </c>
      <c r="Z20" s="50">
        <v>23.5</v>
      </c>
      <c r="AA20" s="50">
        <v>23.5</v>
      </c>
      <c r="AB20" s="50">
        <v>23.3</v>
      </c>
      <c r="AC20" s="50">
        <v>23.3</v>
      </c>
      <c r="AD20" s="50">
        <v>23.3</v>
      </c>
      <c r="AE20" s="50">
        <v>23.3</v>
      </c>
      <c r="AF20" s="50">
        <v>23.3</v>
      </c>
      <c r="AG20" s="134">
        <v>23.5</v>
      </c>
      <c r="AH20" s="54">
        <f t="shared" si="2"/>
        <v>23.5</v>
      </c>
      <c r="AI20" s="55">
        <f t="shared" si="3"/>
        <v>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21</v>
      </c>
      <c r="C21" s="50">
        <v>21</v>
      </c>
      <c r="D21" s="50">
        <v>21</v>
      </c>
      <c r="E21" s="50">
        <v>21</v>
      </c>
      <c r="F21" s="50">
        <v>21</v>
      </c>
      <c r="G21" s="50">
        <v>21</v>
      </c>
      <c r="H21" s="50">
        <v>21</v>
      </c>
      <c r="I21" s="50">
        <v>21</v>
      </c>
      <c r="J21" s="50">
        <v>21</v>
      </c>
      <c r="K21" s="50">
        <v>21</v>
      </c>
      <c r="L21" s="50">
        <v>21</v>
      </c>
      <c r="M21" s="50">
        <v>21</v>
      </c>
      <c r="N21" s="50">
        <v>21</v>
      </c>
      <c r="O21" s="50">
        <v>21</v>
      </c>
      <c r="P21" s="50">
        <v>21</v>
      </c>
      <c r="Q21" s="50">
        <v>21</v>
      </c>
      <c r="R21" s="50">
        <v>21</v>
      </c>
      <c r="S21" s="50">
        <v>21</v>
      </c>
      <c r="T21" s="50">
        <v>21</v>
      </c>
      <c r="U21" s="50">
        <v>21</v>
      </c>
      <c r="V21" s="50">
        <v>21</v>
      </c>
      <c r="W21" s="50">
        <v>21</v>
      </c>
      <c r="X21" s="50">
        <v>21</v>
      </c>
      <c r="Y21" s="50">
        <v>21</v>
      </c>
      <c r="Z21" s="50">
        <v>21</v>
      </c>
      <c r="AA21" s="50">
        <v>21</v>
      </c>
      <c r="AB21" s="50">
        <v>21</v>
      </c>
      <c r="AC21" s="50">
        <v>21</v>
      </c>
      <c r="AD21" s="50">
        <v>21</v>
      </c>
      <c r="AE21" s="50">
        <v>21</v>
      </c>
      <c r="AF21" s="50">
        <v>21</v>
      </c>
      <c r="AG21" s="134">
        <v>22.2</v>
      </c>
      <c r="AH21" s="54">
        <f t="shared" si="2"/>
        <v>21</v>
      </c>
      <c r="AI21" s="55">
        <f t="shared" si="3"/>
        <v>21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13</v>
      </c>
      <c r="C22" s="50">
        <v>13</v>
      </c>
      <c r="D22" s="50">
        <v>13</v>
      </c>
      <c r="E22" s="50">
        <v>13</v>
      </c>
      <c r="F22" s="50">
        <v>13</v>
      </c>
      <c r="G22" s="50">
        <v>13</v>
      </c>
      <c r="H22" s="50">
        <v>13</v>
      </c>
      <c r="I22" s="50">
        <v>13</v>
      </c>
      <c r="J22" s="50">
        <v>13</v>
      </c>
      <c r="K22" s="50">
        <v>13</v>
      </c>
      <c r="L22" s="50">
        <v>13</v>
      </c>
      <c r="M22" s="50">
        <v>12.8</v>
      </c>
      <c r="N22" s="50">
        <v>12.8</v>
      </c>
      <c r="O22" s="50">
        <v>12.8</v>
      </c>
      <c r="P22" s="50">
        <v>12.8</v>
      </c>
      <c r="Q22" s="50">
        <v>12.8</v>
      </c>
      <c r="R22" s="50">
        <v>12.8</v>
      </c>
      <c r="S22" s="50">
        <v>12.8</v>
      </c>
      <c r="T22" s="50">
        <v>12.8</v>
      </c>
      <c r="U22" s="50">
        <v>12.8</v>
      </c>
      <c r="V22" s="50">
        <v>12.8</v>
      </c>
      <c r="W22" s="50">
        <v>12.8</v>
      </c>
      <c r="X22" s="50">
        <v>12.8</v>
      </c>
      <c r="Y22" s="50">
        <v>12.8</v>
      </c>
      <c r="Z22" s="50">
        <v>12.8</v>
      </c>
      <c r="AA22" s="50">
        <v>12.8</v>
      </c>
      <c r="AB22" s="50">
        <v>12.8</v>
      </c>
      <c r="AC22" s="50">
        <v>12.8</v>
      </c>
      <c r="AD22" s="50">
        <v>12.8</v>
      </c>
      <c r="AE22" s="50">
        <v>12.8</v>
      </c>
      <c r="AF22" s="50">
        <v>12.8</v>
      </c>
      <c r="AG22" s="134">
        <v>22.1</v>
      </c>
      <c r="AH22" s="54">
        <f t="shared" si="2"/>
        <v>13</v>
      </c>
      <c r="AI22" s="55">
        <f t="shared" si="3"/>
        <v>12.8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239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22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22</v>
      </c>
      <c r="AI24" s="55">
        <f t="shared" si="3"/>
        <v>22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10</v>
      </c>
      <c r="C25" s="50">
        <v>8</v>
      </c>
      <c r="D25" s="50">
        <v>8</v>
      </c>
      <c r="E25" s="50">
        <v>8</v>
      </c>
      <c r="F25" s="50">
        <v>8</v>
      </c>
      <c r="G25" s="50">
        <v>8</v>
      </c>
      <c r="H25" s="50">
        <v>8</v>
      </c>
      <c r="I25" s="50">
        <v>8</v>
      </c>
      <c r="J25" s="50">
        <v>8</v>
      </c>
      <c r="K25" s="50">
        <v>8</v>
      </c>
      <c r="L25" s="50">
        <v>8</v>
      </c>
      <c r="M25" s="50">
        <v>10</v>
      </c>
      <c r="N25" s="50">
        <v>10</v>
      </c>
      <c r="O25" s="50">
        <v>10</v>
      </c>
      <c r="P25" s="50">
        <v>10</v>
      </c>
      <c r="Q25" s="50">
        <v>10</v>
      </c>
      <c r="R25" s="50">
        <v>10</v>
      </c>
      <c r="S25" s="50">
        <v>10</v>
      </c>
      <c r="T25" s="50">
        <v>10</v>
      </c>
      <c r="U25" s="50">
        <v>10</v>
      </c>
      <c r="V25" s="50">
        <v>10</v>
      </c>
      <c r="W25" s="50">
        <v>10</v>
      </c>
      <c r="X25" s="50">
        <v>10</v>
      </c>
      <c r="Y25" s="50">
        <v>10</v>
      </c>
      <c r="Z25" s="50">
        <v>10</v>
      </c>
      <c r="AA25" s="50">
        <v>10</v>
      </c>
      <c r="AB25" s="50">
        <v>10</v>
      </c>
      <c r="AC25" s="50">
        <v>10</v>
      </c>
      <c r="AD25" s="50">
        <v>10</v>
      </c>
      <c r="AE25" s="50">
        <v>10</v>
      </c>
      <c r="AF25" s="50">
        <v>10</v>
      </c>
      <c r="AG25" s="134">
        <v>20</v>
      </c>
      <c r="AH25" s="54">
        <f t="shared" si="2"/>
        <v>10</v>
      </c>
      <c r="AI25" s="55">
        <f t="shared" si="3"/>
        <v>8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10.5</v>
      </c>
      <c r="C26" s="50">
        <v>10.5</v>
      </c>
      <c r="D26" s="50">
        <v>10.5</v>
      </c>
      <c r="E26" s="50">
        <v>10.5</v>
      </c>
      <c r="F26" s="50">
        <v>10.5</v>
      </c>
      <c r="G26" s="50">
        <v>10.5</v>
      </c>
      <c r="H26" s="50">
        <v>10.5</v>
      </c>
      <c r="I26" s="50">
        <v>10.5</v>
      </c>
      <c r="J26" s="50">
        <v>10.5</v>
      </c>
      <c r="K26" s="50">
        <v>10.5</v>
      </c>
      <c r="L26" s="50">
        <v>10.5</v>
      </c>
      <c r="M26" s="50">
        <v>10.5</v>
      </c>
      <c r="N26" s="50">
        <v>10.5</v>
      </c>
      <c r="O26" s="50">
        <v>10.5</v>
      </c>
      <c r="P26" s="50">
        <v>10.5</v>
      </c>
      <c r="Q26" s="50">
        <v>10.5</v>
      </c>
      <c r="R26" s="50">
        <v>10.5</v>
      </c>
      <c r="S26" s="50">
        <v>10.5</v>
      </c>
      <c r="T26" s="50">
        <v>10.5</v>
      </c>
      <c r="U26" s="50">
        <v>10.5</v>
      </c>
      <c r="V26" s="50">
        <v>10.5</v>
      </c>
      <c r="W26" s="50">
        <v>10.5</v>
      </c>
      <c r="X26" s="50">
        <v>10.5</v>
      </c>
      <c r="Y26" s="50">
        <v>10.5</v>
      </c>
      <c r="Z26" s="50">
        <v>10.5</v>
      </c>
      <c r="AA26" s="50">
        <v>10.5</v>
      </c>
      <c r="AB26" s="50">
        <v>10.5</v>
      </c>
      <c r="AC26" s="50">
        <v>10.5</v>
      </c>
      <c r="AD26" s="50">
        <v>10.5</v>
      </c>
      <c r="AE26" s="50">
        <v>10.5</v>
      </c>
      <c r="AF26" s="50">
        <v>10.5</v>
      </c>
      <c r="AG26" s="134">
        <v>14.9</v>
      </c>
      <c r="AH26" s="54">
        <f t="shared" si="2"/>
        <v>10.5</v>
      </c>
      <c r="AI26" s="55">
        <f t="shared" si="3"/>
        <v>10.5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8</v>
      </c>
      <c r="C27" s="50">
        <v>8</v>
      </c>
      <c r="D27" s="50">
        <v>8</v>
      </c>
      <c r="E27" s="50">
        <v>8</v>
      </c>
      <c r="F27" s="50">
        <v>8</v>
      </c>
      <c r="G27" s="50">
        <v>8</v>
      </c>
      <c r="H27" s="50">
        <v>8</v>
      </c>
      <c r="I27" s="50">
        <v>8</v>
      </c>
      <c r="J27" s="50">
        <v>8</v>
      </c>
      <c r="K27" s="50">
        <v>8</v>
      </c>
      <c r="L27" s="50">
        <v>8</v>
      </c>
      <c r="M27" s="50">
        <v>8</v>
      </c>
      <c r="N27" s="50">
        <v>8</v>
      </c>
      <c r="O27" s="50">
        <v>8</v>
      </c>
      <c r="P27" s="50">
        <v>8</v>
      </c>
      <c r="Q27" s="50">
        <v>8</v>
      </c>
      <c r="R27" s="50">
        <v>8</v>
      </c>
      <c r="S27" s="50">
        <v>8</v>
      </c>
      <c r="T27" s="50">
        <v>8</v>
      </c>
      <c r="U27" s="50">
        <v>8</v>
      </c>
      <c r="V27" s="50">
        <v>8</v>
      </c>
      <c r="W27" s="50">
        <v>8</v>
      </c>
      <c r="X27" s="50">
        <v>8</v>
      </c>
      <c r="Y27" s="50">
        <v>8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134">
        <v>13.6</v>
      </c>
      <c r="AH27" s="54">
        <f t="shared" si="2"/>
        <v>8</v>
      </c>
      <c r="AI27" s="55">
        <f t="shared" si="3"/>
        <v>0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236</v>
      </c>
      <c r="B28" s="50">
        <v>13</v>
      </c>
      <c r="C28" s="50">
        <v>13</v>
      </c>
      <c r="D28" s="50">
        <v>13</v>
      </c>
      <c r="E28" s="50">
        <v>13</v>
      </c>
      <c r="F28" s="50">
        <v>13</v>
      </c>
      <c r="G28" s="50">
        <v>13</v>
      </c>
      <c r="H28" s="50">
        <v>13</v>
      </c>
      <c r="I28" s="50">
        <v>13</v>
      </c>
      <c r="J28" s="50">
        <v>13</v>
      </c>
      <c r="K28" s="50">
        <v>13</v>
      </c>
      <c r="L28" s="50">
        <v>13</v>
      </c>
      <c r="M28" s="50">
        <v>13</v>
      </c>
      <c r="N28" s="50">
        <v>13</v>
      </c>
      <c r="O28" s="50">
        <v>13</v>
      </c>
      <c r="P28" s="50">
        <v>13</v>
      </c>
      <c r="Q28" s="50">
        <v>13</v>
      </c>
      <c r="R28" s="50">
        <v>13</v>
      </c>
      <c r="S28" s="50">
        <v>13</v>
      </c>
      <c r="T28" s="50">
        <v>13</v>
      </c>
      <c r="U28" s="50">
        <v>13</v>
      </c>
      <c r="V28" s="50">
        <v>13</v>
      </c>
      <c r="W28" s="50">
        <v>13</v>
      </c>
      <c r="X28" s="50">
        <v>13</v>
      </c>
      <c r="Y28" s="50">
        <v>13</v>
      </c>
      <c r="Z28" s="50">
        <v>13</v>
      </c>
      <c r="AA28" s="50">
        <v>13</v>
      </c>
      <c r="AB28" s="50">
        <v>13</v>
      </c>
      <c r="AC28" s="50">
        <v>13</v>
      </c>
      <c r="AD28" s="50">
        <v>13</v>
      </c>
      <c r="AE28" s="50">
        <v>13</v>
      </c>
      <c r="AF28" s="50">
        <v>13</v>
      </c>
      <c r="AG28" s="134">
        <v>13</v>
      </c>
      <c r="AH28" s="54">
        <f t="shared" si="2"/>
        <v>13</v>
      </c>
      <c r="AI28" s="55">
        <f t="shared" si="3"/>
        <v>13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8</v>
      </c>
      <c r="C29" s="50">
        <v>8</v>
      </c>
      <c r="D29" s="50">
        <v>8</v>
      </c>
      <c r="E29" s="50">
        <v>8</v>
      </c>
      <c r="F29" s="50">
        <v>8</v>
      </c>
      <c r="G29" s="50">
        <v>8</v>
      </c>
      <c r="H29" s="50">
        <v>8</v>
      </c>
      <c r="I29" s="50">
        <v>8</v>
      </c>
      <c r="J29" s="50">
        <v>8</v>
      </c>
      <c r="K29" s="50">
        <v>8</v>
      </c>
      <c r="L29" s="50">
        <v>8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134">
        <v>12</v>
      </c>
      <c r="AH29" s="54">
        <f>MAX(B29:AF29)</f>
        <v>12</v>
      </c>
      <c r="AI29" s="55">
        <f>MIN(B29:AF29)</f>
        <v>8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134">
        <v>12</v>
      </c>
      <c r="AH30" s="54">
        <f t="shared" si="2"/>
        <v>0</v>
      </c>
      <c r="AI30" s="55">
        <f t="shared" si="3"/>
        <v>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9</v>
      </c>
      <c r="C31" s="50">
        <v>9</v>
      </c>
      <c r="D31" s="50">
        <v>9</v>
      </c>
      <c r="E31" s="50">
        <v>9</v>
      </c>
      <c r="F31" s="50">
        <v>9</v>
      </c>
      <c r="G31" s="50">
        <v>9</v>
      </c>
      <c r="H31" s="50">
        <v>9</v>
      </c>
      <c r="I31" s="50">
        <v>9</v>
      </c>
      <c r="J31" s="50">
        <v>9</v>
      </c>
      <c r="K31" s="50">
        <v>9</v>
      </c>
      <c r="L31" s="50">
        <v>9</v>
      </c>
      <c r="M31" s="50">
        <v>9</v>
      </c>
      <c r="N31" s="50">
        <v>9</v>
      </c>
      <c r="O31" s="50">
        <v>9</v>
      </c>
      <c r="P31" s="50">
        <v>9</v>
      </c>
      <c r="Q31" s="50">
        <v>9</v>
      </c>
      <c r="R31" s="50">
        <v>9</v>
      </c>
      <c r="S31" s="50">
        <v>9</v>
      </c>
      <c r="T31" s="50">
        <v>9</v>
      </c>
      <c r="U31" s="50">
        <v>9</v>
      </c>
      <c r="V31" s="50">
        <v>9</v>
      </c>
      <c r="W31" s="50">
        <v>9</v>
      </c>
      <c r="X31" s="50">
        <v>9</v>
      </c>
      <c r="Y31" s="50">
        <v>9</v>
      </c>
      <c r="Z31" s="50">
        <v>9</v>
      </c>
      <c r="AA31" s="50">
        <v>9</v>
      </c>
      <c r="AB31" s="50">
        <v>9</v>
      </c>
      <c r="AC31" s="50">
        <v>9</v>
      </c>
      <c r="AD31" s="50">
        <v>9</v>
      </c>
      <c r="AE31" s="50">
        <v>9</v>
      </c>
      <c r="AF31" s="50">
        <v>9</v>
      </c>
      <c r="AG31" s="178">
        <v>22</v>
      </c>
      <c r="AH31" s="54">
        <f>MAX(B31:AF31)</f>
        <v>9</v>
      </c>
      <c r="AI31" s="55">
        <f>MIN(B31:AF31)</f>
        <v>9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11</v>
      </c>
      <c r="C32" s="50">
        <v>11</v>
      </c>
      <c r="D32" s="50">
        <v>11</v>
      </c>
      <c r="E32" s="50">
        <v>11</v>
      </c>
      <c r="F32" s="50">
        <v>11</v>
      </c>
      <c r="G32" s="50">
        <v>11</v>
      </c>
      <c r="H32" s="50">
        <v>11</v>
      </c>
      <c r="I32" s="50">
        <v>11</v>
      </c>
      <c r="J32" s="50">
        <v>11</v>
      </c>
      <c r="K32" s="50">
        <v>11</v>
      </c>
      <c r="L32" s="50">
        <v>11</v>
      </c>
      <c r="M32" s="50">
        <v>11</v>
      </c>
      <c r="N32" s="50">
        <v>11</v>
      </c>
      <c r="O32" s="50">
        <v>11</v>
      </c>
      <c r="P32" s="50">
        <v>11</v>
      </c>
      <c r="Q32" s="50">
        <v>11</v>
      </c>
      <c r="R32" s="50">
        <v>11</v>
      </c>
      <c r="S32" s="50">
        <v>11</v>
      </c>
      <c r="T32" s="50">
        <v>11</v>
      </c>
      <c r="U32" s="50">
        <v>11</v>
      </c>
      <c r="V32" s="50">
        <v>11</v>
      </c>
      <c r="W32" s="50">
        <v>11</v>
      </c>
      <c r="X32" s="50">
        <v>11</v>
      </c>
      <c r="Y32" s="50">
        <v>11</v>
      </c>
      <c r="Z32" s="50">
        <v>11</v>
      </c>
      <c r="AA32" s="50">
        <v>11</v>
      </c>
      <c r="AB32" s="50">
        <v>11</v>
      </c>
      <c r="AC32" s="50">
        <v>11</v>
      </c>
      <c r="AD32" s="50">
        <v>11</v>
      </c>
      <c r="AE32" s="50">
        <v>11</v>
      </c>
      <c r="AF32" s="50">
        <v>11</v>
      </c>
      <c r="AG32" s="135">
        <v>11.88</v>
      </c>
      <c r="AH32" s="54">
        <f t="shared" si="2"/>
        <v>11</v>
      </c>
      <c r="AI32" s="55">
        <f t="shared" si="3"/>
        <v>11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2.5</v>
      </c>
      <c r="C33" s="50">
        <v>2.5</v>
      </c>
      <c r="D33" s="50">
        <v>2.5</v>
      </c>
      <c r="E33" s="50">
        <v>2.5</v>
      </c>
      <c r="F33" s="50">
        <v>2.5</v>
      </c>
      <c r="G33" s="50">
        <v>2.5</v>
      </c>
      <c r="H33" s="50">
        <v>2.5</v>
      </c>
      <c r="I33" s="50">
        <v>2.5</v>
      </c>
      <c r="J33" s="50">
        <v>2.5</v>
      </c>
      <c r="K33" s="50">
        <v>2.5</v>
      </c>
      <c r="L33" s="50">
        <v>2.5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8.9</v>
      </c>
      <c r="C34" s="50">
        <v>8.9</v>
      </c>
      <c r="D34" s="50">
        <v>8.9</v>
      </c>
      <c r="E34" s="50">
        <v>8.9</v>
      </c>
      <c r="F34" s="50">
        <v>8.9</v>
      </c>
      <c r="G34" s="50">
        <v>8.9</v>
      </c>
      <c r="H34" s="50">
        <v>8.9</v>
      </c>
      <c r="I34" s="50">
        <v>8.9</v>
      </c>
      <c r="J34" s="50">
        <v>8.9</v>
      </c>
      <c r="K34" s="50">
        <v>8.9</v>
      </c>
      <c r="L34" s="50">
        <v>8.9</v>
      </c>
      <c r="M34" s="50">
        <v>8.9</v>
      </c>
      <c r="N34" s="50">
        <v>8.9</v>
      </c>
      <c r="O34" s="50">
        <v>8.9</v>
      </c>
      <c r="P34" s="50">
        <v>8.9</v>
      </c>
      <c r="Q34" s="50">
        <v>8.9</v>
      </c>
      <c r="R34" s="50">
        <v>8.9</v>
      </c>
      <c r="S34" s="50">
        <v>8.9</v>
      </c>
      <c r="T34" s="50">
        <v>8.9</v>
      </c>
      <c r="U34" s="50">
        <v>8.9</v>
      </c>
      <c r="V34" s="50">
        <v>8.9</v>
      </c>
      <c r="W34" s="50">
        <v>8.9</v>
      </c>
      <c r="X34" s="50">
        <v>8.9</v>
      </c>
      <c r="Y34" s="50">
        <v>8.9</v>
      </c>
      <c r="Z34" s="50">
        <v>8.9</v>
      </c>
      <c r="AA34" s="50">
        <v>8.9</v>
      </c>
      <c r="AB34" s="50">
        <v>8.9</v>
      </c>
      <c r="AC34" s="50">
        <v>8.9</v>
      </c>
      <c r="AD34" s="50">
        <v>8.9</v>
      </c>
      <c r="AE34" s="50">
        <v>8.9</v>
      </c>
      <c r="AF34" s="50">
        <v>8.9</v>
      </c>
      <c r="AG34" s="136">
        <v>10</v>
      </c>
      <c r="AH34" s="54">
        <f t="shared" si="2"/>
        <v>8.9</v>
      </c>
      <c r="AI34" s="55">
        <f t="shared" si="3"/>
        <v>8.9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4</v>
      </c>
      <c r="N35" s="50">
        <v>4</v>
      </c>
      <c r="O35" s="50">
        <v>4</v>
      </c>
      <c r="P35" s="50">
        <v>4</v>
      </c>
      <c r="Q35" s="50">
        <v>4</v>
      </c>
      <c r="R35" s="50">
        <v>4</v>
      </c>
      <c r="S35" s="50">
        <v>4</v>
      </c>
      <c r="T35" s="50">
        <v>4</v>
      </c>
      <c r="U35" s="50">
        <v>4</v>
      </c>
      <c r="V35" s="50">
        <v>4</v>
      </c>
      <c r="W35" s="50">
        <v>4</v>
      </c>
      <c r="X35" s="50">
        <v>4</v>
      </c>
      <c r="Y35" s="50">
        <v>4</v>
      </c>
      <c r="Z35" s="50">
        <v>4</v>
      </c>
      <c r="AA35" s="50">
        <v>4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136">
        <v>10</v>
      </c>
      <c r="AH35" s="54">
        <f t="shared" si="2"/>
        <v>4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300</v>
      </c>
      <c r="C36" s="62">
        <v>300</v>
      </c>
      <c r="D36" s="62">
        <v>300</v>
      </c>
      <c r="E36" s="62">
        <v>300</v>
      </c>
      <c r="F36" s="62">
        <v>300</v>
      </c>
      <c r="G36" s="62">
        <v>300</v>
      </c>
      <c r="H36" s="62">
        <v>300</v>
      </c>
      <c r="I36" s="62">
        <v>300</v>
      </c>
      <c r="J36" s="62">
        <v>300</v>
      </c>
      <c r="K36" s="62">
        <v>300</v>
      </c>
      <c r="L36" s="62">
        <v>300</v>
      </c>
      <c r="M36" s="62">
        <v>300</v>
      </c>
      <c r="N36" s="62">
        <v>300</v>
      </c>
      <c r="O36" s="62">
        <v>300</v>
      </c>
      <c r="P36" s="62">
        <v>300</v>
      </c>
      <c r="Q36" s="62">
        <v>300</v>
      </c>
      <c r="R36" s="62">
        <v>300</v>
      </c>
      <c r="S36" s="62">
        <v>300</v>
      </c>
      <c r="T36" s="62">
        <v>300</v>
      </c>
      <c r="U36" s="62">
        <v>300</v>
      </c>
      <c r="V36" s="62">
        <v>300</v>
      </c>
      <c r="W36" s="62">
        <v>300</v>
      </c>
      <c r="X36" s="62">
        <v>300</v>
      </c>
      <c r="Y36" s="62">
        <v>300</v>
      </c>
      <c r="Z36" s="62">
        <v>300</v>
      </c>
      <c r="AA36" s="62">
        <v>300</v>
      </c>
      <c r="AB36" s="62">
        <v>300</v>
      </c>
      <c r="AC36" s="62">
        <v>300</v>
      </c>
      <c r="AD36" s="62">
        <v>300</v>
      </c>
      <c r="AE36" s="62">
        <v>300</v>
      </c>
      <c r="AF36" s="62">
        <v>300</v>
      </c>
      <c r="AG36" s="136">
        <v>85</v>
      </c>
      <c r="AH36" s="54">
        <f t="shared" si="2"/>
        <v>300</v>
      </c>
      <c r="AI36" s="55">
        <f t="shared" si="3"/>
        <v>300</v>
      </c>
      <c r="AK36" s="56"/>
    </row>
    <row r="37" spans="1:88" ht="15.75" thickBot="1" x14ac:dyDescent="0.3">
      <c r="A37" s="63" t="s">
        <v>21</v>
      </c>
      <c r="B37" s="64">
        <v>152</v>
      </c>
      <c r="C37" s="62">
        <v>128</v>
      </c>
      <c r="D37" s="62">
        <v>146</v>
      </c>
      <c r="E37" s="62">
        <v>145.69999999999999</v>
      </c>
      <c r="F37" s="62">
        <v>145.69999999999999</v>
      </c>
      <c r="G37" s="62">
        <v>148</v>
      </c>
      <c r="H37" s="62">
        <v>148</v>
      </c>
      <c r="I37" s="62">
        <v>148</v>
      </c>
      <c r="J37" s="62">
        <v>147.19999999999999</v>
      </c>
      <c r="K37" s="62">
        <v>147.19999999999999</v>
      </c>
      <c r="L37" s="62">
        <v>143.1</v>
      </c>
      <c r="M37" s="62">
        <v>144.6</v>
      </c>
      <c r="N37" s="62">
        <v>143.9</v>
      </c>
      <c r="O37" s="62">
        <v>136</v>
      </c>
      <c r="P37" s="62">
        <v>128.69999999999999</v>
      </c>
      <c r="Q37" s="62">
        <v>122</v>
      </c>
      <c r="R37" s="62">
        <v>122</v>
      </c>
      <c r="S37" s="62">
        <f>49+92</f>
        <v>141</v>
      </c>
      <c r="T37" s="62">
        <f>49+92</f>
        <v>141</v>
      </c>
      <c r="U37" s="62">
        <f>49+92</f>
        <v>141</v>
      </c>
      <c r="V37" s="62">
        <f t="shared" ref="V37:AA37" si="4">50+93</f>
        <v>143</v>
      </c>
      <c r="W37" s="62">
        <f t="shared" si="4"/>
        <v>143</v>
      </c>
      <c r="X37" s="62">
        <f t="shared" si="4"/>
        <v>143</v>
      </c>
      <c r="Y37" s="62">
        <f t="shared" si="4"/>
        <v>143</v>
      </c>
      <c r="Z37" s="62">
        <f t="shared" si="4"/>
        <v>143</v>
      </c>
      <c r="AA37" s="62">
        <f t="shared" si="4"/>
        <v>143</v>
      </c>
      <c r="AB37" s="64">
        <f>90.5+62.1</f>
        <v>152.6</v>
      </c>
      <c r="AC37" s="64">
        <f>91.6+65.8</f>
        <v>157.39999999999998</v>
      </c>
      <c r="AD37" s="64">
        <f>88.3+71.1</f>
        <v>159.39999999999998</v>
      </c>
      <c r="AE37" s="64">
        <f>94.5+70.6</f>
        <v>165.1</v>
      </c>
      <c r="AF37" s="64">
        <f>94.7+66.2</f>
        <v>160.9</v>
      </c>
      <c r="AG37" s="136">
        <v>240</v>
      </c>
      <c r="AH37" s="54">
        <f t="shared" si="2"/>
        <v>165.1</v>
      </c>
      <c r="AI37" s="55">
        <f t="shared" si="3"/>
        <v>122</v>
      </c>
      <c r="AK37" s="56"/>
    </row>
    <row r="38" spans="1:88" ht="15.75" thickBot="1" x14ac:dyDescent="0.3">
      <c r="A38" s="131" t="s">
        <v>22</v>
      </c>
      <c r="B38" s="66">
        <f>SUM(B11:B36)</f>
        <v>809.3</v>
      </c>
      <c r="C38" s="66">
        <f t="shared" ref="C38:AG38" si="5">SUM(C11:C36)</f>
        <v>802.3</v>
      </c>
      <c r="D38" s="66">
        <f t="shared" si="5"/>
        <v>795.3</v>
      </c>
      <c r="E38" s="66">
        <f t="shared" si="5"/>
        <v>767.3</v>
      </c>
      <c r="F38" s="66">
        <f t="shared" si="5"/>
        <v>767.3</v>
      </c>
      <c r="G38" s="66">
        <f t="shared" si="5"/>
        <v>767.3</v>
      </c>
      <c r="H38" s="66">
        <f t="shared" si="5"/>
        <v>767.3</v>
      </c>
      <c r="I38" s="66">
        <f t="shared" si="5"/>
        <v>797.3</v>
      </c>
      <c r="J38" s="66">
        <f t="shared" si="5"/>
        <v>797.3</v>
      </c>
      <c r="K38" s="66">
        <f t="shared" si="5"/>
        <v>797.3</v>
      </c>
      <c r="L38" s="66">
        <f t="shared" si="5"/>
        <v>797.3</v>
      </c>
      <c r="M38" s="66">
        <f t="shared" si="5"/>
        <v>820.6</v>
      </c>
      <c r="N38" s="66">
        <f t="shared" si="5"/>
        <v>801.59999999999991</v>
      </c>
      <c r="O38" s="66">
        <f t="shared" si="5"/>
        <v>801.59999999999991</v>
      </c>
      <c r="P38" s="66">
        <f t="shared" si="5"/>
        <v>800.7</v>
      </c>
      <c r="Q38" s="66">
        <f t="shared" si="5"/>
        <v>824.2</v>
      </c>
      <c r="R38" s="66">
        <f t="shared" si="5"/>
        <v>824.2</v>
      </c>
      <c r="S38" s="66">
        <f t="shared" si="5"/>
        <v>824.2</v>
      </c>
      <c r="T38" s="66">
        <f t="shared" si="5"/>
        <v>824.2</v>
      </c>
      <c r="U38" s="66">
        <f t="shared" si="5"/>
        <v>824.2</v>
      </c>
      <c r="V38" s="66">
        <f t="shared" si="5"/>
        <v>797.8</v>
      </c>
      <c r="W38" s="66">
        <f t="shared" si="5"/>
        <v>787.8</v>
      </c>
      <c r="X38" s="66">
        <f t="shared" ref="X38" si="6">SUM(X11:X36)</f>
        <v>787.8</v>
      </c>
      <c r="Y38" s="66">
        <f t="shared" si="5"/>
        <v>811.59999999999991</v>
      </c>
      <c r="Z38" s="66">
        <f t="shared" si="5"/>
        <v>803.59999999999991</v>
      </c>
      <c r="AA38" s="66">
        <f t="shared" si="5"/>
        <v>807.4</v>
      </c>
      <c r="AB38" s="66">
        <f t="shared" si="5"/>
        <v>809.5</v>
      </c>
      <c r="AC38" s="66">
        <f t="shared" si="5"/>
        <v>809.5</v>
      </c>
      <c r="AD38" s="66">
        <f t="shared" si="5"/>
        <v>809.5</v>
      </c>
      <c r="AE38" s="66">
        <f t="shared" si="5"/>
        <v>809.5</v>
      </c>
      <c r="AF38" s="66">
        <f t="shared" si="5"/>
        <v>809.8</v>
      </c>
      <c r="AG38" s="143">
        <f t="shared" si="5"/>
        <v>665.78</v>
      </c>
      <c r="AH38" s="54">
        <f t="shared" si="2"/>
        <v>824.2</v>
      </c>
      <c r="AI38" s="55">
        <f t="shared" si="3"/>
        <v>767.3</v>
      </c>
      <c r="AK38" s="56"/>
    </row>
    <row r="39" spans="1:88" x14ac:dyDescent="0.25">
      <c r="A39" s="159" t="s">
        <v>130</v>
      </c>
      <c r="B39" s="50">
        <v>456</v>
      </c>
      <c r="C39" s="50">
        <v>456</v>
      </c>
      <c r="D39" s="50">
        <v>456</v>
      </c>
      <c r="E39" s="50">
        <v>456</v>
      </c>
      <c r="F39" s="50">
        <v>456</v>
      </c>
      <c r="G39" s="50">
        <v>456</v>
      </c>
      <c r="H39" s="50">
        <v>456</v>
      </c>
      <c r="I39" s="50">
        <v>456</v>
      </c>
      <c r="J39" s="50">
        <v>456</v>
      </c>
      <c r="K39" s="50">
        <v>456</v>
      </c>
      <c r="L39" s="50">
        <v>456</v>
      </c>
      <c r="M39" s="50">
        <v>456</v>
      </c>
      <c r="N39" s="50">
        <v>456</v>
      </c>
      <c r="O39" s="50">
        <v>456</v>
      </c>
      <c r="P39" s="50">
        <v>456</v>
      </c>
      <c r="Q39" s="50">
        <v>456</v>
      </c>
      <c r="R39" s="50">
        <v>456</v>
      </c>
      <c r="S39" s="50">
        <v>456</v>
      </c>
      <c r="T39" s="50">
        <v>456</v>
      </c>
      <c r="U39" s="50">
        <v>456</v>
      </c>
      <c r="V39" s="50">
        <v>456</v>
      </c>
      <c r="W39" s="50">
        <v>456</v>
      </c>
      <c r="X39" s="50">
        <v>456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456</v>
      </c>
      <c r="AF39" s="50">
        <v>456</v>
      </c>
      <c r="AG39" s="135">
        <v>456</v>
      </c>
      <c r="AH39" s="54">
        <f t="shared" si="2"/>
        <v>456</v>
      </c>
      <c r="AI39" s="55">
        <f t="shared" si="3"/>
        <v>456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f>SUM(B39:B41)</f>
        <v>538</v>
      </c>
      <c r="C42" s="66">
        <f t="shared" ref="C42:AG42" si="7">SUM(C39:C41)</f>
        <v>538</v>
      </c>
      <c r="D42" s="66">
        <f t="shared" si="7"/>
        <v>538</v>
      </c>
      <c r="E42" s="66">
        <f t="shared" si="7"/>
        <v>538</v>
      </c>
      <c r="F42" s="66">
        <f t="shared" si="7"/>
        <v>538</v>
      </c>
      <c r="G42" s="66">
        <f t="shared" si="7"/>
        <v>538</v>
      </c>
      <c r="H42" s="66">
        <f t="shared" si="7"/>
        <v>538</v>
      </c>
      <c r="I42" s="66">
        <f t="shared" si="7"/>
        <v>538</v>
      </c>
      <c r="J42" s="66">
        <f t="shared" si="7"/>
        <v>538</v>
      </c>
      <c r="K42" s="66">
        <f t="shared" si="7"/>
        <v>538</v>
      </c>
      <c r="L42" s="66">
        <f t="shared" si="7"/>
        <v>538</v>
      </c>
      <c r="M42" s="66">
        <f t="shared" si="7"/>
        <v>538</v>
      </c>
      <c r="N42" s="66">
        <f t="shared" si="7"/>
        <v>538</v>
      </c>
      <c r="O42" s="66">
        <f t="shared" si="7"/>
        <v>538</v>
      </c>
      <c r="P42" s="66">
        <f t="shared" si="7"/>
        <v>538</v>
      </c>
      <c r="Q42" s="66">
        <f t="shared" si="7"/>
        <v>538</v>
      </c>
      <c r="R42" s="66">
        <f t="shared" si="7"/>
        <v>538</v>
      </c>
      <c r="S42" s="66">
        <f t="shared" si="7"/>
        <v>538</v>
      </c>
      <c r="T42" s="66">
        <f t="shared" si="7"/>
        <v>538</v>
      </c>
      <c r="U42" s="66">
        <f t="shared" si="7"/>
        <v>538</v>
      </c>
      <c r="V42" s="66">
        <f t="shared" si="7"/>
        <v>538</v>
      </c>
      <c r="W42" s="66">
        <f t="shared" si="7"/>
        <v>538</v>
      </c>
      <c r="X42" s="66">
        <f t="shared" si="7"/>
        <v>538</v>
      </c>
      <c r="Y42" s="66">
        <f t="shared" si="7"/>
        <v>538</v>
      </c>
      <c r="Z42" s="66">
        <f t="shared" si="7"/>
        <v>538</v>
      </c>
      <c r="AA42" s="66">
        <f t="shared" si="7"/>
        <v>538</v>
      </c>
      <c r="AB42" s="66">
        <f t="shared" si="7"/>
        <v>538</v>
      </c>
      <c r="AC42" s="66">
        <f t="shared" si="7"/>
        <v>538</v>
      </c>
      <c r="AD42" s="66">
        <f t="shared" si="7"/>
        <v>538</v>
      </c>
      <c r="AE42" s="66">
        <f t="shared" si="7"/>
        <v>538</v>
      </c>
      <c r="AF42" s="66">
        <f t="shared" si="7"/>
        <v>538</v>
      </c>
      <c r="AG42" s="143">
        <f t="shared" si="7"/>
        <v>538.1</v>
      </c>
      <c r="AH42" s="54">
        <f t="shared" si="2"/>
        <v>538</v>
      </c>
      <c r="AI42" s="55">
        <f t="shared" si="3"/>
        <v>538</v>
      </c>
      <c r="AK42" s="56"/>
    </row>
    <row r="43" spans="1:88" x14ac:dyDescent="0.25">
      <c r="A43" s="57" t="s">
        <v>23</v>
      </c>
      <c r="B43" s="50">
        <v>144.80000000000001</v>
      </c>
      <c r="C43" s="50">
        <v>144.80000000000001</v>
      </c>
      <c r="D43" s="50">
        <v>144.80000000000001</v>
      </c>
      <c r="E43" s="50">
        <v>144.80000000000001</v>
      </c>
      <c r="F43" s="50">
        <v>144.80000000000001</v>
      </c>
      <c r="G43" s="50">
        <v>144.80000000000001</v>
      </c>
      <c r="H43" s="50">
        <v>144.80000000000001</v>
      </c>
      <c r="I43" s="50">
        <v>144.80000000000001</v>
      </c>
      <c r="J43" s="50">
        <v>144.80000000000001</v>
      </c>
      <c r="K43" s="50">
        <v>144.80000000000001</v>
      </c>
      <c r="L43" s="50">
        <v>143.9</v>
      </c>
      <c r="M43" s="50">
        <v>144.80000000000001</v>
      </c>
      <c r="N43" s="50">
        <v>144</v>
      </c>
      <c r="O43" s="50">
        <v>144</v>
      </c>
      <c r="P43" s="50">
        <v>144</v>
      </c>
      <c r="Q43" s="50">
        <v>144</v>
      </c>
      <c r="R43" s="50">
        <v>144</v>
      </c>
      <c r="S43" s="50">
        <v>143.80000000000001</v>
      </c>
      <c r="T43" s="50">
        <v>143.80000000000001</v>
      </c>
      <c r="U43" s="50">
        <v>143.80000000000001</v>
      </c>
      <c r="V43" s="50">
        <v>143.80000000000001</v>
      </c>
      <c r="W43" s="50">
        <v>143.80000000000001</v>
      </c>
      <c r="X43" s="50">
        <v>143.69999999999999</v>
      </c>
      <c r="Y43" s="50">
        <v>143.69999999999999</v>
      </c>
      <c r="Z43" s="50">
        <v>143.69999999999999</v>
      </c>
      <c r="AA43" s="50">
        <v>143.69999999999999</v>
      </c>
      <c r="AB43" s="50">
        <v>143.9</v>
      </c>
      <c r="AC43" s="50">
        <v>143.5</v>
      </c>
      <c r="AD43" s="50">
        <v>143.4</v>
      </c>
      <c r="AE43" s="50">
        <v>143.80000000000001</v>
      </c>
      <c r="AF43" s="50">
        <v>143.69999999999999</v>
      </c>
      <c r="AG43" s="135">
        <v>144</v>
      </c>
      <c r="AH43" s="54">
        <f t="shared" si="2"/>
        <v>144.80000000000001</v>
      </c>
      <c r="AI43" s="55">
        <f t="shared" si="3"/>
        <v>143.4</v>
      </c>
      <c r="AK43" s="56"/>
    </row>
    <row r="44" spans="1:88" x14ac:dyDescent="0.25">
      <c r="A44" s="60" t="s">
        <v>24</v>
      </c>
      <c r="B44" s="48">
        <v>73.5</v>
      </c>
      <c r="C44" s="48">
        <v>71.7</v>
      </c>
      <c r="D44" s="48">
        <v>71.7</v>
      </c>
      <c r="E44" s="48">
        <v>71.7</v>
      </c>
      <c r="F44" s="48">
        <v>71.7</v>
      </c>
      <c r="G44" s="48">
        <v>71.7</v>
      </c>
      <c r="H44" s="48">
        <v>71.7</v>
      </c>
      <c r="I44" s="48">
        <v>71.7</v>
      </c>
      <c r="J44" s="48">
        <v>71.7</v>
      </c>
      <c r="K44" s="48">
        <v>71.7</v>
      </c>
      <c r="L44" s="48">
        <v>71.7</v>
      </c>
      <c r="M44" s="50">
        <v>71.900000000000006</v>
      </c>
      <c r="N44" s="50">
        <v>70.2</v>
      </c>
      <c r="O44" s="50">
        <v>70.2</v>
      </c>
      <c r="P44" s="50">
        <v>70.2</v>
      </c>
      <c r="Q44" s="50">
        <v>70.2</v>
      </c>
      <c r="R44" s="50">
        <v>72</v>
      </c>
      <c r="S44" s="50">
        <v>72</v>
      </c>
      <c r="T44" s="50">
        <v>72</v>
      </c>
      <c r="U44" s="50">
        <v>72</v>
      </c>
      <c r="V44" s="50">
        <v>36.4</v>
      </c>
      <c r="W44" s="50">
        <v>36.4</v>
      </c>
      <c r="X44" s="48">
        <v>73.7</v>
      </c>
      <c r="Y44" s="48">
        <v>73.7</v>
      </c>
      <c r="Z44" s="48">
        <v>73.7</v>
      </c>
      <c r="AA44" s="48">
        <v>73.7</v>
      </c>
      <c r="AB44" s="48">
        <v>72.099999999999994</v>
      </c>
      <c r="AC44" s="48">
        <v>70.900000000000006</v>
      </c>
      <c r="AD44" s="48">
        <v>70.2</v>
      </c>
      <c r="AE44" s="48">
        <v>71.3</v>
      </c>
      <c r="AF44" s="48">
        <v>70.599999999999994</v>
      </c>
      <c r="AG44" s="136">
        <v>70</v>
      </c>
      <c r="AH44" s="54">
        <f t="shared" si="2"/>
        <v>73.7</v>
      </c>
      <c r="AI44" s="55">
        <f t="shared" si="3"/>
        <v>36.4</v>
      </c>
      <c r="AK44" s="56"/>
    </row>
    <row r="45" spans="1:88" x14ac:dyDescent="0.25">
      <c r="A45" s="60" t="s">
        <v>25</v>
      </c>
      <c r="B45" s="48">
        <v>64.5</v>
      </c>
      <c r="C45" s="48">
        <v>63.7</v>
      </c>
      <c r="D45" s="48">
        <v>63.7</v>
      </c>
      <c r="E45" s="48">
        <v>63.7</v>
      </c>
      <c r="F45" s="48">
        <v>0</v>
      </c>
      <c r="G45" s="48">
        <v>0</v>
      </c>
      <c r="H45" s="48">
        <v>0</v>
      </c>
      <c r="I45" s="48">
        <v>0</v>
      </c>
      <c r="J45" s="48">
        <v>0</v>
      </c>
      <c r="K45" s="48">
        <v>0</v>
      </c>
      <c r="L45" s="48">
        <v>0</v>
      </c>
      <c r="M45" s="50">
        <v>64.099999999999994</v>
      </c>
      <c r="N45" s="50">
        <v>63.8</v>
      </c>
      <c r="O45" s="50">
        <v>63.8</v>
      </c>
      <c r="P45" s="50">
        <v>63.8</v>
      </c>
      <c r="Q45" s="50">
        <v>63.8</v>
      </c>
      <c r="R45" s="50">
        <v>63.8</v>
      </c>
      <c r="S45" s="50">
        <v>63.8</v>
      </c>
      <c r="T45" s="50">
        <v>63.8</v>
      </c>
      <c r="U45" s="50">
        <v>63.8</v>
      </c>
      <c r="V45" s="50">
        <v>63.8</v>
      </c>
      <c r="W45" s="50">
        <v>63.8</v>
      </c>
      <c r="X45" s="48">
        <v>65.2</v>
      </c>
      <c r="Y45" s="48">
        <v>65.2</v>
      </c>
      <c r="Z45" s="48">
        <v>65.2</v>
      </c>
      <c r="AA45" s="48">
        <v>65.2</v>
      </c>
      <c r="AB45" s="48">
        <v>65.099999999999994</v>
      </c>
      <c r="AC45" s="48">
        <v>65.8</v>
      </c>
      <c r="AD45" s="48">
        <v>65.900000000000006</v>
      </c>
      <c r="AE45" s="48">
        <v>64.8</v>
      </c>
      <c r="AF45" s="48">
        <v>64.900000000000006</v>
      </c>
      <c r="AG45" s="136">
        <v>69</v>
      </c>
      <c r="AH45" s="54">
        <f t="shared" si="2"/>
        <v>65.900000000000006</v>
      </c>
      <c r="AI45" s="55">
        <f t="shared" si="3"/>
        <v>0</v>
      </c>
      <c r="AK45" s="56"/>
    </row>
    <row r="46" spans="1:88" x14ac:dyDescent="0.25">
      <c r="A46" s="60" t="s">
        <v>26</v>
      </c>
      <c r="B46" s="62">
        <v>61.4</v>
      </c>
      <c r="C46" s="62">
        <v>61</v>
      </c>
      <c r="D46" s="62">
        <v>61</v>
      </c>
      <c r="E46" s="62">
        <v>61</v>
      </c>
      <c r="F46" s="62">
        <v>61</v>
      </c>
      <c r="G46" s="62">
        <v>61</v>
      </c>
      <c r="H46" s="62">
        <v>61</v>
      </c>
      <c r="I46" s="62">
        <v>61</v>
      </c>
      <c r="J46" s="62">
        <v>61</v>
      </c>
      <c r="K46" s="62">
        <v>61</v>
      </c>
      <c r="L46" s="62">
        <v>61</v>
      </c>
      <c r="M46" s="50">
        <v>61</v>
      </c>
      <c r="N46" s="50">
        <v>60.7</v>
      </c>
      <c r="O46" s="50">
        <v>60.7</v>
      </c>
      <c r="P46" s="50">
        <v>60.7</v>
      </c>
      <c r="Q46" s="50">
        <v>60.7</v>
      </c>
      <c r="R46" s="50">
        <v>60.7</v>
      </c>
      <c r="S46" s="50">
        <v>60.7</v>
      </c>
      <c r="T46" s="50">
        <v>60.7</v>
      </c>
      <c r="U46" s="50">
        <v>60.7</v>
      </c>
      <c r="V46" s="50">
        <v>60.7</v>
      </c>
      <c r="W46" s="50">
        <v>60.7</v>
      </c>
      <c r="X46" s="50">
        <v>60.7</v>
      </c>
      <c r="Y46" s="50">
        <v>60.7</v>
      </c>
      <c r="Z46" s="50">
        <v>60.7</v>
      </c>
      <c r="AA46" s="50">
        <v>60.7</v>
      </c>
      <c r="AB46" s="62">
        <v>60.7</v>
      </c>
      <c r="AC46" s="62">
        <v>60.7</v>
      </c>
      <c r="AD46" s="62">
        <v>60.7</v>
      </c>
      <c r="AE46" s="62">
        <v>60.7</v>
      </c>
      <c r="AF46" s="62">
        <v>60.7</v>
      </c>
      <c r="AG46" s="136">
        <v>60</v>
      </c>
      <c r="AH46" s="54">
        <f t="shared" si="2"/>
        <v>61.4</v>
      </c>
      <c r="AI46" s="55">
        <f t="shared" si="3"/>
        <v>60.7</v>
      </c>
      <c r="AK46" s="56"/>
    </row>
    <row r="47" spans="1:88" x14ac:dyDescent="0.25">
      <c r="A47" s="60" t="s">
        <v>27</v>
      </c>
      <c r="B47" s="62">
        <v>29</v>
      </c>
      <c r="C47" s="62">
        <v>29</v>
      </c>
      <c r="D47" s="62">
        <v>29</v>
      </c>
      <c r="E47" s="62">
        <v>29</v>
      </c>
      <c r="F47" s="62">
        <v>29</v>
      </c>
      <c r="G47" s="62">
        <v>29</v>
      </c>
      <c r="H47" s="62">
        <v>29</v>
      </c>
      <c r="I47" s="62">
        <v>29</v>
      </c>
      <c r="J47" s="62">
        <v>15</v>
      </c>
      <c r="K47" s="62">
        <v>15</v>
      </c>
      <c r="L47" s="62">
        <v>15</v>
      </c>
      <c r="M47" s="50">
        <v>15</v>
      </c>
      <c r="N47" s="50">
        <v>28.9</v>
      </c>
      <c r="O47" s="50">
        <v>28.9</v>
      </c>
      <c r="P47" s="50">
        <v>28.9</v>
      </c>
      <c r="Q47" s="50">
        <v>28.9</v>
      </c>
      <c r="R47" s="50">
        <v>28.9</v>
      </c>
      <c r="S47" s="50">
        <v>28.9</v>
      </c>
      <c r="T47" s="50">
        <v>28.9</v>
      </c>
      <c r="U47" s="50">
        <v>28.9</v>
      </c>
      <c r="V47" s="50">
        <v>28.9</v>
      </c>
      <c r="W47" s="50">
        <v>28.9</v>
      </c>
      <c r="X47" s="50">
        <v>28.9</v>
      </c>
      <c r="Y47" s="50">
        <v>28.9</v>
      </c>
      <c r="Z47" s="50">
        <v>28.9</v>
      </c>
      <c r="AA47" s="50">
        <v>28.9</v>
      </c>
      <c r="AB47" s="62">
        <v>28.6</v>
      </c>
      <c r="AC47" s="62">
        <v>28.8</v>
      </c>
      <c r="AD47" s="62">
        <v>28.8</v>
      </c>
      <c r="AE47" s="62">
        <v>28.8</v>
      </c>
      <c r="AF47" s="62">
        <v>28.8</v>
      </c>
      <c r="AG47" s="136">
        <v>30</v>
      </c>
      <c r="AH47" s="54">
        <f t="shared" si="2"/>
        <v>29</v>
      </c>
      <c r="AI47" s="55">
        <f t="shared" si="3"/>
        <v>15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62">
        <v>0</v>
      </c>
      <c r="G48" s="62">
        <v>0</v>
      </c>
      <c r="H48" s="62">
        <v>0</v>
      </c>
      <c r="I48" s="62">
        <v>0</v>
      </c>
      <c r="J48" s="62">
        <v>0</v>
      </c>
      <c r="K48" s="62">
        <v>0</v>
      </c>
      <c r="L48" s="62">
        <v>0</v>
      </c>
      <c r="M48" s="50">
        <v>8</v>
      </c>
      <c r="N48" s="50">
        <v>8</v>
      </c>
      <c r="O48" s="50">
        <v>8</v>
      </c>
      <c r="P48" s="50">
        <v>8</v>
      </c>
      <c r="Q48" s="50">
        <v>8</v>
      </c>
      <c r="R48" s="50">
        <v>8</v>
      </c>
      <c r="S48" s="50">
        <v>8</v>
      </c>
      <c r="T48" s="50">
        <v>8</v>
      </c>
      <c r="U48" s="50">
        <v>8</v>
      </c>
      <c r="V48" s="50">
        <v>8</v>
      </c>
      <c r="W48" s="50">
        <v>8</v>
      </c>
      <c r="X48" s="50">
        <v>8</v>
      </c>
      <c r="Y48" s="50">
        <v>8</v>
      </c>
      <c r="Z48" s="50">
        <v>8</v>
      </c>
      <c r="AA48" s="50">
        <v>8</v>
      </c>
      <c r="AB48" s="48">
        <v>0</v>
      </c>
      <c r="AC48" s="48">
        <v>0</v>
      </c>
      <c r="AD48" s="48">
        <v>0</v>
      </c>
      <c r="AE48" s="48">
        <v>0</v>
      </c>
      <c r="AF48" s="48">
        <v>0</v>
      </c>
      <c r="AG48" s="136">
        <v>25</v>
      </c>
      <c r="AH48" s="54">
        <f t="shared" si="2"/>
        <v>8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16</v>
      </c>
      <c r="C49" s="48">
        <v>16</v>
      </c>
      <c r="D49" s="48">
        <v>16</v>
      </c>
      <c r="E49" s="48">
        <v>16</v>
      </c>
      <c r="F49" s="48">
        <v>16</v>
      </c>
      <c r="G49" s="48">
        <v>16</v>
      </c>
      <c r="H49" s="48">
        <v>16</v>
      </c>
      <c r="I49" s="48">
        <v>16</v>
      </c>
      <c r="J49" s="48">
        <v>16</v>
      </c>
      <c r="K49" s="48">
        <v>16</v>
      </c>
      <c r="L49" s="48">
        <v>16</v>
      </c>
      <c r="M49" s="50">
        <v>16</v>
      </c>
      <c r="N49" s="50">
        <v>16.100000000000001</v>
      </c>
      <c r="O49" s="50">
        <v>16.100000000000001</v>
      </c>
      <c r="P49" s="50">
        <v>16.100000000000001</v>
      </c>
      <c r="Q49" s="50">
        <v>16.100000000000001</v>
      </c>
      <c r="R49" s="50">
        <v>16.100000000000001</v>
      </c>
      <c r="S49" s="50">
        <v>16.100000000000001</v>
      </c>
      <c r="T49" s="50">
        <v>16.100000000000001</v>
      </c>
      <c r="U49" s="50">
        <v>16.100000000000001</v>
      </c>
      <c r="V49" s="50">
        <v>16.100000000000001</v>
      </c>
      <c r="W49" s="50">
        <v>16.100000000000001</v>
      </c>
      <c r="X49" s="50">
        <v>16.100000000000001</v>
      </c>
      <c r="Y49" s="50">
        <v>16.100000000000001</v>
      </c>
      <c r="Z49" s="50">
        <v>16.100000000000001</v>
      </c>
      <c r="AA49" s="50">
        <v>16.100000000000001</v>
      </c>
      <c r="AB49" s="48">
        <v>16.100000000000001</v>
      </c>
      <c r="AC49" s="48">
        <v>16.100000000000001</v>
      </c>
      <c r="AD49" s="48">
        <v>16.100000000000001</v>
      </c>
      <c r="AE49" s="48">
        <v>16.100000000000001</v>
      </c>
      <c r="AF49" s="48">
        <v>16.100000000000001</v>
      </c>
      <c r="AG49" s="136">
        <v>24</v>
      </c>
      <c r="AH49" s="54">
        <f t="shared" si="2"/>
        <v>16.100000000000001</v>
      </c>
      <c r="AI49" s="55">
        <f t="shared" si="3"/>
        <v>16</v>
      </c>
      <c r="AK49" s="56"/>
    </row>
    <row r="50" spans="1:41" x14ac:dyDescent="0.25">
      <c r="A50" s="60" t="s">
        <v>30</v>
      </c>
      <c r="B50" s="48">
        <v>3</v>
      </c>
      <c r="C50" s="48">
        <v>3</v>
      </c>
      <c r="D50" s="48">
        <v>3</v>
      </c>
      <c r="E50" s="48">
        <v>3</v>
      </c>
      <c r="F50" s="48">
        <v>3</v>
      </c>
      <c r="G50" s="48">
        <v>3</v>
      </c>
      <c r="H50" s="48">
        <v>3</v>
      </c>
      <c r="I50" s="48">
        <v>3</v>
      </c>
      <c r="J50" s="48">
        <v>3</v>
      </c>
      <c r="K50" s="48">
        <v>3</v>
      </c>
      <c r="L50" s="48">
        <v>3</v>
      </c>
      <c r="M50" s="50">
        <v>3</v>
      </c>
      <c r="N50" s="50">
        <v>3</v>
      </c>
      <c r="O50" s="50">
        <v>3</v>
      </c>
      <c r="P50" s="50">
        <v>3</v>
      </c>
      <c r="Q50" s="50">
        <v>3</v>
      </c>
      <c r="R50" s="50">
        <v>3</v>
      </c>
      <c r="S50" s="50">
        <v>3</v>
      </c>
      <c r="T50" s="50">
        <v>3</v>
      </c>
      <c r="U50" s="50">
        <v>3</v>
      </c>
      <c r="V50" s="50">
        <v>3</v>
      </c>
      <c r="W50" s="50">
        <v>3</v>
      </c>
      <c r="X50" s="50">
        <v>3</v>
      </c>
      <c r="Y50" s="50">
        <v>3</v>
      </c>
      <c r="Z50" s="50">
        <v>3</v>
      </c>
      <c r="AA50" s="50">
        <v>3</v>
      </c>
      <c r="AB50" s="50">
        <v>3</v>
      </c>
      <c r="AC50" s="50">
        <v>3</v>
      </c>
      <c r="AD50" s="50">
        <v>3</v>
      </c>
      <c r="AE50" s="50">
        <v>3</v>
      </c>
      <c r="AF50" s="50">
        <v>3</v>
      </c>
      <c r="AG50" s="136">
        <v>15</v>
      </c>
      <c r="AH50" s="54">
        <f t="shared" si="2"/>
        <v>3</v>
      </c>
      <c r="AI50" s="55">
        <f t="shared" si="3"/>
        <v>3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11.6</v>
      </c>
      <c r="C51" s="48">
        <v>11.6</v>
      </c>
      <c r="D51" s="48">
        <v>11.6</v>
      </c>
      <c r="E51" s="48">
        <v>11.6</v>
      </c>
      <c r="F51" s="48">
        <v>11.6</v>
      </c>
      <c r="G51" s="48">
        <v>11.6</v>
      </c>
      <c r="H51" s="48">
        <v>11.6</v>
      </c>
      <c r="I51" s="48">
        <v>11.6</v>
      </c>
      <c r="J51" s="48">
        <v>11.6</v>
      </c>
      <c r="K51" s="48">
        <v>11.6</v>
      </c>
      <c r="L51" s="48">
        <v>11.6</v>
      </c>
      <c r="M51" s="50">
        <v>11.6</v>
      </c>
      <c r="N51" s="50">
        <v>12.6</v>
      </c>
      <c r="O51" s="50">
        <v>12.6</v>
      </c>
      <c r="P51" s="50">
        <v>12.6</v>
      </c>
      <c r="Q51" s="50">
        <v>12.6</v>
      </c>
      <c r="R51" s="50">
        <v>12.6</v>
      </c>
      <c r="S51" s="50">
        <v>12.6</v>
      </c>
      <c r="T51" s="50">
        <v>12.6</v>
      </c>
      <c r="U51" s="50">
        <v>12.6</v>
      </c>
      <c r="V51" s="50">
        <v>12.6</v>
      </c>
      <c r="W51" s="50">
        <v>12.6</v>
      </c>
      <c r="X51" s="50">
        <v>12.6</v>
      </c>
      <c r="Y51" s="50">
        <v>12.6</v>
      </c>
      <c r="Z51" s="50">
        <v>12.6</v>
      </c>
      <c r="AA51" s="50">
        <v>12.6</v>
      </c>
      <c r="AB51" s="50">
        <v>12.6</v>
      </c>
      <c r="AC51" s="50">
        <v>12.6</v>
      </c>
      <c r="AD51" s="50">
        <v>12.6</v>
      </c>
      <c r="AE51" s="50">
        <v>12.6</v>
      </c>
      <c r="AF51" s="50">
        <v>12.6</v>
      </c>
      <c r="AG51" s="136">
        <v>14.1</v>
      </c>
      <c r="AH51" s="54">
        <f t="shared" si="2"/>
        <v>12.6</v>
      </c>
      <c r="AI51" s="55">
        <f t="shared" si="3"/>
        <v>11.6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14</v>
      </c>
      <c r="C52" s="48">
        <v>14</v>
      </c>
      <c r="D52" s="48">
        <v>14</v>
      </c>
      <c r="E52" s="48">
        <v>14</v>
      </c>
      <c r="F52" s="48">
        <v>14</v>
      </c>
      <c r="G52" s="48">
        <v>14</v>
      </c>
      <c r="H52" s="48">
        <v>14</v>
      </c>
      <c r="I52" s="48">
        <v>14</v>
      </c>
      <c r="J52" s="48">
        <v>14</v>
      </c>
      <c r="K52" s="48">
        <v>14</v>
      </c>
      <c r="L52" s="48">
        <v>14</v>
      </c>
      <c r="M52" s="50">
        <v>14</v>
      </c>
      <c r="N52" s="50">
        <v>14</v>
      </c>
      <c r="O52" s="50">
        <v>14</v>
      </c>
      <c r="P52" s="50">
        <v>14</v>
      </c>
      <c r="Q52" s="50">
        <v>14</v>
      </c>
      <c r="R52" s="50">
        <v>6.9</v>
      </c>
      <c r="S52" s="50">
        <v>6.9</v>
      </c>
      <c r="T52" s="50">
        <v>6.9</v>
      </c>
      <c r="U52" s="50">
        <v>6.9</v>
      </c>
      <c r="V52" s="50">
        <v>6.9</v>
      </c>
      <c r="W52" s="50">
        <v>6.9</v>
      </c>
      <c r="X52" s="50">
        <v>6.9</v>
      </c>
      <c r="Y52" s="50">
        <v>6.9</v>
      </c>
      <c r="Z52" s="50">
        <v>6.9</v>
      </c>
      <c r="AA52" s="50">
        <v>6.9</v>
      </c>
      <c r="AB52" s="50">
        <v>13.7</v>
      </c>
      <c r="AC52" s="50">
        <v>13.7</v>
      </c>
      <c r="AD52" s="50">
        <v>13.7</v>
      </c>
      <c r="AE52" s="50">
        <v>13.7</v>
      </c>
      <c r="AF52" s="50">
        <v>13.7</v>
      </c>
      <c r="AG52" s="136">
        <v>14</v>
      </c>
      <c r="AH52" s="54">
        <f t="shared" si="2"/>
        <v>14</v>
      </c>
      <c r="AI52" s="55">
        <f t="shared" si="3"/>
        <v>6.9</v>
      </c>
      <c r="AK52" s="56"/>
    </row>
    <row r="53" spans="1:41" x14ac:dyDescent="0.25">
      <c r="A53" s="60" t="s">
        <v>33</v>
      </c>
      <c r="B53" s="48">
        <v>6.2</v>
      </c>
      <c r="C53" s="48">
        <v>6.2</v>
      </c>
      <c r="D53" s="48">
        <v>6.2</v>
      </c>
      <c r="E53" s="48">
        <v>6.2</v>
      </c>
      <c r="F53" s="48">
        <v>6.2</v>
      </c>
      <c r="G53" s="48">
        <v>6.2</v>
      </c>
      <c r="H53" s="48">
        <v>6.2</v>
      </c>
      <c r="I53" s="48">
        <v>6.2</v>
      </c>
      <c r="J53" s="48">
        <v>6.2</v>
      </c>
      <c r="K53" s="48">
        <v>6.2</v>
      </c>
      <c r="L53" s="48">
        <v>6.2</v>
      </c>
      <c r="M53" s="50">
        <v>6.2</v>
      </c>
      <c r="N53" s="50">
        <v>6.4</v>
      </c>
      <c r="O53" s="50">
        <v>6.4</v>
      </c>
      <c r="P53" s="50">
        <v>6.4</v>
      </c>
      <c r="Q53" s="50">
        <v>6.4</v>
      </c>
      <c r="R53" s="50">
        <v>6.4</v>
      </c>
      <c r="S53" s="50">
        <v>6.4</v>
      </c>
      <c r="T53" s="50">
        <v>6.4</v>
      </c>
      <c r="U53" s="50">
        <v>6.4</v>
      </c>
      <c r="V53" s="50">
        <v>6.4</v>
      </c>
      <c r="W53" s="50">
        <v>6.4</v>
      </c>
      <c r="X53" s="50">
        <v>6.4</v>
      </c>
      <c r="Y53" s="50">
        <v>6.4</v>
      </c>
      <c r="Z53" s="50">
        <v>6.4</v>
      </c>
      <c r="AA53" s="50">
        <v>6.4</v>
      </c>
      <c r="AB53" s="50">
        <v>6.4</v>
      </c>
      <c r="AC53" s="50">
        <v>6.4</v>
      </c>
      <c r="AD53" s="50">
        <v>6.4</v>
      </c>
      <c r="AE53" s="50">
        <v>6.4</v>
      </c>
      <c r="AF53" s="50">
        <v>6.4</v>
      </c>
      <c r="AG53" s="136">
        <v>10.050000000000001</v>
      </c>
      <c r="AH53" s="54">
        <f t="shared" si="2"/>
        <v>6.4</v>
      </c>
      <c r="AI53" s="55">
        <f t="shared" si="3"/>
        <v>6.2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50">
        <v>6.2</v>
      </c>
      <c r="N54" s="50">
        <v>6.2</v>
      </c>
      <c r="O54" s="50">
        <v>6.2</v>
      </c>
      <c r="P54" s="50">
        <v>6.2</v>
      </c>
      <c r="Q54" s="50">
        <v>6.2</v>
      </c>
      <c r="R54" s="50">
        <v>6.2</v>
      </c>
      <c r="S54" s="50">
        <v>6.2</v>
      </c>
      <c r="T54" s="50">
        <v>6.2</v>
      </c>
      <c r="U54" s="50">
        <v>6.2</v>
      </c>
      <c r="V54" s="50">
        <v>6.2</v>
      </c>
      <c r="W54" s="50">
        <v>6.2</v>
      </c>
      <c r="X54" s="50">
        <v>6.2</v>
      </c>
      <c r="Y54" s="50">
        <v>6.2</v>
      </c>
      <c r="Z54" s="50">
        <v>6.2</v>
      </c>
      <c r="AA54" s="50">
        <v>6.2</v>
      </c>
      <c r="AB54" s="50">
        <v>6.2</v>
      </c>
      <c r="AC54" s="50">
        <v>6.2</v>
      </c>
      <c r="AD54" s="50">
        <v>6.2</v>
      </c>
      <c r="AE54" s="50">
        <v>6.2</v>
      </c>
      <c r="AF54" s="50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8">AG220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>SUM(B43:B55)</f>
        <v>433.74</v>
      </c>
      <c r="C56" s="66">
        <f t="shared" ref="C56:AG56" si="9">SUM(C43:C55)</f>
        <v>430.74</v>
      </c>
      <c r="D56" s="66">
        <f t="shared" si="9"/>
        <v>430.74</v>
      </c>
      <c r="E56" s="66">
        <f t="shared" si="9"/>
        <v>430.74</v>
      </c>
      <c r="F56" s="66">
        <f t="shared" si="9"/>
        <v>367.04</v>
      </c>
      <c r="G56" s="66">
        <f t="shared" si="9"/>
        <v>367.04</v>
      </c>
      <c r="H56" s="66">
        <f t="shared" si="9"/>
        <v>367.04</v>
      </c>
      <c r="I56" s="66">
        <f t="shared" si="9"/>
        <v>367.04</v>
      </c>
      <c r="J56" s="66">
        <f t="shared" si="9"/>
        <v>353.04</v>
      </c>
      <c r="K56" s="66">
        <f t="shared" si="9"/>
        <v>353.04</v>
      </c>
      <c r="L56" s="66">
        <f t="shared" si="9"/>
        <v>352.14000000000004</v>
      </c>
      <c r="M56" s="66">
        <f t="shared" si="9"/>
        <v>425.34000000000003</v>
      </c>
      <c r="N56" s="66">
        <f t="shared" si="9"/>
        <v>437.44</v>
      </c>
      <c r="O56" s="66">
        <f t="shared" si="9"/>
        <v>437.44</v>
      </c>
      <c r="P56" s="66">
        <f t="shared" si="9"/>
        <v>437.44</v>
      </c>
      <c r="Q56" s="66">
        <f t="shared" si="9"/>
        <v>437.44</v>
      </c>
      <c r="R56" s="66">
        <f t="shared" si="9"/>
        <v>432.14</v>
      </c>
      <c r="S56" s="66">
        <f t="shared" si="9"/>
        <v>431.94</v>
      </c>
      <c r="T56" s="66">
        <f t="shared" si="9"/>
        <v>431.94</v>
      </c>
      <c r="U56" s="66">
        <f t="shared" si="9"/>
        <v>431.94</v>
      </c>
      <c r="V56" s="66">
        <f t="shared" si="9"/>
        <v>396.34</v>
      </c>
      <c r="W56" s="66">
        <f t="shared" si="9"/>
        <v>396.34</v>
      </c>
      <c r="X56" s="66">
        <f t="shared" si="9"/>
        <v>434.93999999999994</v>
      </c>
      <c r="Y56" s="66">
        <f t="shared" si="9"/>
        <v>434.93999999999994</v>
      </c>
      <c r="Z56" s="66">
        <f t="shared" si="9"/>
        <v>434.93999999999994</v>
      </c>
      <c r="AA56" s="66">
        <f t="shared" si="9"/>
        <v>434.93999999999994</v>
      </c>
      <c r="AB56" s="66">
        <f t="shared" si="9"/>
        <v>431.94000000000005</v>
      </c>
      <c r="AC56" s="66">
        <f t="shared" si="9"/>
        <v>431.24</v>
      </c>
      <c r="AD56" s="66">
        <f t="shared" si="9"/>
        <v>430.54</v>
      </c>
      <c r="AE56" s="66">
        <f t="shared" si="9"/>
        <v>430.94000000000005</v>
      </c>
      <c r="AF56" s="66">
        <f t="shared" si="9"/>
        <v>430.24</v>
      </c>
      <c r="AG56" s="143">
        <f t="shared" si="9"/>
        <v>489.91</v>
      </c>
      <c r="AH56" s="54">
        <f t="shared" si="2"/>
        <v>437.44</v>
      </c>
      <c r="AI56" s="55">
        <f t="shared" si="3"/>
        <v>352.14000000000004</v>
      </c>
      <c r="AK56" s="56"/>
    </row>
    <row r="57" spans="1:41" x14ac:dyDescent="0.25">
      <c r="A57" s="57" t="s">
        <v>37</v>
      </c>
      <c r="B57" s="50">
        <v>29.5</v>
      </c>
      <c r="C57" s="50">
        <v>14</v>
      </c>
      <c r="D57" s="50">
        <v>0</v>
      </c>
      <c r="E57" s="50">
        <v>0</v>
      </c>
      <c r="F57" s="50">
        <v>29.4</v>
      </c>
      <c r="G57" s="50">
        <v>14</v>
      </c>
      <c r="H57" s="50">
        <v>0</v>
      </c>
      <c r="I57" s="50">
        <v>0</v>
      </c>
      <c r="J57" s="50">
        <v>0</v>
      </c>
      <c r="K57" s="50">
        <v>30</v>
      </c>
      <c r="L57" s="50">
        <v>24.7</v>
      </c>
      <c r="M57" s="50">
        <v>10.5</v>
      </c>
      <c r="N57" s="50">
        <v>14.2</v>
      </c>
      <c r="O57" s="50">
        <v>20.3</v>
      </c>
      <c r="P57" s="50">
        <v>30</v>
      </c>
      <c r="Q57" s="50">
        <v>29.8</v>
      </c>
      <c r="R57" s="50">
        <v>10.8</v>
      </c>
      <c r="S57" s="50">
        <v>30</v>
      </c>
      <c r="T57" s="50">
        <v>11</v>
      </c>
      <c r="U57" s="50">
        <v>35</v>
      </c>
      <c r="V57" s="50">
        <v>25</v>
      </c>
      <c r="W57" s="50">
        <v>25</v>
      </c>
      <c r="X57" s="50">
        <v>14</v>
      </c>
      <c r="Y57" s="50">
        <v>0</v>
      </c>
      <c r="Z57" s="50">
        <v>0</v>
      </c>
      <c r="AA57" s="50">
        <v>30</v>
      </c>
      <c r="AB57" s="50">
        <v>19.7</v>
      </c>
      <c r="AC57" s="50">
        <v>20</v>
      </c>
      <c r="AD57" s="50">
        <v>30</v>
      </c>
      <c r="AE57" s="50">
        <v>20</v>
      </c>
      <c r="AF57" s="50">
        <v>24</v>
      </c>
      <c r="AG57" s="135">
        <v>60</v>
      </c>
      <c r="AH57" s="54">
        <f t="shared" si="2"/>
        <v>35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15.3</v>
      </c>
      <c r="C58" s="48">
        <v>5.6</v>
      </c>
      <c r="D58" s="48">
        <v>0</v>
      </c>
      <c r="E58" s="48">
        <v>0</v>
      </c>
      <c r="F58" s="48">
        <v>15.1</v>
      </c>
      <c r="G58" s="48">
        <v>12</v>
      </c>
      <c r="H58" s="48">
        <v>0</v>
      </c>
      <c r="I58" s="48">
        <v>0</v>
      </c>
      <c r="J58" s="48">
        <v>0</v>
      </c>
      <c r="K58" s="48">
        <v>12.3</v>
      </c>
      <c r="L58" s="48">
        <v>10.4</v>
      </c>
      <c r="M58" s="48">
        <v>4.8</v>
      </c>
      <c r="N58" s="48">
        <v>6.1</v>
      </c>
      <c r="O58" s="48">
        <v>9.4</v>
      </c>
      <c r="P58" s="48">
        <v>15.7</v>
      </c>
      <c r="Q58" s="48">
        <v>15.3</v>
      </c>
      <c r="R58" s="48">
        <v>16.100000000000001</v>
      </c>
      <c r="S58" s="48">
        <v>15.7</v>
      </c>
      <c r="T58" s="48">
        <v>6</v>
      </c>
      <c r="U58" s="48">
        <v>17</v>
      </c>
      <c r="V58" s="48">
        <v>13</v>
      </c>
      <c r="W58" s="48">
        <v>15</v>
      </c>
      <c r="X58" s="48">
        <v>10</v>
      </c>
      <c r="Y58" s="48">
        <v>0</v>
      </c>
      <c r="Z58" s="48">
        <v>0</v>
      </c>
      <c r="AA58" s="48">
        <v>12</v>
      </c>
      <c r="AB58" s="48">
        <v>10.6</v>
      </c>
      <c r="AC58" s="48">
        <v>11</v>
      </c>
      <c r="AD58" s="48">
        <v>13.1</v>
      </c>
      <c r="AE58" s="48">
        <v>10.199999999999999</v>
      </c>
      <c r="AF58" s="48">
        <v>11</v>
      </c>
      <c r="AG58" s="136">
        <v>32</v>
      </c>
      <c r="AH58" s="54">
        <f t="shared" si="2"/>
        <v>17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5.6</v>
      </c>
      <c r="C59" s="70">
        <v>2</v>
      </c>
      <c r="D59" s="70">
        <v>0</v>
      </c>
      <c r="E59" s="70">
        <v>0</v>
      </c>
      <c r="F59" s="70">
        <v>5.5</v>
      </c>
      <c r="G59" s="70">
        <v>4.4000000000000004</v>
      </c>
      <c r="H59" s="70">
        <v>0</v>
      </c>
      <c r="I59" s="70">
        <v>0</v>
      </c>
      <c r="J59" s="70">
        <v>0</v>
      </c>
      <c r="K59" s="70">
        <v>4.5</v>
      </c>
      <c r="L59" s="70">
        <v>3.8</v>
      </c>
      <c r="M59" s="70">
        <v>1.8</v>
      </c>
      <c r="N59" s="70">
        <v>2.2000000000000002</v>
      </c>
      <c r="O59" s="70">
        <v>3.4</v>
      </c>
      <c r="P59" s="70">
        <v>5.7</v>
      </c>
      <c r="Q59" s="70">
        <v>5.6</v>
      </c>
      <c r="R59" s="70">
        <v>5.9</v>
      </c>
      <c r="S59" s="70">
        <v>5.8</v>
      </c>
      <c r="T59" s="70">
        <v>3</v>
      </c>
      <c r="U59" s="70">
        <v>6</v>
      </c>
      <c r="V59" s="70">
        <v>5</v>
      </c>
      <c r="W59" s="70">
        <v>5</v>
      </c>
      <c r="X59" s="70">
        <v>5</v>
      </c>
      <c r="Y59" s="70">
        <v>0</v>
      </c>
      <c r="Z59" s="70">
        <v>0</v>
      </c>
      <c r="AA59" s="70">
        <v>4</v>
      </c>
      <c r="AB59" s="70">
        <v>3.9</v>
      </c>
      <c r="AC59" s="70">
        <v>4</v>
      </c>
      <c r="AD59" s="70">
        <v>4.8</v>
      </c>
      <c r="AE59" s="70">
        <v>3.7</v>
      </c>
      <c r="AF59" s="70">
        <v>4</v>
      </c>
      <c r="AG59" s="137">
        <v>14</v>
      </c>
      <c r="AH59" s="54">
        <f t="shared" si="2"/>
        <v>6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>SUM(B57:B59)</f>
        <v>50.4</v>
      </c>
      <c r="C60" s="66">
        <f t="shared" ref="C60:AG60" si="10">SUM(C57:C59)</f>
        <v>21.6</v>
      </c>
      <c r="D60" s="66">
        <f t="shared" si="10"/>
        <v>0</v>
      </c>
      <c r="E60" s="66">
        <f t="shared" si="10"/>
        <v>0</v>
      </c>
      <c r="F60" s="66">
        <f t="shared" si="10"/>
        <v>50</v>
      </c>
      <c r="G60" s="66">
        <f t="shared" si="10"/>
        <v>30.4</v>
      </c>
      <c r="H60" s="66">
        <f t="shared" si="10"/>
        <v>0</v>
      </c>
      <c r="I60" s="66">
        <f t="shared" si="10"/>
        <v>0</v>
      </c>
      <c r="J60" s="66">
        <f t="shared" si="10"/>
        <v>0</v>
      </c>
      <c r="K60" s="66">
        <f t="shared" si="10"/>
        <v>46.8</v>
      </c>
      <c r="L60" s="66">
        <f t="shared" si="10"/>
        <v>38.9</v>
      </c>
      <c r="M60" s="66">
        <f t="shared" si="10"/>
        <v>17.100000000000001</v>
      </c>
      <c r="N60" s="66">
        <f t="shared" si="10"/>
        <v>22.499999999999996</v>
      </c>
      <c r="O60" s="66">
        <f t="shared" si="10"/>
        <v>33.1</v>
      </c>
      <c r="P60" s="66">
        <f t="shared" si="10"/>
        <v>51.400000000000006</v>
      </c>
      <c r="Q60" s="66">
        <f t="shared" si="10"/>
        <v>50.7</v>
      </c>
      <c r="R60" s="66">
        <f t="shared" si="10"/>
        <v>32.800000000000004</v>
      </c>
      <c r="S60" s="66">
        <f t="shared" si="10"/>
        <v>51.5</v>
      </c>
      <c r="T60" s="66">
        <f t="shared" si="10"/>
        <v>20</v>
      </c>
      <c r="U60" s="66">
        <f t="shared" si="10"/>
        <v>58</v>
      </c>
      <c r="V60" s="66">
        <f t="shared" si="10"/>
        <v>43</v>
      </c>
      <c r="W60" s="66">
        <f t="shared" si="10"/>
        <v>45</v>
      </c>
      <c r="X60" s="66">
        <f t="shared" si="10"/>
        <v>29</v>
      </c>
      <c r="Y60" s="66">
        <f t="shared" si="10"/>
        <v>0</v>
      </c>
      <c r="Z60" s="66">
        <f t="shared" si="10"/>
        <v>0</v>
      </c>
      <c r="AA60" s="66">
        <f t="shared" si="10"/>
        <v>46</v>
      </c>
      <c r="AB60" s="66">
        <f t="shared" si="10"/>
        <v>34.199999999999996</v>
      </c>
      <c r="AC60" s="66">
        <f t="shared" si="10"/>
        <v>35</v>
      </c>
      <c r="AD60" s="66">
        <f t="shared" si="10"/>
        <v>47.9</v>
      </c>
      <c r="AE60" s="66">
        <f t="shared" si="10"/>
        <v>33.9</v>
      </c>
      <c r="AF60" s="66">
        <f t="shared" si="10"/>
        <v>39</v>
      </c>
      <c r="AG60" s="143">
        <f t="shared" si="10"/>
        <v>106</v>
      </c>
      <c r="AH60" s="54">
        <f t="shared" si="2"/>
        <v>58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17</v>
      </c>
      <c r="C61" s="50">
        <v>30</v>
      </c>
      <c r="D61" s="50">
        <v>27.7</v>
      </c>
      <c r="E61" s="50">
        <v>27.7</v>
      </c>
      <c r="F61" s="50">
        <v>28.6</v>
      </c>
      <c r="G61" s="50">
        <v>25.2</v>
      </c>
      <c r="H61" s="50">
        <v>25.2</v>
      </c>
      <c r="I61" s="50">
        <v>25.2</v>
      </c>
      <c r="J61" s="50">
        <v>25.2</v>
      </c>
      <c r="K61" s="50">
        <v>48</v>
      </c>
      <c r="L61" s="50">
        <v>51.9</v>
      </c>
      <c r="M61" s="50">
        <v>44.3</v>
      </c>
      <c r="N61" s="50">
        <v>32.4</v>
      </c>
      <c r="O61" s="50">
        <v>69.7</v>
      </c>
      <c r="P61" s="50">
        <v>65.099999999999994</v>
      </c>
      <c r="Q61" s="50">
        <v>65.599999999999994</v>
      </c>
      <c r="R61" s="50">
        <v>67</v>
      </c>
      <c r="S61" s="50">
        <v>65</v>
      </c>
      <c r="T61" s="50">
        <v>59</v>
      </c>
      <c r="U61" s="50">
        <v>0</v>
      </c>
      <c r="V61" s="50">
        <v>66</v>
      </c>
      <c r="W61" s="50">
        <v>64</v>
      </c>
      <c r="X61" s="50">
        <v>58.4</v>
      </c>
      <c r="Y61" s="50">
        <v>38</v>
      </c>
      <c r="Z61" s="50">
        <v>39</v>
      </c>
      <c r="AA61" s="50">
        <v>41</v>
      </c>
      <c r="AB61" s="50">
        <v>49.8</v>
      </c>
      <c r="AC61" s="50">
        <v>53.3</v>
      </c>
      <c r="AD61" s="50">
        <v>53.2</v>
      </c>
      <c r="AE61" s="50">
        <v>49</v>
      </c>
      <c r="AF61" s="50">
        <v>60</v>
      </c>
      <c r="AG61" s="135"/>
      <c r="AH61" s="54">
        <f t="shared" si="2"/>
        <v>69.7</v>
      </c>
      <c r="AI61" s="55">
        <f t="shared" si="3"/>
        <v>0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-330</v>
      </c>
      <c r="C63" s="48">
        <v>-324</v>
      </c>
      <c r="D63" s="48">
        <v>-365</v>
      </c>
      <c r="E63" s="48">
        <v>-360</v>
      </c>
      <c r="F63" s="48">
        <v>-359</v>
      </c>
      <c r="G63" s="48">
        <v>-365</v>
      </c>
      <c r="H63" s="48">
        <v>-365</v>
      </c>
      <c r="I63" s="48">
        <v>-365</v>
      </c>
      <c r="J63" s="48">
        <v>-314.89999999999998</v>
      </c>
      <c r="K63" s="48">
        <v>-280</v>
      </c>
      <c r="L63" s="48">
        <v>-300</v>
      </c>
      <c r="M63" s="48">
        <v>-296</v>
      </c>
      <c r="N63" s="48">
        <v>-232.1</v>
      </c>
      <c r="O63" s="48">
        <v>-179</v>
      </c>
      <c r="P63" s="48">
        <v>-232.4</v>
      </c>
      <c r="Q63" s="48">
        <v>-215.3</v>
      </c>
      <c r="R63" s="48">
        <v>-216</v>
      </c>
      <c r="S63" s="48">
        <v>-238</v>
      </c>
      <c r="T63" s="48">
        <v>-230</v>
      </c>
      <c r="U63" s="48">
        <v>-253</v>
      </c>
      <c r="V63" s="48">
        <v>-280</v>
      </c>
      <c r="W63" s="48">
        <v>-304</v>
      </c>
      <c r="X63" s="48">
        <v>-350</v>
      </c>
      <c r="Y63" s="48">
        <v>-306</v>
      </c>
      <c r="Z63" s="48">
        <v>-305</v>
      </c>
      <c r="AA63" s="48">
        <v>-219</v>
      </c>
      <c r="AB63" s="48">
        <v>-213.1</v>
      </c>
      <c r="AC63" s="48">
        <v>-240</v>
      </c>
      <c r="AD63" s="48">
        <v>-257</v>
      </c>
      <c r="AE63" s="48">
        <v>-310.2</v>
      </c>
      <c r="AF63" s="48">
        <v>-348.5</v>
      </c>
      <c r="AG63" s="140"/>
      <c r="AH63" s="54">
        <f t="shared" si="2"/>
        <v>-179</v>
      </c>
      <c r="AI63" s="55">
        <f t="shared" si="3"/>
        <v>-365</v>
      </c>
      <c r="AK63" s="56"/>
    </row>
    <row r="64" spans="1:41" x14ac:dyDescent="0.25">
      <c r="A64" s="60" t="s">
        <v>44</v>
      </c>
      <c r="B64" s="71">
        <v>0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17.100000000000001</v>
      </c>
      <c r="AC64" s="71">
        <v>17.100000000000001</v>
      </c>
      <c r="AD64" s="71">
        <v>10</v>
      </c>
      <c r="AE64" s="71">
        <v>10</v>
      </c>
      <c r="AF64" s="71">
        <v>0</v>
      </c>
      <c r="AG64" s="140"/>
      <c r="AH64" s="54">
        <f t="shared" si="2"/>
        <v>17.100000000000001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5</v>
      </c>
      <c r="C66" s="72">
        <v>5</v>
      </c>
      <c r="D66" s="72">
        <v>5</v>
      </c>
      <c r="E66" s="72">
        <v>5</v>
      </c>
      <c r="F66" s="72">
        <v>5</v>
      </c>
      <c r="G66" s="72">
        <v>5</v>
      </c>
      <c r="H66" s="72">
        <v>5</v>
      </c>
      <c r="I66" s="72">
        <v>5</v>
      </c>
      <c r="J66" s="72">
        <v>5</v>
      </c>
      <c r="K66" s="72">
        <v>5</v>
      </c>
      <c r="L66" s="72">
        <v>5</v>
      </c>
      <c r="M66" s="72">
        <v>5</v>
      </c>
      <c r="N66" s="72">
        <v>5</v>
      </c>
      <c r="O66" s="72">
        <v>5</v>
      </c>
      <c r="P66" s="72">
        <v>5</v>
      </c>
      <c r="Q66" s="72">
        <v>5</v>
      </c>
      <c r="R66" s="72">
        <v>5</v>
      </c>
      <c r="S66" s="72">
        <v>5</v>
      </c>
      <c r="T66" s="72">
        <v>5</v>
      </c>
      <c r="U66" s="72">
        <v>5</v>
      </c>
      <c r="V66" s="72">
        <v>5</v>
      </c>
      <c r="W66" s="72">
        <v>5</v>
      </c>
      <c r="X66" s="72">
        <v>5</v>
      </c>
      <c r="Y66" s="72">
        <v>5</v>
      </c>
      <c r="Z66" s="72">
        <v>5</v>
      </c>
      <c r="AA66" s="72">
        <v>5</v>
      </c>
      <c r="AB66" s="72">
        <v>5</v>
      </c>
      <c r="AC66" s="72">
        <v>5</v>
      </c>
      <c r="AD66" s="72">
        <v>5</v>
      </c>
      <c r="AE66" s="72">
        <v>5</v>
      </c>
      <c r="AF66" s="72">
        <v>5</v>
      </c>
      <c r="AG66" s="140"/>
      <c r="AH66" s="54">
        <f t="shared" si="2"/>
        <v>5</v>
      </c>
      <c r="AI66" s="55">
        <f t="shared" si="3"/>
        <v>5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1">
        <v>0</v>
      </c>
      <c r="D68" s="71">
        <v>0</v>
      </c>
      <c r="E68" s="71">
        <v>0</v>
      </c>
      <c r="F68" s="71">
        <v>0</v>
      </c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1">
        <v>0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4">
        <v>0</v>
      </c>
      <c r="C70" s="74">
        <v>0</v>
      </c>
      <c r="D70" s="74">
        <v>0</v>
      </c>
      <c r="E70" s="74">
        <v>0</v>
      </c>
      <c r="F70" s="74">
        <v>0</v>
      </c>
      <c r="G70" s="74">
        <v>0</v>
      </c>
      <c r="H70" s="74">
        <v>0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4">
        <v>0</v>
      </c>
      <c r="C71" s="74">
        <v>0</v>
      </c>
      <c r="D71" s="74">
        <v>0</v>
      </c>
      <c r="E71" s="74">
        <v>0</v>
      </c>
      <c r="F71" s="74">
        <v>0</v>
      </c>
      <c r="G71" s="74">
        <v>0</v>
      </c>
      <c r="H71" s="74">
        <v>0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>SUMIF(B61:B71,"&gt;0")</f>
        <v>22</v>
      </c>
      <c r="C72" s="66">
        <f t="shared" ref="C72:L72" si="11">SUMIF(C61:C71,"&gt;0")</f>
        <v>35</v>
      </c>
      <c r="D72" s="66">
        <f t="shared" si="11"/>
        <v>32.700000000000003</v>
      </c>
      <c r="E72" s="66">
        <f t="shared" si="11"/>
        <v>32.700000000000003</v>
      </c>
      <c r="F72" s="66">
        <f t="shared" si="11"/>
        <v>33.6</v>
      </c>
      <c r="G72" s="66">
        <f t="shared" si="11"/>
        <v>30.2</v>
      </c>
      <c r="H72" s="66">
        <f t="shared" si="11"/>
        <v>30.2</v>
      </c>
      <c r="I72" s="66">
        <f t="shared" si="11"/>
        <v>30.2</v>
      </c>
      <c r="J72" s="66">
        <f t="shared" si="11"/>
        <v>30.2</v>
      </c>
      <c r="K72" s="66">
        <f t="shared" si="11"/>
        <v>53</v>
      </c>
      <c r="L72" s="66">
        <f t="shared" si="11"/>
        <v>56.9</v>
      </c>
      <c r="M72" s="66">
        <f>SUMIF(M61:M71,"&gt;0")</f>
        <v>49.3</v>
      </c>
      <c r="N72" s="66">
        <f t="shared" ref="N72:AF72" si="12">SUMIF(N61:N71,"&gt;0")</f>
        <v>37.4</v>
      </c>
      <c r="O72" s="66">
        <f t="shared" si="12"/>
        <v>74.7</v>
      </c>
      <c r="P72" s="66">
        <f t="shared" si="12"/>
        <v>70.099999999999994</v>
      </c>
      <c r="Q72" s="66">
        <f t="shared" si="12"/>
        <v>70.599999999999994</v>
      </c>
      <c r="R72" s="66">
        <f t="shared" si="12"/>
        <v>72</v>
      </c>
      <c r="S72" s="66">
        <f t="shared" si="12"/>
        <v>70</v>
      </c>
      <c r="T72" s="66">
        <f t="shared" si="12"/>
        <v>64</v>
      </c>
      <c r="U72" s="66">
        <f t="shared" si="12"/>
        <v>5</v>
      </c>
      <c r="V72" s="66">
        <f t="shared" si="12"/>
        <v>71</v>
      </c>
      <c r="W72" s="66">
        <f t="shared" si="12"/>
        <v>69</v>
      </c>
      <c r="X72" s="66">
        <f t="shared" si="12"/>
        <v>63.4</v>
      </c>
      <c r="Y72" s="66">
        <f t="shared" si="12"/>
        <v>43</v>
      </c>
      <c r="Z72" s="66">
        <f t="shared" si="12"/>
        <v>44</v>
      </c>
      <c r="AA72" s="66">
        <f t="shared" si="12"/>
        <v>46</v>
      </c>
      <c r="AB72" s="66">
        <f t="shared" si="12"/>
        <v>71.900000000000006</v>
      </c>
      <c r="AC72" s="66">
        <f t="shared" si="12"/>
        <v>75.400000000000006</v>
      </c>
      <c r="AD72" s="66">
        <f t="shared" si="12"/>
        <v>68.2</v>
      </c>
      <c r="AE72" s="66">
        <f t="shared" si="12"/>
        <v>64</v>
      </c>
      <c r="AF72" s="66">
        <f t="shared" si="12"/>
        <v>65</v>
      </c>
      <c r="AG72" s="138">
        <f>SUM(AG61:AG71)</f>
        <v>0</v>
      </c>
      <c r="AH72" s="54">
        <f t="shared" si="2"/>
        <v>75.400000000000006</v>
      </c>
      <c r="AI72" s="55">
        <f t="shared" si="3"/>
        <v>5</v>
      </c>
      <c r="AK72" s="56"/>
    </row>
    <row r="73" spans="1:88" x14ac:dyDescent="0.25">
      <c r="A73" s="57" t="s">
        <v>53</v>
      </c>
      <c r="B73" s="71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>
        <v>0</v>
      </c>
      <c r="C75" s="74">
        <v>0</v>
      </c>
      <c r="D75" s="74">
        <v>0</v>
      </c>
      <c r="E75" s="74">
        <v>0</v>
      </c>
      <c r="F75" s="74">
        <v>0</v>
      </c>
      <c r="G75" s="74">
        <v>0</v>
      </c>
      <c r="H75" s="74">
        <v>0</v>
      </c>
      <c r="I75" s="74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>B38+B42+B60+B56+B72+B76</f>
        <v>1853.44</v>
      </c>
      <c r="C77" s="75">
        <f t="shared" ref="C77:AF77" si="13">C38+C42+C60+C56+C72+C76</f>
        <v>1827.6399999999999</v>
      </c>
      <c r="D77" s="75">
        <f t="shared" si="13"/>
        <v>1796.74</v>
      </c>
      <c r="E77" s="75">
        <f t="shared" si="13"/>
        <v>1768.74</v>
      </c>
      <c r="F77" s="75">
        <f t="shared" si="13"/>
        <v>1755.9399999999998</v>
      </c>
      <c r="G77" s="75">
        <f t="shared" si="13"/>
        <v>1732.94</v>
      </c>
      <c r="H77" s="75">
        <f t="shared" si="13"/>
        <v>1702.54</v>
      </c>
      <c r="I77" s="75">
        <f t="shared" si="13"/>
        <v>1732.54</v>
      </c>
      <c r="J77" s="75">
        <f t="shared" si="13"/>
        <v>1718.54</v>
      </c>
      <c r="K77" s="75">
        <f t="shared" si="13"/>
        <v>1788.1399999999999</v>
      </c>
      <c r="L77" s="75">
        <f t="shared" si="13"/>
        <v>1783.2400000000002</v>
      </c>
      <c r="M77" s="75">
        <f t="shared" si="13"/>
        <v>1850.34</v>
      </c>
      <c r="N77" s="75">
        <f t="shared" si="13"/>
        <v>1836.94</v>
      </c>
      <c r="O77" s="75">
        <f t="shared" si="13"/>
        <v>1884.84</v>
      </c>
      <c r="P77" s="75">
        <f t="shared" si="13"/>
        <v>1897.64</v>
      </c>
      <c r="Q77" s="75">
        <f t="shared" si="13"/>
        <v>1920.94</v>
      </c>
      <c r="R77" s="75">
        <f t="shared" si="13"/>
        <v>1899.1399999999999</v>
      </c>
      <c r="S77" s="75">
        <f t="shared" si="13"/>
        <v>1915.64</v>
      </c>
      <c r="T77" s="75">
        <f t="shared" si="13"/>
        <v>1878.14</v>
      </c>
      <c r="U77" s="75">
        <f t="shared" si="13"/>
        <v>1857.14</v>
      </c>
      <c r="V77" s="75">
        <f t="shared" si="13"/>
        <v>1846.1399999999999</v>
      </c>
      <c r="W77" s="75">
        <f t="shared" si="13"/>
        <v>1836.1399999999999</v>
      </c>
      <c r="X77" s="75">
        <f t="shared" si="13"/>
        <v>1853.1399999999999</v>
      </c>
      <c r="Y77" s="75">
        <f t="shared" si="13"/>
        <v>1827.54</v>
      </c>
      <c r="Z77" s="75">
        <f t="shared" si="13"/>
        <v>1820.54</v>
      </c>
      <c r="AA77" s="75">
        <f t="shared" si="13"/>
        <v>1872.3400000000001</v>
      </c>
      <c r="AB77" s="75">
        <f t="shared" si="13"/>
        <v>1885.5400000000002</v>
      </c>
      <c r="AC77" s="75">
        <f t="shared" si="13"/>
        <v>1889.14</v>
      </c>
      <c r="AD77" s="75">
        <f t="shared" si="13"/>
        <v>1894.14</v>
      </c>
      <c r="AE77" s="75">
        <f t="shared" si="13"/>
        <v>1876.3400000000001</v>
      </c>
      <c r="AF77" s="75">
        <f t="shared" si="13"/>
        <v>1882.04</v>
      </c>
      <c r="AG77" s="143">
        <f>AG38+AG42+AG60+AG56+AG72+AG76</f>
        <v>1855.1900000000003</v>
      </c>
      <c r="AH77" s="54">
        <f t="shared" si="2"/>
        <v>1920.94</v>
      </c>
      <c r="AI77" s="55">
        <f t="shared" si="3"/>
        <v>1702.54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0</v>
      </c>
      <c r="AI78" s="55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>B77+B78</f>
        <v>1853.44</v>
      </c>
      <c r="C79" s="75">
        <f t="shared" ref="C79:AF79" si="14">C77+C78</f>
        <v>1827.6399999999999</v>
      </c>
      <c r="D79" s="75">
        <f t="shared" si="14"/>
        <v>1796.74</v>
      </c>
      <c r="E79" s="75">
        <f t="shared" si="14"/>
        <v>1768.74</v>
      </c>
      <c r="F79" s="75">
        <f t="shared" si="14"/>
        <v>1755.9399999999998</v>
      </c>
      <c r="G79" s="75">
        <f t="shared" si="14"/>
        <v>1732.94</v>
      </c>
      <c r="H79" s="75">
        <f t="shared" si="14"/>
        <v>1702.54</v>
      </c>
      <c r="I79" s="75">
        <f t="shared" si="14"/>
        <v>1732.54</v>
      </c>
      <c r="J79" s="75">
        <f t="shared" si="14"/>
        <v>1718.54</v>
      </c>
      <c r="K79" s="75">
        <f t="shared" si="14"/>
        <v>1788.1399999999999</v>
      </c>
      <c r="L79" s="75">
        <f t="shared" si="14"/>
        <v>1783.2400000000002</v>
      </c>
      <c r="M79" s="75">
        <f t="shared" si="14"/>
        <v>1850.34</v>
      </c>
      <c r="N79" s="75">
        <f t="shared" si="14"/>
        <v>1836.94</v>
      </c>
      <c r="O79" s="75">
        <f t="shared" si="14"/>
        <v>1884.84</v>
      </c>
      <c r="P79" s="75">
        <f t="shared" si="14"/>
        <v>1897.64</v>
      </c>
      <c r="Q79" s="75">
        <f t="shared" si="14"/>
        <v>1920.94</v>
      </c>
      <c r="R79" s="75">
        <f t="shared" si="14"/>
        <v>1899.1399999999999</v>
      </c>
      <c r="S79" s="75">
        <f t="shared" si="14"/>
        <v>1915.64</v>
      </c>
      <c r="T79" s="75">
        <f t="shared" si="14"/>
        <v>1878.14</v>
      </c>
      <c r="U79" s="75">
        <f t="shared" si="14"/>
        <v>1857.14</v>
      </c>
      <c r="V79" s="75">
        <f t="shared" si="14"/>
        <v>1846.1399999999999</v>
      </c>
      <c r="W79" s="75">
        <f t="shared" si="14"/>
        <v>1836.1399999999999</v>
      </c>
      <c r="X79" s="75">
        <f t="shared" si="14"/>
        <v>1853.1399999999999</v>
      </c>
      <c r="Y79" s="75">
        <f t="shared" si="14"/>
        <v>1827.54</v>
      </c>
      <c r="Z79" s="75">
        <f t="shared" si="14"/>
        <v>1820.54</v>
      </c>
      <c r="AA79" s="75">
        <f t="shared" si="14"/>
        <v>1872.3400000000001</v>
      </c>
      <c r="AB79" s="75">
        <f t="shared" si="14"/>
        <v>1885.5400000000002</v>
      </c>
      <c r="AC79" s="75">
        <f t="shared" si="14"/>
        <v>1889.14</v>
      </c>
      <c r="AD79" s="75">
        <f t="shared" si="14"/>
        <v>1894.14</v>
      </c>
      <c r="AE79" s="75">
        <f t="shared" si="14"/>
        <v>1876.3400000000001</v>
      </c>
      <c r="AF79" s="75">
        <f t="shared" si="14"/>
        <v>1882.04</v>
      </c>
      <c r="AG79" s="138"/>
      <c r="AH79" s="54">
        <f t="shared" si="2"/>
        <v>1920.94</v>
      </c>
      <c r="AI79" s="55">
        <f t="shared" si="3"/>
        <v>1702.54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>B79-B87</f>
        <v>1523.44</v>
      </c>
      <c r="C80" s="75">
        <f t="shared" ref="C80:AF80" si="15">C79-C87</f>
        <v>1503.6399999999999</v>
      </c>
      <c r="D80" s="75">
        <f t="shared" si="15"/>
        <v>1431.74</v>
      </c>
      <c r="E80" s="75">
        <f t="shared" si="15"/>
        <v>1408.74</v>
      </c>
      <c r="F80" s="75">
        <f t="shared" si="15"/>
        <v>1396.9399999999998</v>
      </c>
      <c r="G80" s="75">
        <f t="shared" si="15"/>
        <v>1367.94</v>
      </c>
      <c r="H80" s="75">
        <f t="shared" si="15"/>
        <v>1337.54</v>
      </c>
      <c r="I80" s="75">
        <f t="shared" si="15"/>
        <v>1367.54</v>
      </c>
      <c r="J80" s="75">
        <f t="shared" si="15"/>
        <v>1403.6399999999999</v>
      </c>
      <c r="K80" s="75">
        <f t="shared" si="15"/>
        <v>1508.1399999999999</v>
      </c>
      <c r="L80" s="75">
        <f t="shared" si="15"/>
        <v>1483.2400000000002</v>
      </c>
      <c r="M80" s="75">
        <f t="shared" si="15"/>
        <v>1554.34</v>
      </c>
      <c r="N80" s="75">
        <f t="shared" si="15"/>
        <v>1604.8400000000001</v>
      </c>
      <c r="O80" s="75">
        <f t="shared" si="15"/>
        <v>1705.84</v>
      </c>
      <c r="P80" s="75">
        <f t="shared" si="15"/>
        <v>1665.24</v>
      </c>
      <c r="Q80" s="75">
        <f t="shared" si="15"/>
        <v>1705.64</v>
      </c>
      <c r="R80" s="75">
        <f t="shared" si="15"/>
        <v>1683.1399999999999</v>
      </c>
      <c r="S80" s="75">
        <f t="shared" si="15"/>
        <v>1677.64</v>
      </c>
      <c r="T80" s="75">
        <f t="shared" si="15"/>
        <v>1648.14</v>
      </c>
      <c r="U80" s="75">
        <f t="shared" si="15"/>
        <v>1604.14</v>
      </c>
      <c r="V80" s="75">
        <f t="shared" si="15"/>
        <v>1566.1399999999999</v>
      </c>
      <c r="W80" s="75">
        <f t="shared" si="15"/>
        <v>1532.1399999999999</v>
      </c>
      <c r="X80" s="75">
        <f t="shared" si="15"/>
        <v>1503.1399999999999</v>
      </c>
      <c r="Y80" s="75">
        <f t="shared" si="15"/>
        <v>1521.54</v>
      </c>
      <c r="Z80" s="75">
        <f t="shared" si="15"/>
        <v>1515.54</v>
      </c>
      <c r="AA80" s="75">
        <f t="shared" si="15"/>
        <v>1653.3400000000001</v>
      </c>
      <c r="AB80" s="75">
        <f t="shared" si="15"/>
        <v>1672.4400000000003</v>
      </c>
      <c r="AC80" s="75">
        <f t="shared" si="15"/>
        <v>1649.14</v>
      </c>
      <c r="AD80" s="75">
        <f t="shared" si="15"/>
        <v>1637.14</v>
      </c>
      <c r="AE80" s="75">
        <f t="shared" si="15"/>
        <v>1566.14</v>
      </c>
      <c r="AF80" s="75">
        <f t="shared" si="15"/>
        <v>1533.54</v>
      </c>
      <c r="AG80" s="138"/>
      <c r="AH80" s="54">
        <f t="shared" ref="AH80" si="16">MAX(B80:AF80)</f>
        <v>1705.84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>IF(B64&lt;0,B64*-1,0)</f>
        <v>0</v>
      </c>
      <c r="C81" s="71">
        <f t="shared" ref="C81:AF81" si="17">IF(C64&lt;0,C64*-1,0)</f>
        <v>0</v>
      </c>
      <c r="D81" s="71">
        <f t="shared" si="17"/>
        <v>0</v>
      </c>
      <c r="E81" s="71">
        <f t="shared" si="17"/>
        <v>0</v>
      </c>
      <c r="F81" s="71">
        <f t="shared" si="17"/>
        <v>0</v>
      </c>
      <c r="G81" s="71">
        <f t="shared" si="17"/>
        <v>0</v>
      </c>
      <c r="H81" s="71">
        <f t="shared" si="17"/>
        <v>0</v>
      </c>
      <c r="I81" s="71">
        <f t="shared" si="17"/>
        <v>0</v>
      </c>
      <c r="J81" s="71">
        <f t="shared" si="17"/>
        <v>0</v>
      </c>
      <c r="K81" s="71">
        <f t="shared" si="17"/>
        <v>0</v>
      </c>
      <c r="L81" s="71">
        <f t="shared" si="17"/>
        <v>0</v>
      </c>
      <c r="M81" s="71">
        <f t="shared" si="17"/>
        <v>0</v>
      </c>
      <c r="N81" s="71">
        <f t="shared" si="17"/>
        <v>0</v>
      </c>
      <c r="O81" s="71">
        <f t="shared" si="17"/>
        <v>0</v>
      </c>
      <c r="P81" s="71">
        <f t="shared" si="17"/>
        <v>0</v>
      </c>
      <c r="Q81" s="71">
        <f t="shared" si="17"/>
        <v>0</v>
      </c>
      <c r="R81" s="71">
        <f t="shared" si="17"/>
        <v>0</v>
      </c>
      <c r="S81" s="71">
        <f t="shared" si="17"/>
        <v>0</v>
      </c>
      <c r="T81" s="71">
        <f t="shared" si="17"/>
        <v>0</v>
      </c>
      <c r="U81" s="71">
        <f t="shared" si="17"/>
        <v>0</v>
      </c>
      <c r="V81" s="71">
        <f t="shared" si="17"/>
        <v>0</v>
      </c>
      <c r="W81" s="71">
        <f t="shared" si="17"/>
        <v>0</v>
      </c>
      <c r="X81" s="71">
        <f t="shared" si="17"/>
        <v>0</v>
      </c>
      <c r="Y81" s="71">
        <f t="shared" si="17"/>
        <v>0</v>
      </c>
      <c r="Z81" s="71">
        <f t="shared" si="17"/>
        <v>0</v>
      </c>
      <c r="AA81" s="71">
        <f t="shared" si="17"/>
        <v>0</v>
      </c>
      <c r="AB81" s="71">
        <f t="shared" si="17"/>
        <v>0</v>
      </c>
      <c r="AC81" s="71">
        <f t="shared" si="17"/>
        <v>0</v>
      </c>
      <c r="AD81" s="71">
        <f t="shared" si="17"/>
        <v>0</v>
      </c>
      <c r="AE81" s="71">
        <f t="shared" si="17"/>
        <v>0</v>
      </c>
      <c r="AF81" s="71">
        <f t="shared" si="17"/>
        <v>0</v>
      </c>
      <c r="AG81" s="135"/>
      <c r="AH81" s="54">
        <f t="shared" ref="AH81:AH97" si="18">MAX(B81:AF81)</f>
        <v>0</v>
      </c>
      <c r="AI81" s="55">
        <f t="shared" ref="AI81:AI97" si="19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>IF(B62&lt;0,B62*-1,0)</f>
        <v>0</v>
      </c>
      <c r="C82" s="71">
        <f t="shared" ref="C82:AF82" si="20">IF(C62&lt;0,C62*-1,0)</f>
        <v>0</v>
      </c>
      <c r="D82" s="71">
        <f t="shared" si="20"/>
        <v>0</v>
      </c>
      <c r="E82" s="71">
        <f t="shared" si="20"/>
        <v>0</v>
      </c>
      <c r="F82" s="71">
        <f t="shared" si="20"/>
        <v>0</v>
      </c>
      <c r="G82" s="71">
        <f t="shared" si="20"/>
        <v>0</v>
      </c>
      <c r="H82" s="71">
        <f t="shared" si="20"/>
        <v>0</v>
      </c>
      <c r="I82" s="71">
        <f t="shared" si="20"/>
        <v>0</v>
      </c>
      <c r="J82" s="71">
        <f t="shared" si="20"/>
        <v>0</v>
      </c>
      <c r="K82" s="71">
        <f t="shared" si="20"/>
        <v>0</v>
      </c>
      <c r="L82" s="71">
        <f t="shared" si="20"/>
        <v>0</v>
      </c>
      <c r="M82" s="71">
        <f t="shared" si="20"/>
        <v>0</v>
      </c>
      <c r="N82" s="71">
        <f t="shared" si="20"/>
        <v>0</v>
      </c>
      <c r="O82" s="71">
        <f t="shared" si="20"/>
        <v>0</v>
      </c>
      <c r="P82" s="71">
        <f t="shared" si="20"/>
        <v>0</v>
      </c>
      <c r="Q82" s="71">
        <f t="shared" si="20"/>
        <v>0</v>
      </c>
      <c r="R82" s="71">
        <f t="shared" si="20"/>
        <v>0</v>
      </c>
      <c r="S82" s="71">
        <f t="shared" si="20"/>
        <v>0</v>
      </c>
      <c r="T82" s="71">
        <f t="shared" si="20"/>
        <v>0</v>
      </c>
      <c r="U82" s="71">
        <f t="shared" si="20"/>
        <v>0</v>
      </c>
      <c r="V82" s="71">
        <f t="shared" si="20"/>
        <v>0</v>
      </c>
      <c r="W82" s="71">
        <f t="shared" si="20"/>
        <v>0</v>
      </c>
      <c r="X82" s="71">
        <f t="shared" si="20"/>
        <v>0</v>
      </c>
      <c r="Y82" s="71">
        <f t="shared" si="20"/>
        <v>0</v>
      </c>
      <c r="Z82" s="71">
        <f t="shared" si="20"/>
        <v>0</v>
      </c>
      <c r="AA82" s="71">
        <f t="shared" si="20"/>
        <v>0</v>
      </c>
      <c r="AB82" s="71">
        <f t="shared" si="20"/>
        <v>0</v>
      </c>
      <c r="AC82" s="71">
        <f t="shared" si="20"/>
        <v>0</v>
      </c>
      <c r="AD82" s="71">
        <f t="shared" si="20"/>
        <v>0</v>
      </c>
      <c r="AE82" s="71">
        <f t="shared" si="20"/>
        <v>0</v>
      </c>
      <c r="AF82" s="71">
        <f t="shared" si="20"/>
        <v>0</v>
      </c>
      <c r="AG82" s="136"/>
      <c r="AH82" s="54">
        <f t="shared" si="18"/>
        <v>0</v>
      </c>
      <c r="AI82" s="55">
        <f t="shared" si="19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>IF(B65&lt;0,B65*-1,0)</f>
        <v>0</v>
      </c>
      <c r="C83" s="71">
        <f t="shared" ref="C83:AF83" si="21">IF(C65&lt;0,C65*-1,0)</f>
        <v>0</v>
      </c>
      <c r="D83" s="71">
        <f t="shared" si="21"/>
        <v>0</v>
      </c>
      <c r="E83" s="71">
        <f t="shared" si="21"/>
        <v>0</v>
      </c>
      <c r="F83" s="71">
        <f t="shared" si="21"/>
        <v>0</v>
      </c>
      <c r="G83" s="71">
        <f t="shared" si="21"/>
        <v>0</v>
      </c>
      <c r="H83" s="71">
        <f t="shared" si="21"/>
        <v>0</v>
      </c>
      <c r="I83" s="71">
        <f t="shared" si="21"/>
        <v>0</v>
      </c>
      <c r="J83" s="71">
        <f t="shared" si="21"/>
        <v>0</v>
      </c>
      <c r="K83" s="71">
        <f t="shared" si="21"/>
        <v>0</v>
      </c>
      <c r="L83" s="71">
        <f t="shared" si="21"/>
        <v>0</v>
      </c>
      <c r="M83" s="71">
        <f t="shared" si="21"/>
        <v>0</v>
      </c>
      <c r="N83" s="71">
        <f t="shared" si="21"/>
        <v>0</v>
      </c>
      <c r="O83" s="71">
        <f t="shared" si="21"/>
        <v>0</v>
      </c>
      <c r="P83" s="71">
        <f t="shared" si="21"/>
        <v>0</v>
      </c>
      <c r="Q83" s="71">
        <f t="shared" si="21"/>
        <v>0</v>
      </c>
      <c r="R83" s="71">
        <f t="shared" si="21"/>
        <v>0</v>
      </c>
      <c r="S83" s="71">
        <f t="shared" si="21"/>
        <v>0</v>
      </c>
      <c r="T83" s="71">
        <f t="shared" si="21"/>
        <v>0</v>
      </c>
      <c r="U83" s="71">
        <f t="shared" si="21"/>
        <v>0</v>
      </c>
      <c r="V83" s="71">
        <f t="shared" si="21"/>
        <v>0</v>
      </c>
      <c r="W83" s="71">
        <f t="shared" si="21"/>
        <v>0</v>
      </c>
      <c r="X83" s="71">
        <f t="shared" si="21"/>
        <v>0</v>
      </c>
      <c r="Y83" s="71">
        <f t="shared" si="21"/>
        <v>0</v>
      </c>
      <c r="Z83" s="71">
        <f t="shared" si="21"/>
        <v>0</v>
      </c>
      <c r="AA83" s="71">
        <f t="shared" si="21"/>
        <v>0</v>
      </c>
      <c r="AB83" s="71">
        <f t="shared" si="21"/>
        <v>0</v>
      </c>
      <c r="AC83" s="71">
        <f t="shared" si="21"/>
        <v>0</v>
      </c>
      <c r="AD83" s="71">
        <f t="shared" si="21"/>
        <v>0</v>
      </c>
      <c r="AE83" s="71">
        <f t="shared" si="21"/>
        <v>0</v>
      </c>
      <c r="AF83" s="71">
        <f t="shared" si="21"/>
        <v>0</v>
      </c>
      <c r="AG83" s="144"/>
      <c r="AH83" s="54">
        <f t="shared" si="18"/>
        <v>0</v>
      </c>
      <c r="AI83" s="55">
        <f t="shared" si="19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>IF(B63&lt;0,B63*-1,0)</f>
        <v>330</v>
      </c>
      <c r="C84" s="71">
        <f t="shared" ref="C84:AF84" si="22">IF(C63&lt;0,C63*-1,0)</f>
        <v>324</v>
      </c>
      <c r="D84" s="71">
        <f t="shared" si="22"/>
        <v>365</v>
      </c>
      <c r="E84" s="71">
        <f t="shared" si="22"/>
        <v>360</v>
      </c>
      <c r="F84" s="71">
        <f t="shared" si="22"/>
        <v>359</v>
      </c>
      <c r="G84" s="71">
        <f t="shared" si="22"/>
        <v>365</v>
      </c>
      <c r="H84" s="71">
        <f t="shared" si="22"/>
        <v>365</v>
      </c>
      <c r="I84" s="71">
        <f t="shared" si="22"/>
        <v>365</v>
      </c>
      <c r="J84" s="71">
        <f t="shared" si="22"/>
        <v>314.89999999999998</v>
      </c>
      <c r="K84" s="71">
        <f t="shared" si="22"/>
        <v>280</v>
      </c>
      <c r="L84" s="71">
        <f t="shared" si="22"/>
        <v>300</v>
      </c>
      <c r="M84" s="71">
        <f t="shared" si="22"/>
        <v>296</v>
      </c>
      <c r="N84" s="71">
        <f t="shared" si="22"/>
        <v>232.1</v>
      </c>
      <c r="O84" s="71">
        <f t="shared" si="22"/>
        <v>179</v>
      </c>
      <c r="P84" s="71">
        <f t="shared" si="22"/>
        <v>232.4</v>
      </c>
      <c r="Q84" s="71">
        <f t="shared" si="22"/>
        <v>215.3</v>
      </c>
      <c r="R84" s="71">
        <f t="shared" si="22"/>
        <v>216</v>
      </c>
      <c r="S84" s="71">
        <f t="shared" si="22"/>
        <v>238</v>
      </c>
      <c r="T84" s="71">
        <f t="shared" si="22"/>
        <v>230</v>
      </c>
      <c r="U84" s="71">
        <f t="shared" si="22"/>
        <v>253</v>
      </c>
      <c r="V84" s="71">
        <f t="shared" si="22"/>
        <v>280</v>
      </c>
      <c r="W84" s="71">
        <f t="shared" si="22"/>
        <v>304</v>
      </c>
      <c r="X84" s="71">
        <f t="shared" si="22"/>
        <v>350</v>
      </c>
      <c r="Y84" s="71">
        <f t="shared" si="22"/>
        <v>306</v>
      </c>
      <c r="Z84" s="71">
        <f t="shared" si="22"/>
        <v>305</v>
      </c>
      <c r="AA84" s="71">
        <f t="shared" si="22"/>
        <v>219</v>
      </c>
      <c r="AB84" s="71">
        <f t="shared" si="22"/>
        <v>213.1</v>
      </c>
      <c r="AC84" s="71">
        <f t="shared" si="22"/>
        <v>240</v>
      </c>
      <c r="AD84" s="71">
        <f t="shared" si="22"/>
        <v>257</v>
      </c>
      <c r="AE84" s="71">
        <f t="shared" si="22"/>
        <v>310.2</v>
      </c>
      <c r="AF84" s="71">
        <f t="shared" si="22"/>
        <v>348.5</v>
      </c>
      <c r="AG84" s="144"/>
      <c r="AH84" s="54">
        <f t="shared" si="18"/>
        <v>365</v>
      </c>
      <c r="AI84" s="55">
        <f t="shared" si="19"/>
        <v>179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>IF(B61&lt;0,B61*-1,0)</f>
        <v>0</v>
      </c>
      <c r="C85" s="71">
        <f t="shared" ref="C85:AF85" si="23">IF(C61&lt;0,C61*-1,0)</f>
        <v>0</v>
      </c>
      <c r="D85" s="71">
        <f t="shared" si="23"/>
        <v>0</v>
      </c>
      <c r="E85" s="71">
        <f t="shared" si="23"/>
        <v>0</v>
      </c>
      <c r="F85" s="71">
        <f t="shared" si="23"/>
        <v>0</v>
      </c>
      <c r="G85" s="71">
        <f t="shared" si="23"/>
        <v>0</v>
      </c>
      <c r="H85" s="71">
        <f t="shared" si="23"/>
        <v>0</v>
      </c>
      <c r="I85" s="71">
        <f t="shared" si="23"/>
        <v>0</v>
      </c>
      <c r="J85" s="71">
        <f t="shared" si="23"/>
        <v>0</v>
      </c>
      <c r="K85" s="71">
        <f t="shared" si="23"/>
        <v>0</v>
      </c>
      <c r="L85" s="71">
        <f t="shared" si="23"/>
        <v>0</v>
      </c>
      <c r="M85" s="71">
        <f t="shared" si="23"/>
        <v>0</v>
      </c>
      <c r="N85" s="71">
        <f t="shared" si="23"/>
        <v>0</v>
      </c>
      <c r="O85" s="71">
        <f t="shared" si="23"/>
        <v>0</v>
      </c>
      <c r="P85" s="71">
        <f t="shared" si="23"/>
        <v>0</v>
      </c>
      <c r="Q85" s="71">
        <f t="shared" si="23"/>
        <v>0</v>
      </c>
      <c r="R85" s="71">
        <f t="shared" si="23"/>
        <v>0</v>
      </c>
      <c r="S85" s="71">
        <f t="shared" si="23"/>
        <v>0</v>
      </c>
      <c r="T85" s="71">
        <f t="shared" si="23"/>
        <v>0</v>
      </c>
      <c r="U85" s="71">
        <f t="shared" si="23"/>
        <v>0</v>
      </c>
      <c r="V85" s="71">
        <f t="shared" si="23"/>
        <v>0</v>
      </c>
      <c r="W85" s="71">
        <f t="shared" si="23"/>
        <v>0</v>
      </c>
      <c r="X85" s="71">
        <f t="shared" si="23"/>
        <v>0</v>
      </c>
      <c r="Y85" s="71">
        <f t="shared" si="23"/>
        <v>0</v>
      </c>
      <c r="Z85" s="71">
        <f t="shared" si="23"/>
        <v>0</v>
      </c>
      <c r="AA85" s="71">
        <f t="shared" si="23"/>
        <v>0</v>
      </c>
      <c r="AB85" s="71">
        <f t="shared" si="23"/>
        <v>0</v>
      </c>
      <c r="AC85" s="71">
        <f t="shared" si="23"/>
        <v>0</v>
      </c>
      <c r="AD85" s="71">
        <f t="shared" si="23"/>
        <v>0</v>
      </c>
      <c r="AE85" s="71">
        <f t="shared" si="23"/>
        <v>0</v>
      </c>
      <c r="AF85" s="71">
        <f t="shared" si="23"/>
        <v>0</v>
      </c>
      <c r="AG85" s="144"/>
      <c r="AH85" s="54">
        <f t="shared" si="18"/>
        <v>0</v>
      </c>
      <c r="AI85" s="55">
        <f t="shared" si="19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/>
      <c r="AD86" s="74"/>
      <c r="AE86" s="74"/>
      <c r="AF86" s="74"/>
      <c r="AG86" s="141"/>
      <c r="AH86" s="54">
        <f t="shared" si="18"/>
        <v>0</v>
      </c>
      <c r="AI86" s="55">
        <f t="shared" si="19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>SUM(B81:B86)</f>
        <v>330</v>
      </c>
      <c r="C87" s="66">
        <f t="shared" ref="C87:AF87" si="24">SUM(C81:C86)</f>
        <v>324</v>
      </c>
      <c r="D87" s="66">
        <f t="shared" si="24"/>
        <v>365</v>
      </c>
      <c r="E87" s="66">
        <f t="shared" si="24"/>
        <v>360</v>
      </c>
      <c r="F87" s="66">
        <f t="shared" si="24"/>
        <v>359</v>
      </c>
      <c r="G87" s="66">
        <f t="shared" si="24"/>
        <v>365</v>
      </c>
      <c r="H87" s="66">
        <f t="shared" si="24"/>
        <v>365</v>
      </c>
      <c r="I87" s="66">
        <f t="shared" si="24"/>
        <v>365</v>
      </c>
      <c r="J87" s="66">
        <f t="shared" si="24"/>
        <v>314.89999999999998</v>
      </c>
      <c r="K87" s="66">
        <f t="shared" si="24"/>
        <v>280</v>
      </c>
      <c r="L87" s="66">
        <f t="shared" si="24"/>
        <v>300</v>
      </c>
      <c r="M87" s="66">
        <f t="shared" si="24"/>
        <v>296</v>
      </c>
      <c r="N87" s="66">
        <f t="shared" si="24"/>
        <v>232.1</v>
      </c>
      <c r="O87" s="66">
        <f t="shared" si="24"/>
        <v>179</v>
      </c>
      <c r="P87" s="66">
        <f t="shared" si="24"/>
        <v>232.4</v>
      </c>
      <c r="Q87" s="66">
        <f t="shared" si="24"/>
        <v>215.3</v>
      </c>
      <c r="R87" s="66">
        <f t="shared" si="24"/>
        <v>216</v>
      </c>
      <c r="S87" s="66">
        <f t="shared" si="24"/>
        <v>238</v>
      </c>
      <c r="T87" s="66">
        <f t="shared" si="24"/>
        <v>230</v>
      </c>
      <c r="U87" s="66">
        <f t="shared" si="24"/>
        <v>253</v>
      </c>
      <c r="V87" s="66">
        <f t="shared" si="24"/>
        <v>280</v>
      </c>
      <c r="W87" s="66">
        <f t="shared" si="24"/>
        <v>304</v>
      </c>
      <c r="X87" s="66">
        <f t="shared" si="24"/>
        <v>350</v>
      </c>
      <c r="Y87" s="66">
        <f t="shared" si="24"/>
        <v>306</v>
      </c>
      <c r="Z87" s="66">
        <f t="shared" si="24"/>
        <v>305</v>
      </c>
      <c r="AA87" s="66">
        <f t="shared" si="24"/>
        <v>219</v>
      </c>
      <c r="AB87" s="66">
        <f t="shared" si="24"/>
        <v>213.1</v>
      </c>
      <c r="AC87" s="66">
        <f t="shared" si="24"/>
        <v>240</v>
      </c>
      <c r="AD87" s="66">
        <f t="shared" si="24"/>
        <v>257</v>
      </c>
      <c r="AE87" s="66">
        <f t="shared" si="24"/>
        <v>310.2</v>
      </c>
      <c r="AF87" s="66">
        <f t="shared" si="24"/>
        <v>348.5</v>
      </c>
      <c r="AG87" s="138"/>
      <c r="AH87" s="54">
        <f t="shared" si="18"/>
        <v>365</v>
      </c>
      <c r="AI87" s="55">
        <f t="shared" si="19"/>
        <v>179</v>
      </c>
      <c r="AK87" s="56"/>
    </row>
    <row r="88" spans="1:88" s="1" customFormat="1" ht="15.75" thickBot="1" x14ac:dyDescent="0.3">
      <c r="A88" s="65" t="s">
        <v>64</v>
      </c>
      <c r="B88" s="66">
        <f>B72-B87</f>
        <v>-308</v>
      </c>
      <c r="C88" s="66">
        <f t="shared" ref="C88:AF88" si="25">C72-C87</f>
        <v>-289</v>
      </c>
      <c r="D88" s="66">
        <f t="shared" si="25"/>
        <v>-332.3</v>
      </c>
      <c r="E88" s="66">
        <f t="shared" si="25"/>
        <v>-327.3</v>
      </c>
      <c r="F88" s="66">
        <f t="shared" si="25"/>
        <v>-325.39999999999998</v>
      </c>
      <c r="G88" s="66">
        <f t="shared" si="25"/>
        <v>-334.8</v>
      </c>
      <c r="H88" s="66">
        <f t="shared" si="25"/>
        <v>-334.8</v>
      </c>
      <c r="I88" s="66">
        <f t="shared" si="25"/>
        <v>-334.8</v>
      </c>
      <c r="J88" s="66">
        <f t="shared" si="25"/>
        <v>-284.7</v>
      </c>
      <c r="K88" s="66">
        <f t="shared" si="25"/>
        <v>-227</v>
      </c>
      <c r="L88" s="66">
        <f t="shared" si="25"/>
        <v>-243.1</v>
      </c>
      <c r="M88" s="66">
        <f t="shared" si="25"/>
        <v>-246.7</v>
      </c>
      <c r="N88" s="66">
        <f t="shared" si="25"/>
        <v>-194.7</v>
      </c>
      <c r="O88" s="66">
        <f t="shared" si="25"/>
        <v>-104.3</v>
      </c>
      <c r="P88" s="66">
        <f t="shared" si="25"/>
        <v>-162.30000000000001</v>
      </c>
      <c r="Q88" s="66">
        <f t="shared" si="25"/>
        <v>-144.70000000000002</v>
      </c>
      <c r="R88" s="66">
        <f t="shared" si="25"/>
        <v>-144</v>
      </c>
      <c r="S88" s="66">
        <f t="shared" si="25"/>
        <v>-168</v>
      </c>
      <c r="T88" s="66">
        <f t="shared" si="25"/>
        <v>-166</v>
      </c>
      <c r="U88" s="66">
        <f t="shared" si="25"/>
        <v>-248</v>
      </c>
      <c r="V88" s="66">
        <f t="shared" si="25"/>
        <v>-209</v>
      </c>
      <c r="W88" s="66">
        <f t="shared" si="25"/>
        <v>-235</v>
      </c>
      <c r="X88" s="66">
        <f t="shared" si="25"/>
        <v>-286.60000000000002</v>
      </c>
      <c r="Y88" s="66">
        <f t="shared" si="25"/>
        <v>-263</v>
      </c>
      <c r="Z88" s="66">
        <f t="shared" si="25"/>
        <v>-261</v>
      </c>
      <c r="AA88" s="66">
        <f t="shared" si="25"/>
        <v>-173</v>
      </c>
      <c r="AB88" s="66">
        <f t="shared" si="25"/>
        <v>-141.19999999999999</v>
      </c>
      <c r="AC88" s="66">
        <f t="shared" si="25"/>
        <v>-164.6</v>
      </c>
      <c r="AD88" s="66">
        <f t="shared" si="25"/>
        <v>-188.8</v>
      </c>
      <c r="AE88" s="66">
        <f t="shared" si="25"/>
        <v>-246.2</v>
      </c>
      <c r="AF88" s="66">
        <f t="shared" si="25"/>
        <v>-283.5</v>
      </c>
      <c r="AG88" s="138"/>
      <c r="AH88" s="54">
        <f t="shared" si="18"/>
        <v>-104.3</v>
      </c>
      <c r="AI88" s="55">
        <f t="shared" si="19"/>
        <v>-334.8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50.094999999999999</v>
      </c>
      <c r="C89" s="80">
        <v>49.994999999999997</v>
      </c>
      <c r="D89" s="80">
        <v>50.04</v>
      </c>
      <c r="E89" s="80">
        <v>49.98</v>
      </c>
      <c r="F89" s="80">
        <v>50.06</v>
      </c>
      <c r="G89" s="80">
        <v>50.1</v>
      </c>
      <c r="H89" s="80">
        <v>50</v>
      </c>
      <c r="I89" s="80">
        <v>50.1</v>
      </c>
      <c r="J89" s="80">
        <v>49.91</v>
      </c>
      <c r="K89" s="80">
        <v>50.02</v>
      </c>
      <c r="L89" s="80">
        <v>50.05</v>
      </c>
      <c r="M89" s="80">
        <v>50.015999999999998</v>
      </c>
      <c r="N89" s="80">
        <v>50.058</v>
      </c>
      <c r="O89" s="80">
        <v>50.164999999999999</v>
      </c>
      <c r="P89" s="80">
        <v>50.033000000000001</v>
      </c>
      <c r="Q89" s="80">
        <v>50.009</v>
      </c>
      <c r="R89" s="80">
        <v>50.057000000000002</v>
      </c>
      <c r="S89" s="80">
        <v>50.063000000000002</v>
      </c>
      <c r="T89" s="80">
        <v>50.01</v>
      </c>
      <c r="U89" s="80">
        <v>50.01</v>
      </c>
      <c r="V89" s="80">
        <v>50.015000000000001</v>
      </c>
      <c r="W89" s="80">
        <v>49.972999999999999</v>
      </c>
      <c r="X89" s="80">
        <v>49.97</v>
      </c>
      <c r="Y89" s="80">
        <v>49.97</v>
      </c>
      <c r="Z89" s="80">
        <v>49.97</v>
      </c>
      <c r="AA89" s="80">
        <v>49.893000000000001</v>
      </c>
      <c r="AB89" s="80">
        <v>49.865000000000002</v>
      </c>
      <c r="AC89" s="80">
        <v>49.893000000000001</v>
      </c>
      <c r="AD89" s="80">
        <v>49.859000000000002</v>
      </c>
      <c r="AE89" s="80">
        <v>49.878999999999998</v>
      </c>
      <c r="AF89" s="80">
        <v>50.015000000000001</v>
      </c>
      <c r="AG89" s="145"/>
      <c r="AH89" s="54">
        <f t="shared" si="18"/>
        <v>50.164999999999999</v>
      </c>
      <c r="AI89" s="55">
        <f t="shared" si="19"/>
        <v>49.859000000000002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124</v>
      </c>
      <c r="C90" s="48">
        <v>124</v>
      </c>
      <c r="D90" s="48">
        <v>122.5</v>
      </c>
      <c r="E90" s="48">
        <v>124.2</v>
      </c>
      <c r="F90" s="48">
        <v>124.6</v>
      </c>
      <c r="G90" s="48">
        <v>125.3</v>
      </c>
      <c r="H90" s="48">
        <v>125.3</v>
      </c>
      <c r="I90" s="48">
        <v>125.3</v>
      </c>
      <c r="J90" s="48">
        <v>122.5</v>
      </c>
      <c r="K90" s="48">
        <v>122.3</v>
      </c>
      <c r="L90" s="48">
        <v>124.7</v>
      </c>
      <c r="M90" s="48">
        <v>123.4</v>
      </c>
      <c r="N90" s="48">
        <v>122.2</v>
      </c>
      <c r="O90" s="48">
        <v>120.6</v>
      </c>
      <c r="P90" s="48">
        <v>121.9</v>
      </c>
      <c r="Q90" s="48">
        <v>122</v>
      </c>
      <c r="R90" s="48">
        <v>121.5</v>
      </c>
      <c r="S90" s="48">
        <v>121.8</v>
      </c>
      <c r="T90" s="48">
        <v>121.8</v>
      </c>
      <c r="U90" s="48">
        <v>121.8</v>
      </c>
      <c r="V90" s="48">
        <v>124.6</v>
      </c>
      <c r="W90" s="48">
        <v>123</v>
      </c>
      <c r="X90" s="48">
        <v>122.6</v>
      </c>
      <c r="Y90" s="48">
        <v>122.6</v>
      </c>
      <c r="Z90" s="48">
        <v>122.6</v>
      </c>
      <c r="AA90" s="48">
        <v>122.2</v>
      </c>
      <c r="AB90" s="48">
        <v>124.2</v>
      </c>
      <c r="AC90" s="48">
        <v>122.2</v>
      </c>
      <c r="AD90" s="48">
        <v>124.6</v>
      </c>
      <c r="AE90" s="48">
        <v>123.9</v>
      </c>
      <c r="AF90" s="48">
        <v>123</v>
      </c>
      <c r="AG90" s="146"/>
      <c r="AH90" s="54">
        <f t="shared" si="18"/>
        <v>125.3</v>
      </c>
      <c r="AI90" s="55">
        <f t="shared" si="19"/>
        <v>120.6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129</v>
      </c>
      <c r="C91" s="48">
        <v>129</v>
      </c>
      <c r="D91" s="48">
        <v>128.5</v>
      </c>
      <c r="E91" s="48">
        <v>129.4</v>
      </c>
      <c r="F91" s="48">
        <v>129.5</v>
      </c>
      <c r="G91" s="48">
        <v>129.69999999999999</v>
      </c>
      <c r="H91" s="48">
        <v>129.69999999999999</v>
      </c>
      <c r="I91" s="48">
        <v>129.69999999999999</v>
      </c>
      <c r="J91" s="48">
        <v>126.5</v>
      </c>
      <c r="K91" s="48">
        <v>126.4</v>
      </c>
      <c r="L91" s="48">
        <v>128.19999999999999</v>
      </c>
      <c r="M91" s="48">
        <v>127.5</v>
      </c>
      <c r="N91" s="48">
        <v>126.9</v>
      </c>
      <c r="O91" s="48">
        <v>125.1</v>
      </c>
      <c r="P91" s="48">
        <v>126.1</v>
      </c>
      <c r="Q91" s="48">
        <v>126.3</v>
      </c>
      <c r="R91" s="48">
        <v>125.9</v>
      </c>
      <c r="S91" s="48">
        <v>126</v>
      </c>
      <c r="T91" s="48">
        <v>126</v>
      </c>
      <c r="U91" s="48">
        <v>126</v>
      </c>
      <c r="V91" s="48">
        <v>127.7</v>
      </c>
      <c r="W91" s="48">
        <v>127</v>
      </c>
      <c r="X91" s="48">
        <v>126.9</v>
      </c>
      <c r="Y91" s="48">
        <v>126.9</v>
      </c>
      <c r="Z91" s="48">
        <v>126.9</v>
      </c>
      <c r="AA91" s="48">
        <v>126.2</v>
      </c>
      <c r="AB91" s="48">
        <v>128.1</v>
      </c>
      <c r="AC91" s="48">
        <v>126.2</v>
      </c>
      <c r="AD91" s="48">
        <v>128.5</v>
      </c>
      <c r="AE91" s="48">
        <v>128.19999999999999</v>
      </c>
      <c r="AF91" s="48">
        <v>128</v>
      </c>
      <c r="AG91" s="146"/>
      <c r="AH91" s="54">
        <f t="shared" si="18"/>
        <v>129.69999999999999</v>
      </c>
      <c r="AI91" s="55">
        <f t="shared" si="19"/>
        <v>125.1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128</v>
      </c>
      <c r="C92" s="48">
        <v>128</v>
      </c>
      <c r="D92" s="48">
        <v>128</v>
      </c>
      <c r="E92" s="48">
        <v>127.3</v>
      </c>
      <c r="F92" s="48">
        <v>128.5</v>
      </c>
      <c r="G92" s="48">
        <v>130</v>
      </c>
      <c r="H92" s="48">
        <v>130</v>
      </c>
      <c r="I92" s="48">
        <v>130</v>
      </c>
      <c r="J92" s="48">
        <v>126</v>
      </c>
      <c r="K92" s="48">
        <v>125.8</v>
      </c>
      <c r="L92" s="48">
        <v>126.5</v>
      </c>
      <c r="M92" s="48">
        <v>126.1</v>
      </c>
      <c r="N92" s="48">
        <v>129.5</v>
      </c>
      <c r="O92" s="48">
        <v>126.8</v>
      </c>
      <c r="P92" s="48">
        <v>126</v>
      </c>
      <c r="Q92" s="48">
        <v>125</v>
      </c>
      <c r="R92" s="48">
        <v>127</v>
      </c>
      <c r="S92" s="48">
        <v>123</v>
      </c>
      <c r="T92" s="48">
        <v>123</v>
      </c>
      <c r="U92" s="48">
        <v>123</v>
      </c>
      <c r="V92" s="48">
        <v>128</v>
      </c>
      <c r="W92" s="48">
        <v>127</v>
      </c>
      <c r="X92" s="48">
        <v>130</v>
      </c>
      <c r="Y92" s="48">
        <v>130</v>
      </c>
      <c r="Z92" s="48">
        <v>130</v>
      </c>
      <c r="AA92" s="48">
        <v>125</v>
      </c>
      <c r="AB92" s="48">
        <v>126</v>
      </c>
      <c r="AC92" s="48">
        <v>125</v>
      </c>
      <c r="AD92" s="48">
        <v>124.9</v>
      </c>
      <c r="AE92" s="48">
        <v>127.5</v>
      </c>
      <c r="AF92" s="48">
        <v>123.4</v>
      </c>
      <c r="AG92" s="146"/>
      <c r="AH92" s="54">
        <f t="shared" si="18"/>
        <v>130</v>
      </c>
      <c r="AI92" s="55">
        <f t="shared" si="19"/>
        <v>123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>
        <v>133</v>
      </c>
      <c r="C93" s="48">
        <v>133</v>
      </c>
      <c r="D93" s="48">
        <v>133</v>
      </c>
      <c r="E93" s="48">
        <v>133.1</v>
      </c>
      <c r="F93" s="48">
        <v>134</v>
      </c>
      <c r="G93" s="48">
        <v>135</v>
      </c>
      <c r="H93" s="48">
        <v>135</v>
      </c>
      <c r="I93" s="48">
        <v>135</v>
      </c>
      <c r="J93" s="48">
        <v>131.1</v>
      </c>
      <c r="K93" s="48">
        <v>130.19999999999999</v>
      </c>
      <c r="L93" s="48">
        <v>130.19999999999999</v>
      </c>
      <c r="M93" s="48">
        <v>129.4</v>
      </c>
      <c r="N93" s="48">
        <v>132.80000000000001</v>
      </c>
      <c r="O93" s="48">
        <v>128.69999999999999</v>
      </c>
      <c r="P93" s="48">
        <v>132.6</v>
      </c>
      <c r="Q93" s="48">
        <v>130.6</v>
      </c>
      <c r="R93" s="48">
        <v>132.4</v>
      </c>
      <c r="S93" s="48">
        <v>128</v>
      </c>
      <c r="T93" s="48">
        <v>128</v>
      </c>
      <c r="U93" s="48">
        <v>128</v>
      </c>
      <c r="V93" s="48">
        <v>131.80000000000001</v>
      </c>
      <c r="W93" s="48">
        <v>132</v>
      </c>
      <c r="X93" s="48">
        <v>135</v>
      </c>
      <c r="Y93" s="48">
        <v>135</v>
      </c>
      <c r="Z93" s="48">
        <v>135</v>
      </c>
      <c r="AA93" s="48">
        <v>130</v>
      </c>
      <c r="AB93" s="48">
        <v>130.1</v>
      </c>
      <c r="AC93" s="48">
        <v>130</v>
      </c>
      <c r="AD93" s="48">
        <v>132.19999999999999</v>
      </c>
      <c r="AE93" s="48">
        <v>131.69999999999999</v>
      </c>
      <c r="AF93" s="48">
        <v>128.80000000000001</v>
      </c>
      <c r="AG93" s="146"/>
      <c r="AH93" s="54">
        <f t="shared" si="18"/>
        <v>135</v>
      </c>
      <c r="AI93" s="55">
        <f t="shared" si="19"/>
        <v>128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131</v>
      </c>
      <c r="C94" s="82">
        <v>131</v>
      </c>
      <c r="D94" s="82">
        <v>132</v>
      </c>
      <c r="E94" s="82">
        <v>132.19999999999999</v>
      </c>
      <c r="F94" s="82">
        <v>133.80000000000001</v>
      </c>
      <c r="G94" s="82">
        <v>134.4</v>
      </c>
      <c r="H94" s="82">
        <v>134.4</v>
      </c>
      <c r="I94" s="82">
        <v>134.4</v>
      </c>
      <c r="J94" s="82">
        <v>134.30000000000001</v>
      </c>
      <c r="K94" s="82">
        <v>131.4</v>
      </c>
      <c r="L94" s="82">
        <v>133.1</v>
      </c>
      <c r="M94" s="82">
        <v>131.5</v>
      </c>
      <c r="N94" s="82">
        <v>130.5</v>
      </c>
      <c r="O94" s="82">
        <v>132.4</v>
      </c>
      <c r="P94" s="82">
        <v>131.6</v>
      </c>
      <c r="Q94" s="82">
        <v>131.4</v>
      </c>
      <c r="R94" s="82">
        <v>131</v>
      </c>
      <c r="S94" s="82">
        <v>130</v>
      </c>
      <c r="T94" s="82">
        <v>130</v>
      </c>
      <c r="U94" s="82">
        <v>130</v>
      </c>
      <c r="V94" s="82">
        <v>134.80000000000001</v>
      </c>
      <c r="W94" s="82">
        <v>131</v>
      </c>
      <c r="X94" s="82">
        <v>132.80000000000001</v>
      </c>
      <c r="Y94" s="82">
        <v>132.80000000000001</v>
      </c>
      <c r="Z94" s="82">
        <v>132.80000000000001</v>
      </c>
      <c r="AA94" s="82">
        <v>133</v>
      </c>
      <c r="AB94" s="82">
        <v>133.19999999999999</v>
      </c>
      <c r="AC94" s="82">
        <v>133.9</v>
      </c>
      <c r="AD94" s="82">
        <v>132.30000000000001</v>
      </c>
      <c r="AE94" s="82">
        <v>130.5</v>
      </c>
      <c r="AF94" s="82">
        <v>128</v>
      </c>
      <c r="AG94" s="147"/>
      <c r="AH94" s="54">
        <f t="shared" si="18"/>
        <v>134.80000000000001</v>
      </c>
      <c r="AI94" s="55">
        <f t="shared" si="19"/>
        <v>128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126</v>
      </c>
      <c r="C95" s="48">
        <v>126</v>
      </c>
      <c r="D95" s="48">
        <v>125</v>
      </c>
      <c r="E95" s="48">
        <v>127.5</v>
      </c>
      <c r="F95" s="48">
        <v>129.80000000000001</v>
      </c>
      <c r="G95" s="48">
        <v>132.5</v>
      </c>
      <c r="H95" s="48">
        <v>132.5</v>
      </c>
      <c r="I95" s="48">
        <v>132.5</v>
      </c>
      <c r="J95" s="48">
        <v>129.4</v>
      </c>
      <c r="K95" s="48">
        <v>126.2</v>
      </c>
      <c r="L95" s="48">
        <v>129.80000000000001</v>
      </c>
      <c r="M95" s="48">
        <v>126.3</v>
      </c>
      <c r="N95" s="48">
        <v>124.7</v>
      </c>
      <c r="O95" s="48">
        <v>123.7</v>
      </c>
      <c r="P95" s="48">
        <v>129.1</v>
      </c>
      <c r="Q95" s="48">
        <v>121.7</v>
      </c>
      <c r="R95" s="48">
        <v>127</v>
      </c>
      <c r="S95" s="48">
        <v>120</v>
      </c>
      <c r="T95" s="48">
        <v>120</v>
      </c>
      <c r="U95" s="48">
        <v>120</v>
      </c>
      <c r="V95" s="48">
        <v>120</v>
      </c>
      <c r="W95" s="48">
        <v>121</v>
      </c>
      <c r="X95" s="48">
        <v>132</v>
      </c>
      <c r="Y95" s="48">
        <v>132</v>
      </c>
      <c r="Z95" s="48">
        <v>132</v>
      </c>
      <c r="AA95" s="48">
        <v>125</v>
      </c>
      <c r="AB95" s="48">
        <v>127.5</v>
      </c>
      <c r="AC95" s="48">
        <v>126.5</v>
      </c>
      <c r="AD95" s="48">
        <v>127.6</v>
      </c>
      <c r="AE95" s="48">
        <v>126.9</v>
      </c>
      <c r="AF95" s="48">
        <v>123.7</v>
      </c>
      <c r="AG95" s="146"/>
      <c r="AH95" s="54">
        <f t="shared" si="18"/>
        <v>132.5</v>
      </c>
      <c r="AI95" s="55">
        <f t="shared" si="19"/>
        <v>120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65.400000000000006</v>
      </c>
      <c r="C96" s="83">
        <v>65.400000000000006</v>
      </c>
      <c r="D96" s="83">
        <v>65</v>
      </c>
      <c r="E96" s="83">
        <v>65.099999999999994</v>
      </c>
      <c r="F96" s="83">
        <v>65.7</v>
      </c>
      <c r="G96" s="83">
        <v>65.7</v>
      </c>
      <c r="H96" s="83">
        <v>65.7</v>
      </c>
      <c r="I96" s="83">
        <v>65.7</v>
      </c>
      <c r="J96" s="83">
        <v>64</v>
      </c>
      <c r="K96" s="83">
        <v>63.9</v>
      </c>
      <c r="L96" s="83">
        <v>64.5</v>
      </c>
      <c r="M96" s="83">
        <v>63.8</v>
      </c>
      <c r="N96" s="83">
        <v>63.9</v>
      </c>
      <c r="O96" s="83">
        <v>62.9</v>
      </c>
      <c r="P96" s="83">
        <v>63.5</v>
      </c>
      <c r="Q96" s="83">
        <v>63.4</v>
      </c>
      <c r="R96" s="83">
        <v>63.3</v>
      </c>
      <c r="S96" s="83">
        <v>63.2</v>
      </c>
      <c r="T96" s="83">
        <v>63.2</v>
      </c>
      <c r="U96" s="83">
        <v>63.2</v>
      </c>
      <c r="V96" s="83">
        <v>64.400000000000006</v>
      </c>
      <c r="W96" s="83">
        <v>63.9</v>
      </c>
      <c r="X96" s="83">
        <v>64</v>
      </c>
      <c r="Y96" s="83">
        <v>64</v>
      </c>
      <c r="Z96" s="83">
        <v>64</v>
      </c>
      <c r="AA96" s="83">
        <v>64</v>
      </c>
      <c r="AB96" s="83">
        <v>65</v>
      </c>
      <c r="AC96" s="83">
        <v>65</v>
      </c>
      <c r="AD96" s="83">
        <v>65</v>
      </c>
      <c r="AE96" s="83">
        <v>64.900000000000006</v>
      </c>
      <c r="AF96" s="83">
        <v>64.7</v>
      </c>
      <c r="AG96" s="148"/>
      <c r="AH96" s="54">
        <f t="shared" si="18"/>
        <v>65.7</v>
      </c>
      <c r="AI96" s="55">
        <f t="shared" si="19"/>
        <v>62.9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18"/>
        <v>0</v>
      </c>
      <c r="AI97" s="55">
        <f t="shared" si="19"/>
        <v>0</v>
      </c>
    </row>
    <row r="98" spans="1:37" ht="15.75" thickBot="1" x14ac:dyDescent="0.3">
      <c r="A98" s="85" t="s">
        <v>73</v>
      </c>
      <c r="B98" s="86">
        <f t="shared" ref="B98:AF98" si="26">SUM(B15,B18,B21:B22,B46,B48:B49,B51,B53,B99:B102,B123,B129,B135,B144,B146,B158,B165,B168:B169,B176,B178,B180,B184:B186,B188:B190,B195,B201:B202,B204:B206,B214,B219)</f>
        <v>274.09839999999991</v>
      </c>
      <c r="C98" s="86">
        <f t="shared" si="26"/>
        <v>270.73839999999996</v>
      </c>
      <c r="D98" s="86">
        <f t="shared" si="26"/>
        <v>263.23840000000001</v>
      </c>
      <c r="E98" s="86">
        <f t="shared" si="26"/>
        <v>251.73839999999998</v>
      </c>
      <c r="F98" s="86">
        <f t="shared" si="26"/>
        <v>261.53839999999997</v>
      </c>
      <c r="G98" s="86">
        <f t="shared" si="26"/>
        <v>258.03839999999997</v>
      </c>
      <c r="H98" s="86">
        <f t="shared" si="26"/>
        <v>258.03839999999997</v>
      </c>
      <c r="I98" s="86">
        <f t="shared" si="26"/>
        <v>258.03839999999997</v>
      </c>
      <c r="J98" s="86">
        <f t="shared" si="26"/>
        <v>270.33839999999998</v>
      </c>
      <c r="K98" s="86">
        <f t="shared" si="26"/>
        <v>279.23839999999996</v>
      </c>
      <c r="L98" s="86">
        <f t="shared" si="26"/>
        <v>291.43839999999989</v>
      </c>
      <c r="M98" s="86">
        <f t="shared" si="26"/>
        <v>345.13839999999999</v>
      </c>
      <c r="N98" s="86">
        <f t="shared" si="26"/>
        <v>350.03840000000002</v>
      </c>
      <c r="O98" s="86">
        <f t="shared" si="26"/>
        <v>366.13839999999999</v>
      </c>
      <c r="P98" s="86">
        <f t="shared" si="26"/>
        <v>352.63839999999999</v>
      </c>
      <c r="Q98" s="86">
        <f t="shared" si="26"/>
        <v>370.09840000000003</v>
      </c>
      <c r="R98" s="86">
        <f t="shared" si="26"/>
        <v>266.49839999999995</v>
      </c>
      <c r="S98" s="86">
        <f t="shared" si="26"/>
        <v>365.59840000000003</v>
      </c>
      <c r="T98" s="86">
        <f t="shared" si="26"/>
        <v>351.59840000000003</v>
      </c>
      <c r="U98" s="86">
        <f t="shared" si="26"/>
        <v>376.59840000000003</v>
      </c>
      <c r="V98" s="86">
        <f t="shared" si="26"/>
        <v>344.59840000000003</v>
      </c>
      <c r="W98" s="86">
        <f t="shared" si="26"/>
        <v>345.59840000000003</v>
      </c>
      <c r="X98" s="86">
        <f t="shared" si="26"/>
        <v>233.5984</v>
      </c>
      <c r="Y98" s="86">
        <f t="shared" si="26"/>
        <v>244.5984</v>
      </c>
      <c r="Z98" s="86">
        <f t="shared" si="26"/>
        <v>263.59839999999997</v>
      </c>
      <c r="AA98" s="86">
        <f t="shared" si="26"/>
        <v>369.59840000000003</v>
      </c>
      <c r="AB98" s="86">
        <f t="shared" si="26"/>
        <v>349.69839999999999</v>
      </c>
      <c r="AC98" s="86">
        <f t="shared" si="26"/>
        <v>340.59840000000003</v>
      </c>
      <c r="AD98" s="86">
        <f t="shared" si="26"/>
        <v>334.89839999999998</v>
      </c>
      <c r="AE98" s="86">
        <f t="shared" si="26"/>
        <v>275.79839999999996</v>
      </c>
      <c r="AF98" s="86">
        <f t="shared" si="26"/>
        <v>271.29839999999996</v>
      </c>
      <c r="AG98" s="150"/>
      <c r="AH98" s="54">
        <f>MAX(C98:AF98)</f>
        <v>376.59840000000003</v>
      </c>
      <c r="AI98" s="55">
        <f>MIN(C98:AF98)</f>
        <v>233.5984</v>
      </c>
    </row>
    <row r="99" spans="1:37" x14ac:dyDescent="0.25">
      <c r="A99" s="170" t="s">
        <v>74</v>
      </c>
      <c r="B99" s="87">
        <v>11.3</v>
      </c>
      <c r="C99" s="87">
        <v>17</v>
      </c>
      <c r="D99" s="87">
        <v>19.5</v>
      </c>
      <c r="E99" s="87">
        <v>8.8000000000000007</v>
      </c>
      <c r="F99" s="87">
        <v>0</v>
      </c>
      <c r="G99" s="87">
        <v>3.5</v>
      </c>
      <c r="H99" s="87">
        <v>3.5</v>
      </c>
      <c r="I99" s="87">
        <v>3.5</v>
      </c>
      <c r="J99" s="87">
        <v>16.100000000000001</v>
      </c>
      <c r="K99" s="87">
        <v>7</v>
      </c>
      <c r="L99" s="87">
        <v>27.5</v>
      </c>
      <c r="M99" s="87">
        <v>27.2</v>
      </c>
      <c r="N99" s="87">
        <v>20.9</v>
      </c>
      <c r="O99" s="87">
        <v>28.5</v>
      </c>
      <c r="P99" s="87">
        <v>24</v>
      </c>
      <c r="Q99" s="87">
        <v>26.1</v>
      </c>
      <c r="R99" s="87">
        <v>24.8</v>
      </c>
      <c r="S99" s="87">
        <v>24</v>
      </c>
      <c r="T99" s="87">
        <v>27</v>
      </c>
      <c r="U99" s="87">
        <v>27</v>
      </c>
      <c r="V99" s="87">
        <v>25</v>
      </c>
      <c r="W99" s="87">
        <v>22</v>
      </c>
      <c r="X99" s="87">
        <v>42</v>
      </c>
      <c r="Y99" s="87"/>
      <c r="Z99" s="87">
        <v>29</v>
      </c>
      <c r="AA99" s="87">
        <v>21</v>
      </c>
      <c r="AB99" s="87">
        <v>28.4</v>
      </c>
      <c r="AC99" s="87">
        <v>23.5</v>
      </c>
      <c r="AD99" s="87">
        <v>22.3</v>
      </c>
      <c r="AE99" s="87">
        <v>22</v>
      </c>
      <c r="AF99" s="87">
        <v>15.7</v>
      </c>
      <c r="AG99" s="151">
        <v>75</v>
      </c>
      <c r="AH99" s="54">
        <f t="shared" ref="AH99:AH105" si="27">IF(ABS(MAX(C99:AF99))&gt;ABS(MIN(C99:AF99)),MAX(C99:AF99),MIN(C99:AF99))</f>
        <v>42</v>
      </c>
      <c r="AI99" s="89">
        <f t="shared" ref="AI99:AI105" si="28">INDEX($C$9:$AF$9,1,MATCH(AH99,C99:AF99,0))</f>
        <v>0.75</v>
      </c>
    </row>
    <row r="100" spans="1:37" x14ac:dyDescent="0.25">
      <c r="A100" s="163" t="s">
        <v>75</v>
      </c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>
        <v>0</v>
      </c>
      <c r="M100" s="90"/>
      <c r="N100" s="90"/>
      <c r="O100" s="90"/>
      <c r="P100" s="90"/>
      <c r="Q100" s="90"/>
      <c r="R100" s="90">
        <v>-98.4</v>
      </c>
      <c r="S100" s="90"/>
      <c r="T100" s="90"/>
      <c r="U100" s="90"/>
      <c r="V100" s="90"/>
      <c r="W100" s="90"/>
      <c r="X100" s="90">
        <v>-100</v>
      </c>
      <c r="Y100" s="90"/>
      <c r="Z100" s="90">
        <v>-75</v>
      </c>
      <c r="AA100" s="90"/>
      <c r="AB100" s="90"/>
      <c r="AC100" s="90"/>
      <c r="AD100" s="90"/>
      <c r="AE100" s="90"/>
      <c r="AF100" s="90"/>
      <c r="AG100" s="151">
        <v>240</v>
      </c>
      <c r="AH100" s="54">
        <f t="shared" si="27"/>
        <v>-100</v>
      </c>
      <c r="AI100" s="89">
        <f t="shared" si="28"/>
        <v>0.75</v>
      </c>
    </row>
    <row r="101" spans="1:37" x14ac:dyDescent="0.25">
      <c r="A101" s="163" t="s">
        <v>76</v>
      </c>
      <c r="B101" s="90">
        <v>16.600000000000001</v>
      </c>
      <c r="C101" s="90">
        <v>7</v>
      </c>
      <c r="D101" s="90">
        <v>-3</v>
      </c>
      <c r="E101" s="90">
        <v>-3.8</v>
      </c>
      <c r="F101" s="90">
        <v>14.8</v>
      </c>
      <c r="G101" s="90">
        <v>7.8</v>
      </c>
      <c r="H101" s="90">
        <v>7.8</v>
      </c>
      <c r="I101" s="90">
        <v>7.8</v>
      </c>
      <c r="J101" s="90">
        <v>7.5</v>
      </c>
      <c r="K101" s="90">
        <v>25.5</v>
      </c>
      <c r="L101" s="90">
        <v>17.2</v>
      </c>
      <c r="M101" s="90">
        <v>8.1</v>
      </c>
      <c r="N101" s="90">
        <v>10.5</v>
      </c>
      <c r="O101" s="90">
        <v>16.7</v>
      </c>
      <c r="P101" s="90">
        <v>23.2</v>
      </c>
      <c r="Q101" s="90">
        <v>26.8</v>
      </c>
      <c r="R101" s="90">
        <v>13.5</v>
      </c>
      <c r="S101" s="90">
        <v>27</v>
      </c>
      <c r="T101" s="90">
        <v>19</v>
      </c>
      <c r="U101" s="90">
        <v>44</v>
      </c>
      <c r="V101" s="90">
        <v>17</v>
      </c>
      <c r="W101" s="90">
        <v>24</v>
      </c>
      <c r="X101" s="90">
        <v>7</v>
      </c>
      <c r="Y101" s="90"/>
      <c r="Z101" s="90">
        <v>8</v>
      </c>
      <c r="AA101" s="90">
        <v>25</v>
      </c>
      <c r="AB101" s="90">
        <v>19</v>
      </c>
      <c r="AC101" s="90">
        <v>20</v>
      </c>
      <c r="AD101" s="90">
        <v>21.7</v>
      </c>
      <c r="AE101" s="90">
        <v>7.2</v>
      </c>
      <c r="AF101" s="90">
        <v>9</v>
      </c>
      <c r="AG101" s="151">
        <v>60</v>
      </c>
      <c r="AH101" s="54">
        <f t="shared" si="27"/>
        <v>44</v>
      </c>
      <c r="AI101" s="89">
        <f t="shared" si="28"/>
        <v>0.66666666666666696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0</v>
      </c>
      <c r="M102" s="91">
        <v>55.3</v>
      </c>
      <c r="N102" s="91">
        <v>63.1</v>
      </c>
      <c r="O102" s="91">
        <v>65.400000000000006</v>
      </c>
      <c r="P102" s="91">
        <v>49.9</v>
      </c>
      <c r="Q102" s="91">
        <v>62.6</v>
      </c>
      <c r="R102" s="91">
        <v>72</v>
      </c>
      <c r="S102" s="91">
        <v>60</v>
      </c>
      <c r="T102" s="91">
        <v>51</v>
      </c>
      <c r="U102" s="91">
        <v>51</v>
      </c>
      <c r="V102" s="91">
        <v>48</v>
      </c>
      <c r="W102" s="91">
        <v>45</v>
      </c>
      <c r="X102" s="91">
        <v>30</v>
      </c>
      <c r="Y102" s="91"/>
      <c r="Z102" s="91">
        <v>57</v>
      </c>
      <c r="AA102" s="91">
        <v>69</v>
      </c>
      <c r="AB102" s="91">
        <v>55.7</v>
      </c>
      <c r="AC102" s="91">
        <v>50.5</v>
      </c>
      <c r="AD102" s="91">
        <v>44.3</v>
      </c>
      <c r="AE102" s="91">
        <v>0</v>
      </c>
      <c r="AF102" s="91">
        <v>0</v>
      </c>
      <c r="AG102" s="152">
        <v>120</v>
      </c>
      <c r="AH102" s="54">
        <f t="shared" si="27"/>
        <v>72</v>
      </c>
      <c r="AI102" s="89">
        <f t="shared" si="28"/>
        <v>0.54166666666666696</v>
      </c>
    </row>
    <row r="103" spans="1:37" x14ac:dyDescent="0.25">
      <c r="A103" s="164" t="s">
        <v>78</v>
      </c>
      <c r="B103" s="91">
        <v>24.7</v>
      </c>
      <c r="C103" s="91">
        <v>31.5</v>
      </c>
      <c r="D103" s="91">
        <v>20.3</v>
      </c>
      <c r="E103" s="91">
        <v>44.4</v>
      </c>
      <c r="F103" s="91">
        <v>35.799999999999997</v>
      </c>
      <c r="G103" s="91">
        <v>43.9</v>
      </c>
      <c r="H103" s="91">
        <v>43.9</v>
      </c>
      <c r="I103" s="91">
        <v>43.9</v>
      </c>
      <c r="J103" s="91">
        <v>74.400000000000006</v>
      </c>
      <c r="K103" s="91">
        <v>57.7</v>
      </c>
      <c r="L103" s="91">
        <v>32.799999999999997</v>
      </c>
      <c r="M103" s="91">
        <v>55.7</v>
      </c>
      <c r="N103" s="91">
        <v>68.599999999999994</v>
      </c>
      <c r="O103" s="91">
        <v>72.900000000000006</v>
      </c>
      <c r="P103" s="91">
        <v>55.8</v>
      </c>
      <c r="Q103" s="91">
        <v>57.3</v>
      </c>
      <c r="R103" s="91">
        <v>72</v>
      </c>
      <c r="S103" s="91">
        <v>58</v>
      </c>
      <c r="T103" s="91">
        <v>53</v>
      </c>
      <c r="U103" s="91">
        <v>48</v>
      </c>
      <c r="V103" s="91">
        <v>40</v>
      </c>
      <c r="W103" s="91">
        <v>40</v>
      </c>
      <c r="X103" s="91">
        <v>30</v>
      </c>
      <c r="Y103" s="91"/>
      <c r="Z103" s="91">
        <v>45</v>
      </c>
      <c r="AA103" s="91">
        <v>69</v>
      </c>
      <c r="AB103" s="91">
        <v>51.9</v>
      </c>
      <c r="AC103" s="91">
        <v>50.2</v>
      </c>
      <c r="AD103" s="91">
        <v>50.3</v>
      </c>
      <c r="AE103" s="91">
        <v>32.799999999999997</v>
      </c>
      <c r="AF103" s="91">
        <v>20.100000000000001</v>
      </c>
      <c r="AG103" s="152"/>
      <c r="AH103" s="54">
        <f t="shared" si="27"/>
        <v>74.400000000000006</v>
      </c>
      <c r="AI103" s="89">
        <f t="shared" si="28"/>
        <v>0.27083333333333331</v>
      </c>
    </row>
    <row r="104" spans="1:37" x14ac:dyDescent="0.25">
      <c r="A104" s="164" t="s">
        <v>105</v>
      </c>
      <c r="B104" s="91">
        <v>59</v>
      </c>
      <c r="C104" s="91">
        <v>38.700000000000003</v>
      </c>
      <c r="D104" s="91">
        <v>22.6</v>
      </c>
      <c r="E104" s="91">
        <v>53.8</v>
      </c>
      <c r="F104" s="91">
        <v>43.9</v>
      </c>
      <c r="G104" s="91">
        <v>31.4</v>
      </c>
      <c r="H104" s="91">
        <v>31.4</v>
      </c>
      <c r="I104" s="91">
        <v>31.4</v>
      </c>
      <c r="J104" s="91">
        <v>-2.2000000000000002</v>
      </c>
      <c r="K104" s="91">
        <v>-15.3</v>
      </c>
      <c r="L104" s="91">
        <v>-5.0999999999999996</v>
      </c>
      <c r="M104" s="91">
        <v>11.3</v>
      </c>
      <c r="N104" s="91">
        <v>32.5</v>
      </c>
      <c r="O104" s="91">
        <v>1.6</v>
      </c>
      <c r="P104" s="91">
        <v>17</v>
      </c>
      <c r="Q104" s="91">
        <v>15.3</v>
      </c>
      <c r="R104" s="91">
        <v>15.4</v>
      </c>
      <c r="S104" s="91">
        <v>20</v>
      </c>
      <c r="T104" s="91">
        <v>17</v>
      </c>
      <c r="U104" s="91">
        <v>3</v>
      </c>
      <c r="V104" s="91">
        <v>5</v>
      </c>
      <c r="W104" s="91">
        <v>8</v>
      </c>
      <c r="X104" s="91">
        <v>15</v>
      </c>
      <c r="Y104" s="91"/>
      <c r="Z104" s="91">
        <v>28</v>
      </c>
      <c r="AA104" s="91">
        <v>63</v>
      </c>
      <c r="AB104" s="91">
        <v>38.4</v>
      </c>
      <c r="AC104" s="91">
        <v>41.5</v>
      </c>
      <c r="AD104" s="91">
        <v>48.9</v>
      </c>
      <c r="AE104" s="91">
        <v>40</v>
      </c>
      <c r="AF104" s="91">
        <v>53.3</v>
      </c>
      <c r="AG104" s="153"/>
      <c r="AH104" s="54">
        <f t="shared" si="27"/>
        <v>63</v>
      </c>
      <c r="AI104" s="89">
        <f t="shared" si="28"/>
        <v>0.8125</v>
      </c>
    </row>
    <row r="105" spans="1:37" ht="15.75" thickBot="1" x14ac:dyDescent="0.3">
      <c r="A105" s="171" t="s">
        <v>106</v>
      </c>
      <c r="B105" s="82">
        <v>69.400000000000006</v>
      </c>
      <c r="C105" s="82">
        <v>51.2</v>
      </c>
      <c r="D105" s="82">
        <v>68.599999999999994</v>
      </c>
      <c r="E105" s="82">
        <v>70.400000000000006</v>
      </c>
      <c r="F105" s="82">
        <v>80.400000000000006</v>
      </c>
      <c r="G105" s="82">
        <v>72.3</v>
      </c>
      <c r="H105" s="82">
        <v>72.3</v>
      </c>
      <c r="I105" s="82">
        <v>72.3</v>
      </c>
      <c r="J105" s="82">
        <v>69.8</v>
      </c>
      <c r="K105" s="82">
        <v>63.5</v>
      </c>
      <c r="L105" s="82">
        <v>65.099999999999994</v>
      </c>
      <c r="M105" s="82">
        <v>64.2</v>
      </c>
      <c r="N105" s="82">
        <v>54.5</v>
      </c>
      <c r="O105" s="82">
        <v>44.6</v>
      </c>
      <c r="P105" s="82">
        <v>49.7</v>
      </c>
      <c r="Q105" s="82">
        <v>45</v>
      </c>
      <c r="R105" s="82">
        <v>42</v>
      </c>
      <c r="S105" s="82">
        <v>63</v>
      </c>
      <c r="T105" s="82">
        <v>60</v>
      </c>
      <c r="U105" s="82">
        <v>53</v>
      </c>
      <c r="V105" s="82">
        <v>66</v>
      </c>
      <c r="W105" s="82">
        <v>39</v>
      </c>
      <c r="X105" s="82">
        <v>55</v>
      </c>
      <c r="Y105" s="82"/>
      <c r="Z105" s="82">
        <v>62</v>
      </c>
      <c r="AA105" s="82">
        <v>64</v>
      </c>
      <c r="AB105" s="82">
        <v>63.2</v>
      </c>
      <c r="AC105" s="82">
        <v>67.5</v>
      </c>
      <c r="AD105" s="82">
        <v>83.8</v>
      </c>
      <c r="AE105" s="82">
        <v>80.099999999999994</v>
      </c>
      <c r="AF105" s="82">
        <v>78</v>
      </c>
      <c r="AG105" s="153"/>
      <c r="AH105" s="54">
        <f t="shared" si="27"/>
        <v>83.8</v>
      </c>
      <c r="AI105" s="89">
        <f t="shared" si="28"/>
        <v>0.875</v>
      </c>
    </row>
    <row r="106" spans="1:37" ht="15.75" thickBot="1" x14ac:dyDescent="0.3">
      <c r="A106" s="92" t="s">
        <v>79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154"/>
      <c r="AH106" s="94"/>
      <c r="AI106" s="55"/>
      <c r="AK106" s="56"/>
    </row>
    <row r="107" spans="1:37" x14ac:dyDescent="0.25">
      <c r="A107" s="162" t="s">
        <v>133</v>
      </c>
      <c r="B107" s="175">
        <v>9.98</v>
      </c>
      <c r="C107" s="175">
        <v>9.98</v>
      </c>
      <c r="D107" s="175">
        <v>9.98</v>
      </c>
      <c r="E107" s="175">
        <v>9.98</v>
      </c>
      <c r="F107" s="175">
        <v>9.98</v>
      </c>
      <c r="G107" s="175">
        <v>9.98</v>
      </c>
      <c r="H107" s="175">
        <v>9.98</v>
      </c>
      <c r="I107" s="175">
        <v>9.98</v>
      </c>
      <c r="J107" s="175">
        <v>9.98</v>
      </c>
      <c r="K107" s="175">
        <v>9.98</v>
      </c>
      <c r="L107" s="175">
        <v>9.98</v>
      </c>
      <c r="M107" s="175">
        <v>9.98</v>
      </c>
      <c r="N107" s="175">
        <v>9.98</v>
      </c>
      <c r="O107" s="175">
        <v>9.98</v>
      </c>
      <c r="P107" s="175">
        <v>9.98</v>
      </c>
      <c r="Q107" s="175">
        <v>9.98</v>
      </c>
      <c r="R107" s="175">
        <v>9.98</v>
      </c>
      <c r="S107" s="175">
        <v>9.98</v>
      </c>
      <c r="T107" s="175">
        <v>9.98</v>
      </c>
      <c r="U107" s="175">
        <v>9.98</v>
      </c>
      <c r="V107" s="175">
        <v>9.98</v>
      </c>
      <c r="W107" s="175">
        <v>9.98</v>
      </c>
      <c r="X107" s="175">
        <v>9.98</v>
      </c>
      <c r="Y107" s="175">
        <v>9.98</v>
      </c>
      <c r="Z107" s="175">
        <v>9.98</v>
      </c>
      <c r="AA107" s="175">
        <v>9.98</v>
      </c>
      <c r="AB107" s="175">
        <v>9.98</v>
      </c>
      <c r="AC107" s="175">
        <v>9.98</v>
      </c>
      <c r="AD107" s="175">
        <v>9.98</v>
      </c>
      <c r="AE107" s="175">
        <v>9.98</v>
      </c>
      <c r="AF107" s="175">
        <v>9.98</v>
      </c>
      <c r="AG107" s="96">
        <v>9.98</v>
      </c>
      <c r="AH107" s="54"/>
      <c r="AI107" s="55"/>
      <c r="AK107" s="56"/>
    </row>
    <row r="108" spans="1:37" x14ac:dyDescent="0.25">
      <c r="A108" s="163" t="s">
        <v>134</v>
      </c>
      <c r="B108" s="175">
        <v>9.94</v>
      </c>
      <c r="C108" s="175">
        <v>9.94</v>
      </c>
      <c r="D108" s="175">
        <v>9.94</v>
      </c>
      <c r="E108" s="175">
        <v>9.94</v>
      </c>
      <c r="F108" s="175">
        <v>9.94</v>
      </c>
      <c r="G108" s="175">
        <v>9.94</v>
      </c>
      <c r="H108" s="175">
        <v>9.94</v>
      </c>
      <c r="I108" s="175">
        <v>9.94</v>
      </c>
      <c r="J108" s="175">
        <v>9.94</v>
      </c>
      <c r="K108" s="175">
        <v>9.94</v>
      </c>
      <c r="L108" s="175">
        <v>9.94</v>
      </c>
      <c r="M108" s="175">
        <v>9.94</v>
      </c>
      <c r="N108" s="175">
        <v>9.94</v>
      </c>
      <c r="O108" s="175">
        <v>9.94</v>
      </c>
      <c r="P108" s="175">
        <v>9.94</v>
      </c>
      <c r="Q108" s="175">
        <v>9.94</v>
      </c>
      <c r="R108" s="175">
        <v>9.94</v>
      </c>
      <c r="S108" s="175">
        <v>9.94</v>
      </c>
      <c r="T108" s="175">
        <v>9.94</v>
      </c>
      <c r="U108" s="175">
        <v>9.94</v>
      </c>
      <c r="V108" s="175">
        <v>9.94</v>
      </c>
      <c r="W108" s="175">
        <v>9.94</v>
      </c>
      <c r="X108" s="175">
        <v>9.94</v>
      </c>
      <c r="Y108" s="175">
        <v>9.94</v>
      </c>
      <c r="Z108" s="175">
        <v>9.94</v>
      </c>
      <c r="AA108" s="175">
        <v>9.94</v>
      </c>
      <c r="AB108" s="175">
        <v>9.94</v>
      </c>
      <c r="AC108" s="175">
        <v>9.94</v>
      </c>
      <c r="AD108" s="175">
        <v>9.94</v>
      </c>
      <c r="AE108" s="175">
        <v>9.94</v>
      </c>
      <c r="AF108" s="175">
        <v>9.94</v>
      </c>
      <c r="AG108" s="96">
        <v>9.94</v>
      </c>
      <c r="AH108" s="54"/>
      <c r="AI108" s="55"/>
      <c r="AK108" s="56"/>
    </row>
    <row r="109" spans="1:37" x14ac:dyDescent="0.25">
      <c r="A109" s="163" t="s">
        <v>135</v>
      </c>
      <c r="B109" s="175">
        <v>9.9</v>
      </c>
      <c r="C109" s="175">
        <v>9.9</v>
      </c>
      <c r="D109" s="175">
        <v>9.9</v>
      </c>
      <c r="E109" s="175">
        <v>9.9</v>
      </c>
      <c r="F109" s="175">
        <v>9.9</v>
      </c>
      <c r="G109" s="175">
        <v>9.9</v>
      </c>
      <c r="H109" s="175">
        <v>9.9</v>
      </c>
      <c r="I109" s="175">
        <v>9.9</v>
      </c>
      <c r="J109" s="175">
        <v>9.9</v>
      </c>
      <c r="K109" s="175">
        <v>9.9</v>
      </c>
      <c r="L109" s="175">
        <v>9.9</v>
      </c>
      <c r="M109" s="175">
        <v>9.9</v>
      </c>
      <c r="N109" s="175">
        <v>9.9</v>
      </c>
      <c r="O109" s="175">
        <v>9.9</v>
      </c>
      <c r="P109" s="175">
        <v>9.9</v>
      </c>
      <c r="Q109" s="175">
        <v>9.9</v>
      </c>
      <c r="R109" s="175">
        <v>9.9</v>
      </c>
      <c r="S109" s="175">
        <v>9.9</v>
      </c>
      <c r="T109" s="175">
        <v>9.9</v>
      </c>
      <c r="U109" s="175">
        <v>9.9</v>
      </c>
      <c r="V109" s="175">
        <v>9.9</v>
      </c>
      <c r="W109" s="175">
        <v>9.9</v>
      </c>
      <c r="X109" s="175">
        <v>9.9</v>
      </c>
      <c r="Y109" s="175">
        <v>9.9</v>
      </c>
      <c r="Z109" s="175">
        <v>9.9</v>
      </c>
      <c r="AA109" s="175">
        <v>9.9</v>
      </c>
      <c r="AB109" s="175">
        <v>9.9</v>
      </c>
      <c r="AC109" s="175">
        <v>9.9</v>
      </c>
      <c r="AD109" s="175">
        <v>9.9</v>
      </c>
      <c r="AE109" s="175">
        <v>9.9</v>
      </c>
      <c r="AF109" s="175">
        <v>9.9</v>
      </c>
      <c r="AG109" s="96">
        <v>9.9</v>
      </c>
      <c r="AH109" s="54"/>
      <c r="AI109" s="55"/>
      <c r="AK109" s="56"/>
    </row>
    <row r="110" spans="1:37" x14ac:dyDescent="0.25">
      <c r="A110" s="163" t="s">
        <v>136</v>
      </c>
      <c r="B110" s="175">
        <v>9.6579999999999995</v>
      </c>
      <c r="C110" s="175">
        <v>9.6579999999999995</v>
      </c>
      <c r="D110" s="175">
        <v>9.6579999999999995</v>
      </c>
      <c r="E110" s="175">
        <v>9.6579999999999995</v>
      </c>
      <c r="F110" s="175">
        <v>9.6579999999999995</v>
      </c>
      <c r="G110" s="175">
        <v>9.6579999999999995</v>
      </c>
      <c r="H110" s="175">
        <v>9.6579999999999995</v>
      </c>
      <c r="I110" s="175">
        <v>9.6579999999999995</v>
      </c>
      <c r="J110" s="175">
        <v>9.6579999999999995</v>
      </c>
      <c r="K110" s="175">
        <v>9.6579999999999995</v>
      </c>
      <c r="L110" s="175">
        <v>9.6579999999999995</v>
      </c>
      <c r="M110" s="175">
        <v>9.6579999999999995</v>
      </c>
      <c r="N110" s="175">
        <v>9.6579999999999995</v>
      </c>
      <c r="O110" s="175">
        <v>9.6579999999999995</v>
      </c>
      <c r="P110" s="175">
        <v>9.6579999999999995</v>
      </c>
      <c r="Q110" s="175">
        <v>9.6579999999999995</v>
      </c>
      <c r="R110" s="175">
        <v>9.6579999999999995</v>
      </c>
      <c r="S110" s="175">
        <v>9.6579999999999995</v>
      </c>
      <c r="T110" s="175">
        <v>9.6579999999999995</v>
      </c>
      <c r="U110" s="175">
        <v>9.6579999999999995</v>
      </c>
      <c r="V110" s="175">
        <v>9.6579999999999995</v>
      </c>
      <c r="W110" s="175">
        <v>9.6579999999999995</v>
      </c>
      <c r="X110" s="175">
        <v>9.6579999999999995</v>
      </c>
      <c r="Y110" s="175">
        <v>9.6579999999999995</v>
      </c>
      <c r="Z110" s="175">
        <v>9.6579999999999995</v>
      </c>
      <c r="AA110" s="175">
        <v>9.6579999999999995</v>
      </c>
      <c r="AB110" s="175">
        <v>9.6579999999999995</v>
      </c>
      <c r="AC110" s="175">
        <v>9.6579999999999995</v>
      </c>
      <c r="AD110" s="175">
        <v>9.6579999999999995</v>
      </c>
      <c r="AE110" s="175">
        <v>9.6579999999999995</v>
      </c>
      <c r="AF110" s="175">
        <v>9.6579999999999995</v>
      </c>
      <c r="AG110" s="96">
        <v>9.6579999999999995</v>
      </c>
      <c r="AH110" s="54"/>
      <c r="AI110" s="55"/>
      <c r="AK110" s="56"/>
    </row>
    <row r="111" spans="1:37" x14ac:dyDescent="0.25">
      <c r="A111" s="163" t="s">
        <v>137</v>
      </c>
      <c r="B111" s="175">
        <v>9.6</v>
      </c>
      <c r="C111" s="175">
        <v>9.6</v>
      </c>
      <c r="D111" s="175">
        <v>9.6</v>
      </c>
      <c r="E111" s="175">
        <v>9.6</v>
      </c>
      <c r="F111" s="175">
        <v>9.6</v>
      </c>
      <c r="G111" s="175">
        <v>9.6</v>
      </c>
      <c r="H111" s="175">
        <v>9.6</v>
      </c>
      <c r="I111" s="175">
        <v>9.6</v>
      </c>
      <c r="J111" s="175">
        <v>9.6</v>
      </c>
      <c r="K111" s="175">
        <v>9.6</v>
      </c>
      <c r="L111" s="175">
        <v>9.6</v>
      </c>
      <c r="M111" s="175">
        <v>9.6</v>
      </c>
      <c r="N111" s="175">
        <v>9.6</v>
      </c>
      <c r="O111" s="175">
        <v>9.6</v>
      </c>
      <c r="P111" s="175">
        <v>9.6</v>
      </c>
      <c r="Q111" s="175">
        <v>9.6</v>
      </c>
      <c r="R111" s="175">
        <v>9.6</v>
      </c>
      <c r="S111" s="175">
        <v>9.6</v>
      </c>
      <c r="T111" s="175">
        <v>9.6</v>
      </c>
      <c r="U111" s="175">
        <v>9.6</v>
      </c>
      <c r="V111" s="175">
        <v>9.6</v>
      </c>
      <c r="W111" s="175">
        <v>9.6</v>
      </c>
      <c r="X111" s="175">
        <v>9.6</v>
      </c>
      <c r="Y111" s="175">
        <v>9.6</v>
      </c>
      <c r="Z111" s="175">
        <v>9.6</v>
      </c>
      <c r="AA111" s="175">
        <v>9.6</v>
      </c>
      <c r="AB111" s="175">
        <v>9.6</v>
      </c>
      <c r="AC111" s="175">
        <v>9.6</v>
      </c>
      <c r="AD111" s="175">
        <v>9.6</v>
      </c>
      <c r="AE111" s="175">
        <v>9.6</v>
      </c>
      <c r="AF111" s="175">
        <v>9.6</v>
      </c>
      <c r="AG111" s="96">
        <v>9.6</v>
      </c>
      <c r="AH111" s="54"/>
      <c r="AI111" s="55"/>
      <c r="AK111" s="56"/>
    </row>
    <row r="112" spans="1:37" x14ac:dyDescent="0.25">
      <c r="A112" s="163" t="s">
        <v>138</v>
      </c>
      <c r="B112" s="175">
        <v>9.51</v>
      </c>
      <c r="C112" s="175">
        <v>9.51</v>
      </c>
      <c r="D112" s="175">
        <v>9.51</v>
      </c>
      <c r="E112" s="175">
        <v>9.51</v>
      </c>
      <c r="F112" s="175">
        <v>9.51</v>
      </c>
      <c r="G112" s="175">
        <v>9.51</v>
      </c>
      <c r="H112" s="175">
        <v>9.51</v>
      </c>
      <c r="I112" s="175">
        <v>9.51</v>
      </c>
      <c r="J112" s="175">
        <v>9.51</v>
      </c>
      <c r="K112" s="175">
        <v>9.51</v>
      </c>
      <c r="L112" s="175">
        <v>9.51</v>
      </c>
      <c r="M112" s="175">
        <v>9.51</v>
      </c>
      <c r="N112" s="175">
        <v>9.51</v>
      </c>
      <c r="O112" s="175">
        <v>9.51</v>
      </c>
      <c r="P112" s="175">
        <v>9.51</v>
      </c>
      <c r="Q112" s="175">
        <v>9.51</v>
      </c>
      <c r="R112" s="175">
        <v>9.51</v>
      </c>
      <c r="S112" s="175">
        <v>9.51</v>
      </c>
      <c r="T112" s="175">
        <v>9.51</v>
      </c>
      <c r="U112" s="175">
        <v>9.51</v>
      </c>
      <c r="V112" s="175">
        <v>9.51</v>
      </c>
      <c r="W112" s="175">
        <v>9.51</v>
      </c>
      <c r="X112" s="175">
        <v>9.51</v>
      </c>
      <c r="Y112" s="175">
        <v>9.51</v>
      </c>
      <c r="Z112" s="175">
        <v>9.51</v>
      </c>
      <c r="AA112" s="175">
        <v>9.51</v>
      </c>
      <c r="AB112" s="175">
        <v>9.51</v>
      </c>
      <c r="AC112" s="175">
        <v>9.51</v>
      </c>
      <c r="AD112" s="175">
        <v>9.51</v>
      </c>
      <c r="AE112" s="175">
        <v>9.51</v>
      </c>
      <c r="AF112" s="175">
        <v>9.51</v>
      </c>
      <c r="AG112" s="96">
        <v>9.51</v>
      </c>
      <c r="AH112" s="54"/>
      <c r="AI112" s="55"/>
      <c r="AK112" s="56"/>
    </row>
    <row r="113" spans="1:37" x14ac:dyDescent="0.25">
      <c r="A113" s="163" t="s">
        <v>139</v>
      </c>
      <c r="B113" s="175">
        <v>9.4</v>
      </c>
      <c r="C113" s="175">
        <v>9.4</v>
      </c>
      <c r="D113" s="175">
        <v>9.4</v>
      </c>
      <c r="E113" s="175">
        <v>9.4</v>
      </c>
      <c r="F113" s="175">
        <v>9.4</v>
      </c>
      <c r="G113" s="175">
        <v>9.4</v>
      </c>
      <c r="H113" s="175">
        <v>9.4</v>
      </c>
      <c r="I113" s="175">
        <v>9.4</v>
      </c>
      <c r="J113" s="175">
        <v>9.4</v>
      </c>
      <c r="K113" s="175">
        <v>9.4</v>
      </c>
      <c r="L113" s="175">
        <v>9.4</v>
      </c>
      <c r="M113" s="175">
        <v>9.4</v>
      </c>
      <c r="N113" s="175">
        <v>9.4</v>
      </c>
      <c r="O113" s="175">
        <v>9.4</v>
      </c>
      <c r="P113" s="175">
        <v>9.4</v>
      </c>
      <c r="Q113" s="175">
        <v>9.4</v>
      </c>
      <c r="R113" s="175">
        <v>9.4</v>
      </c>
      <c r="S113" s="175">
        <v>9.4</v>
      </c>
      <c r="T113" s="175">
        <v>9.4</v>
      </c>
      <c r="U113" s="175">
        <v>9.4</v>
      </c>
      <c r="V113" s="175">
        <v>9.4</v>
      </c>
      <c r="W113" s="175">
        <v>9.4</v>
      </c>
      <c r="X113" s="175">
        <v>9.4</v>
      </c>
      <c r="Y113" s="175">
        <v>9.4</v>
      </c>
      <c r="Z113" s="175">
        <v>9.4</v>
      </c>
      <c r="AA113" s="175">
        <v>9.4</v>
      </c>
      <c r="AB113" s="175">
        <v>9.4</v>
      </c>
      <c r="AC113" s="175">
        <v>9.4</v>
      </c>
      <c r="AD113" s="175">
        <v>9.4</v>
      </c>
      <c r="AE113" s="175">
        <v>9.4</v>
      </c>
      <c r="AF113" s="175">
        <v>9.4</v>
      </c>
      <c r="AG113" s="96">
        <v>9.4</v>
      </c>
      <c r="AH113" s="54"/>
      <c r="AI113" s="55"/>
      <c r="AK113" s="56"/>
    </row>
    <row r="114" spans="1:37" x14ac:dyDescent="0.25">
      <c r="A114" s="163" t="s">
        <v>140</v>
      </c>
      <c r="B114" s="175">
        <v>8.8000000000000007</v>
      </c>
      <c r="C114" s="175">
        <v>8.8000000000000007</v>
      </c>
      <c r="D114" s="175">
        <v>8.8000000000000007</v>
      </c>
      <c r="E114" s="175">
        <v>8.8000000000000007</v>
      </c>
      <c r="F114" s="175">
        <v>8.8000000000000007</v>
      </c>
      <c r="G114" s="175">
        <v>8.8000000000000007</v>
      </c>
      <c r="H114" s="175">
        <v>8.8000000000000007</v>
      </c>
      <c r="I114" s="175">
        <v>8.8000000000000007</v>
      </c>
      <c r="J114" s="175">
        <v>8.8000000000000007</v>
      </c>
      <c r="K114" s="175">
        <v>8.8000000000000007</v>
      </c>
      <c r="L114" s="175">
        <v>8.8000000000000007</v>
      </c>
      <c r="M114" s="175">
        <v>8.8000000000000007</v>
      </c>
      <c r="N114" s="175">
        <v>8.8000000000000007</v>
      </c>
      <c r="O114" s="175">
        <v>8.8000000000000007</v>
      </c>
      <c r="P114" s="175">
        <v>8.8000000000000007</v>
      </c>
      <c r="Q114" s="175">
        <v>8.8000000000000007</v>
      </c>
      <c r="R114" s="175">
        <v>8.8000000000000007</v>
      </c>
      <c r="S114" s="175">
        <v>8.8000000000000007</v>
      </c>
      <c r="T114" s="175">
        <v>8.8000000000000007</v>
      </c>
      <c r="U114" s="175">
        <v>8.8000000000000007</v>
      </c>
      <c r="V114" s="175">
        <v>8.8000000000000007</v>
      </c>
      <c r="W114" s="175">
        <v>8.8000000000000007</v>
      </c>
      <c r="X114" s="175">
        <v>8.8000000000000007</v>
      </c>
      <c r="Y114" s="175">
        <v>8.8000000000000007</v>
      </c>
      <c r="Z114" s="175">
        <v>8.8000000000000007</v>
      </c>
      <c r="AA114" s="175">
        <v>8.8000000000000007</v>
      </c>
      <c r="AB114" s="175">
        <v>8.8000000000000007</v>
      </c>
      <c r="AC114" s="175">
        <v>8.8000000000000007</v>
      </c>
      <c r="AD114" s="175">
        <v>8.8000000000000007</v>
      </c>
      <c r="AE114" s="175">
        <v>8.8000000000000007</v>
      </c>
      <c r="AF114" s="175">
        <v>8.8000000000000007</v>
      </c>
      <c r="AG114" s="96">
        <v>8.8000000000000007</v>
      </c>
      <c r="AH114" s="54"/>
      <c r="AI114" s="55"/>
      <c r="AK114" s="56"/>
    </row>
    <row r="115" spans="1:37" x14ac:dyDescent="0.25">
      <c r="A115" s="163" t="s">
        <v>141</v>
      </c>
      <c r="B115" s="175">
        <v>8.5</v>
      </c>
      <c r="C115" s="175">
        <v>8.5</v>
      </c>
      <c r="D115" s="175">
        <v>8.5</v>
      </c>
      <c r="E115" s="175">
        <v>8.5</v>
      </c>
      <c r="F115" s="175">
        <v>8.5</v>
      </c>
      <c r="G115" s="175">
        <v>8.5</v>
      </c>
      <c r="H115" s="175">
        <v>8.5</v>
      </c>
      <c r="I115" s="175">
        <v>8.5</v>
      </c>
      <c r="J115" s="175">
        <v>8.5</v>
      </c>
      <c r="K115" s="175">
        <v>8.5</v>
      </c>
      <c r="L115" s="175">
        <v>8.5</v>
      </c>
      <c r="M115" s="175">
        <v>8.5</v>
      </c>
      <c r="N115" s="175">
        <v>8.5</v>
      </c>
      <c r="O115" s="175">
        <v>8.5</v>
      </c>
      <c r="P115" s="175">
        <v>8.5</v>
      </c>
      <c r="Q115" s="175">
        <v>8.5</v>
      </c>
      <c r="R115" s="175">
        <v>8.5</v>
      </c>
      <c r="S115" s="175">
        <v>8.5</v>
      </c>
      <c r="T115" s="175">
        <v>8.5</v>
      </c>
      <c r="U115" s="175">
        <v>8.5</v>
      </c>
      <c r="V115" s="175">
        <v>8.5</v>
      </c>
      <c r="W115" s="175">
        <v>8.5</v>
      </c>
      <c r="X115" s="175">
        <v>8.5</v>
      </c>
      <c r="Y115" s="175">
        <v>8.5</v>
      </c>
      <c r="Z115" s="175">
        <v>8.5</v>
      </c>
      <c r="AA115" s="175">
        <v>8.5</v>
      </c>
      <c r="AB115" s="175">
        <v>8.5</v>
      </c>
      <c r="AC115" s="175">
        <v>8.5</v>
      </c>
      <c r="AD115" s="175">
        <v>8.5</v>
      </c>
      <c r="AE115" s="175">
        <v>8.5</v>
      </c>
      <c r="AF115" s="175">
        <v>8.5</v>
      </c>
      <c r="AG115" s="96">
        <v>8.5</v>
      </c>
      <c r="AH115" s="54"/>
      <c r="AI115" s="55"/>
      <c r="AK115" s="56"/>
    </row>
    <row r="116" spans="1:37" x14ac:dyDescent="0.25">
      <c r="A116" s="163" t="s">
        <v>142</v>
      </c>
      <c r="B116" s="175">
        <v>8.5</v>
      </c>
      <c r="C116" s="175">
        <v>8.5</v>
      </c>
      <c r="D116" s="175">
        <v>8.5</v>
      </c>
      <c r="E116" s="175">
        <v>8.5</v>
      </c>
      <c r="F116" s="175">
        <v>8.5</v>
      </c>
      <c r="G116" s="175">
        <v>8.5</v>
      </c>
      <c r="H116" s="175">
        <v>8.5</v>
      </c>
      <c r="I116" s="175">
        <v>8.5</v>
      </c>
      <c r="J116" s="175">
        <v>8.5</v>
      </c>
      <c r="K116" s="175">
        <v>8.5</v>
      </c>
      <c r="L116" s="175">
        <v>8.5</v>
      </c>
      <c r="M116" s="175">
        <v>8.5</v>
      </c>
      <c r="N116" s="175">
        <v>8.5</v>
      </c>
      <c r="O116" s="175">
        <v>8.5</v>
      </c>
      <c r="P116" s="175">
        <v>8.5</v>
      </c>
      <c r="Q116" s="175">
        <v>8.5</v>
      </c>
      <c r="R116" s="175">
        <v>8.5</v>
      </c>
      <c r="S116" s="175">
        <v>8.5</v>
      </c>
      <c r="T116" s="175">
        <v>8.5</v>
      </c>
      <c r="U116" s="175">
        <v>8.5</v>
      </c>
      <c r="V116" s="175">
        <v>8.5</v>
      </c>
      <c r="W116" s="175">
        <v>8.5</v>
      </c>
      <c r="X116" s="175">
        <v>8.5</v>
      </c>
      <c r="Y116" s="175">
        <v>8.5</v>
      </c>
      <c r="Z116" s="175">
        <v>8.5</v>
      </c>
      <c r="AA116" s="175">
        <v>8.5</v>
      </c>
      <c r="AB116" s="175">
        <v>8.5</v>
      </c>
      <c r="AC116" s="175">
        <v>8.5</v>
      </c>
      <c r="AD116" s="175">
        <v>8.5</v>
      </c>
      <c r="AE116" s="175">
        <v>8.5</v>
      </c>
      <c r="AF116" s="175">
        <v>8.5</v>
      </c>
      <c r="AG116" s="96">
        <v>8.5</v>
      </c>
      <c r="AH116" s="54"/>
      <c r="AI116" s="55"/>
      <c r="AK116" s="56"/>
    </row>
    <row r="117" spans="1:37" x14ac:dyDescent="0.25">
      <c r="A117" s="163" t="s">
        <v>143</v>
      </c>
      <c r="B117" s="175">
        <v>8.5</v>
      </c>
      <c r="C117" s="175">
        <v>8.5</v>
      </c>
      <c r="D117" s="175">
        <v>8.5</v>
      </c>
      <c r="E117" s="175">
        <v>8.5</v>
      </c>
      <c r="F117" s="175">
        <v>8.5</v>
      </c>
      <c r="G117" s="175">
        <v>8.5</v>
      </c>
      <c r="H117" s="175">
        <v>8.5</v>
      </c>
      <c r="I117" s="175">
        <v>8.5</v>
      </c>
      <c r="J117" s="175">
        <v>8.5</v>
      </c>
      <c r="K117" s="175">
        <v>8.5</v>
      </c>
      <c r="L117" s="175">
        <v>8.5</v>
      </c>
      <c r="M117" s="175">
        <v>8.5</v>
      </c>
      <c r="N117" s="175">
        <v>8.5</v>
      </c>
      <c r="O117" s="175">
        <v>8.5</v>
      </c>
      <c r="P117" s="175">
        <v>8.5</v>
      </c>
      <c r="Q117" s="175">
        <v>8.5</v>
      </c>
      <c r="R117" s="175">
        <v>8.5</v>
      </c>
      <c r="S117" s="175">
        <v>8.5</v>
      </c>
      <c r="T117" s="175">
        <v>8.5</v>
      </c>
      <c r="U117" s="175">
        <v>8.5</v>
      </c>
      <c r="V117" s="175">
        <v>8.5</v>
      </c>
      <c r="W117" s="175">
        <v>8.5</v>
      </c>
      <c r="X117" s="175">
        <v>8.5</v>
      </c>
      <c r="Y117" s="175">
        <v>8.5</v>
      </c>
      <c r="Z117" s="175">
        <v>8.5</v>
      </c>
      <c r="AA117" s="175">
        <v>8.5</v>
      </c>
      <c r="AB117" s="175">
        <v>8.5</v>
      </c>
      <c r="AC117" s="175">
        <v>8.5</v>
      </c>
      <c r="AD117" s="175">
        <v>8.5</v>
      </c>
      <c r="AE117" s="175">
        <v>8.5</v>
      </c>
      <c r="AF117" s="175">
        <v>8.5</v>
      </c>
      <c r="AG117" s="96">
        <v>8.5</v>
      </c>
      <c r="AH117" s="54"/>
      <c r="AI117" s="55"/>
      <c r="AK117" s="56"/>
    </row>
    <row r="118" spans="1:37" x14ac:dyDescent="0.25">
      <c r="A118" s="163" t="s">
        <v>144</v>
      </c>
      <c r="B118" s="175">
        <v>8.4</v>
      </c>
      <c r="C118" s="175">
        <v>8.4</v>
      </c>
      <c r="D118" s="175">
        <v>8.4</v>
      </c>
      <c r="E118" s="175">
        <v>8.4</v>
      </c>
      <c r="F118" s="175">
        <v>8.4</v>
      </c>
      <c r="G118" s="175">
        <v>8.4</v>
      </c>
      <c r="H118" s="175">
        <v>8.4</v>
      </c>
      <c r="I118" s="175">
        <v>8.4</v>
      </c>
      <c r="J118" s="175">
        <v>8.4</v>
      </c>
      <c r="K118" s="175">
        <v>8.4</v>
      </c>
      <c r="L118" s="175">
        <v>8.4</v>
      </c>
      <c r="M118" s="175">
        <v>8.4</v>
      </c>
      <c r="N118" s="175">
        <v>8.4</v>
      </c>
      <c r="O118" s="175">
        <v>8.4</v>
      </c>
      <c r="P118" s="175">
        <v>8.4</v>
      </c>
      <c r="Q118" s="175">
        <v>8.4</v>
      </c>
      <c r="R118" s="175">
        <v>8.4</v>
      </c>
      <c r="S118" s="175">
        <v>8.4</v>
      </c>
      <c r="T118" s="175">
        <v>8.4</v>
      </c>
      <c r="U118" s="175">
        <v>8.4</v>
      </c>
      <c r="V118" s="175">
        <v>8.4</v>
      </c>
      <c r="W118" s="175">
        <v>8.4</v>
      </c>
      <c r="X118" s="175">
        <v>8.4</v>
      </c>
      <c r="Y118" s="175">
        <v>8.4</v>
      </c>
      <c r="Z118" s="175">
        <v>8.4</v>
      </c>
      <c r="AA118" s="175">
        <v>8.4</v>
      </c>
      <c r="AB118" s="175">
        <v>8.4</v>
      </c>
      <c r="AC118" s="175">
        <v>8.4</v>
      </c>
      <c r="AD118" s="175">
        <v>8.4</v>
      </c>
      <c r="AE118" s="175">
        <v>8.4</v>
      </c>
      <c r="AF118" s="175">
        <v>8.4</v>
      </c>
      <c r="AG118" s="96">
        <v>8.4</v>
      </c>
      <c r="AH118" s="54"/>
      <c r="AI118" s="55"/>
      <c r="AK118" s="56"/>
    </row>
    <row r="119" spans="1:37" x14ac:dyDescent="0.25">
      <c r="A119" s="163" t="s">
        <v>145</v>
      </c>
      <c r="B119" s="175">
        <v>8</v>
      </c>
      <c r="C119" s="175">
        <v>8</v>
      </c>
      <c r="D119" s="175">
        <v>8</v>
      </c>
      <c r="E119" s="175">
        <v>8</v>
      </c>
      <c r="F119" s="175">
        <v>8</v>
      </c>
      <c r="G119" s="175">
        <v>8</v>
      </c>
      <c r="H119" s="175">
        <v>8</v>
      </c>
      <c r="I119" s="175">
        <v>8</v>
      </c>
      <c r="J119" s="175">
        <v>8</v>
      </c>
      <c r="K119" s="175">
        <v>8</v>
      </c>
      <c r="L119" s="175">
        <v>8</v>
      </c>
      <c r="M119" s="175">
        <v>8</v>
      </c>
      <c r="N119" s="175">
        <v>8</v>
      </c>
      <c r="O119" s="175">
        <v>8</v>
      </c>
      <c r="P119" s="175">
        <v>8</v>
      </c>
      <c r="Q119" s="175">
        <v>8</v>
      </c>
      <c r="R119" s="175">
        <v>8</v>
      </c>
      <c r="S119" s="175">
        <v>8</v>
      </c>
      <c r="T119" s="175">
        <v>8</v>
      </c>
      <c r="U119" s="175">
        <v>8</v>
      </c>
      <c r="V119" s="175">
        <v>8</v>
      </c>
      <c r="W119" s="175">
        <v>8</v>
      </c>
      <c r="X119" s="175">
        <v>8</v>
      </c>
      <c r="Y119" s="175">
        <v>8</v>
      </c>
      <c r="Z119" s="175">
        <v>8</v>
      </c>
      <c r="AA119" s="175">
        <v>8</v>
      </c>
      <c r="AB119" s="175">
        <v>8</v>
      </c>
      <c r="AC119" s="175">
        <v>8</v>
      </c>
      <c r="AD119" s="175">
        <v>8</v>
      </c>
      <c r="AE119" s="175">
        <v>8</v>
      </c>
      <c r="AF119" s="175">
        <v>8</v>
      </c>
      <c r="AG119" s="96">
        <v>8</v>
      </c>
      <c r="AH119" s="54"/>
      <c r="AI119" s="55"/>
      <c r="AK119" s="56"/>
    </row>
    <row r="120" spans="1:37" x14ac:dyDescent="0.25">
      <c r="A120" s="163" t="s">
        <v>146</v>
      </c>
      <c r="B120" s="175">
        <v>8</v>
      </c>
      <c r="C120" s="175">
        <v>8</v>
      </c>
      <c r="D120" s="175">
        <v>8</v>
      </c>
      <c r="E120" s="175">
        <v>8</v>
      </c>
      <c r="F120" s="175">
        <v>8</v>
      </c>
      <c r="G120" s="175">
        <v>8</v>
      </c>
      <c r="H120" s="175">
        <v>8</v>
      </c>
      <c r="I120" s="175">
        <v>8</v>
      </c>
      <c r="J120" s="175">
        <v>8</v>
      </c>
      <c r="K120" s="175">
        <v>8</v>
      </c>
      <c r="L120" s="175">
        <v>8</v>
      </c>
      <c r="M120" s="175">
        <v>8</v>
      </c>
      <c r="N120" s="175">
        <v>8</v>
      </c>
      <c r="O120" s="175">
        <v>8</v>
      </c>
      <c r="P120" s="175">
        <v>8</v>
      </c>
      <c r="Q120" s="175">
        <v>8</v>
      </c>
      <c r="R120" s="175">
        <v>8</v>
      </c>
      <c r="S120" s="175">
        <v>8</v>
      </c>
      <c r="T120" s="175">
        <v>8</v>
      </c>
      <c r="U120" s="175">
        <v>8</v>
      </c>
      <c r="V120" s="175">
        <v>8</v>
      </c>
      <c r="W120" s="175">
        <v>8</v>
      </c>
      <c r="X120" s="175">
        <v>8</v>
      </c>
      <c r="Y120" s="175">
        <v>8</v>
      </c>
      <c r="Z120" s="175">
        <v>8</v>
      </c>
      <c r="AA120" s="175">
        <v>8</v>
      </c>
      <c r="AB120" s="175">
        <v>8</v>
      </c>
      <c r="AC120" s="175">
        <v>8</v>
      </c>
      <c r="AD120" s="175">
        <v>8</v>
      </c>
      <c r="AE120" s="175">
        <v>8</v>
      </c>
      <c r="AF120" s="175">
        <v>8</v>
      </c>
      <c r="AG120" s="96">
        <v>8</v>
      </c>
      <c r="AH120" s="54"/>
      <c r="AI120" s="55"/>
      <c r="AK120" s="56"/>
    </row>
    <row r="121" spans="1:37" x14ac:dyDescent="0.25">
      <c r="A121" s="163" t="s">
        <v>147</v>
      </c>
      <c r="B121" s="175">
        <v>8</v>
      </c>
      <c r="C121" s="175">
        <v>8</v>
      </c>
      <c r="D121" s="175">
        <v>8</v>
      </c>
      <c r="E121" s="175">
        <v>8</v>
      </c>
      <c r="F121" s="175">
        <v>8</v>
      </c>
      <c r="G121" s="175">
        <v>8</v>
      </c>
      <c r="H121" s="175">
        <v>8</v>
      </c>
      <c r="I121" s="175">
        <v>8</v>
      </c>
      <c r="J121" s="175">
        <v>8</v>
      </c>
      <c r="K121" s="175">
        <v>8</v>
      </c>
      <c r="L121" s="175">
        <v>8</v>
      </c>
      <c r="M121" s="175">
        <v>8</v>
      </c>
      <c r="N121" s="175">
        <v>8</v>
      </c>
      <c r="O121" s="175">
        <v>8</v>
      </c>
      <c r="P121" s="175">
        <v>8</v>
      </c>
      <c r="Q121" s="175">
        <v>8</v>
      </c>
      <c r="R121" s="175">
        <v>8</v>
      </c>
      <c r="S121" s="175">
        <v>8</v>
      </c>
      <c r="T121" s="175">
        <v>8</v>
      </c>
      <c r="U121" s="175">
        <v>8</v>
      </c>
      <c r="V121" s="175">
        <v>8</v>
      </c>
      <c r="W121" s="175">
        <v>8</v>
      </c>
      <c r="X121" s="175">
        <v>8</v>
      </c>
      <c r="Y121" s="175">
        <v>8</v>
      </c>
      <c r="Z121" s="175">
        <v>8</v>
      </c>
      <c r="AA121" s="175">
        <v>8</v>
      </c>
      <c r="AB121" s="175">
        <v>8</v>
      </c>
      <c r="AC121" s="175">
        <v>8</v>
      </c>
      <c r="AD121" s="175">
        <v>8</v>
      </c>
      <c r="AE121" s="175">
        <v>8</v>
      </c>
      <c r="AF121" s="175">
        <v>0</v>
      </c>
      <c r="AG121" s="96">
        <v>8</v>
      </c>
      <c r="AH121" s="54"/>
      <c r="AI121" s="55"/>
      <c r="AK121" s="56"/>
    </row>
    <row r="122" spans="1:37" x14ac:dyDescent="0.25">
      <c r="A122" s="163" t="s">
        <v>148</v>
      </c>
      <c r="B122" s="175">
        <v>7.8</v>
      </c>
      <c r="C122" s="175">
        <v>7.8</v>
      </c>
      <c r="D122" s="175">
        <v>7.8</v>
      </c>
      <c r="E122" s="175">
        <v>7.8</v>
      </c>
      <c r="F122" s="175">
        <v>7.8</v>
      </c>
      <c r="G122" s="175">
        <v>7.8</v>
      </c>
      <c r="H122" s="175">
        <v>7.8</v>
      </c>
      <c r="I122" s="175">
        <v>7.8</v>
      </c>
      <c r="J122" s="175">
        <v>7.8</v>
      </c>
      <c r="K122" s="175">
        <v>7.8</v>
      </c>
      <c r="L122" s="175">
        <v>7.8</v>
      </c>
      <c r="M122" s="175">
        <v>7.8</v>
      </c>
      <c r="N122" s="175">
        <v>7.8</v>
      </c>
      <c r="O122" s="175">
        <v>7.8</v>
      </c>
      <c r="P122" s="175">
        <v>7.8</v>
      </c>
      <c r="Q122" s="175">
        <v>7.8</v>
      </c>
      <c r="R122" s="175">
        <v>7.8</v>
      </c>
      <c r="S122" s="175">
        <v>7.8</v>
      </c>
      <c r="T122" s="175">
        <v>7.8</v>
      </c>
      <c r="U122" s="175">
        <v>7.8</v>
      </c>
      <c r="V122" s="175">
        <v>7.8</v>
      </c>
      <c r="W122" s="175">
        <v>7.8</v>
      </c>
      <c r="X122" s="175">
        <v>7.8</v>
      </c>
      <c r="Y122" s="175">
        <v>7.8</v>
      </c>
      <c r="Z122" s="175">
        <v>7.8</v>
      </c>
      <c r="AA122" s="175">
        <v>7.8</v>
      </c>
      <c r="AB122" s="175">
        <v>7.8</v>
      </c>
      <c r="AC122" s="175">
        <v>7.8</v>
      </c>
      <c r="AD122" s="175">
        <v>7.8</v>
      </c>
      <c r="AE122" s="175">
        <v>7.8</v>
      </c>
      <c r="AF122" s="175">
        <v>7.8</v>
      </c>
      <c r="AG122" s="96">
        <v>7.8</v>
      </c>
      <c r="AH122" s="54"/>
      <c r="AI122" s="55"/>
      <c r="AK122" s="56"/>
    </row>
    <row r="123" spans="1:37" x14ac:dyDescent="0.25">
      <c r="A123" s="163" t="s">
        <v>149</v>
      </c>
      <c r="B123" s="176">
        <v>7.6</v>
      </c>
      <c r="C123" s="176">
        <v>7.6</v>
      </c>
      <c r="D123" s="176">
        <v>7.6</v>
      </c>
      <c r="E123" s="176">
        <v>7.6</v>
      </c>
      <c r="F123" s="176">
        <v>7.6</v>
      </c>
      <c r="G123" s="176">
        <v>7.6</v>
      </c>
      <c r="H123" s="176">
        <v>7.6</v>
      </c>
      <c r="I123" s="176">
        <v>7.6</v>
      </c>
      <c r="J123" s="176">
        <v>7.6</v>
      </c>
      <c r="K123" s="176">
        <v>7.6</v>
      </c>
      <c r="L123" s="176">
        <v>7.6</v>
      </c>
      <c r="M123" s="176">
        <v>7.6</v>
      </c>
      <c r="N123" s="176">
        <v>7.6</v>
      </c>
      <c r="O123" s="176">
        <v>7.6</v>
      </c>
      <c r="P123" s="176">
        <v>7.6</v>
      </c>
      <c r="Q123" s="176">
        <v>7.6</v>
      </c>
      <c r="R123" s="176">
        <v>7.6</v>
      </c>
      <c r="S123" s="176">
        <v>7.6</v>
      </c>
      <c r="T123" s="176">
        <v>7.6</v>
      </c>
      <c r="U123" s="176">
        <v>7.6</v>
      </c>
      <c r="V123" s="176">
        <v>7.6</v>
      </c>
      <c r="W123" s="176">
        <v>7.6</v>
      </c>
      <c r="X123" s="176">
        <v>7.6</v>
      </c>
      <c r="Y123" s="176">
        <v>7.6</v>
      </c>
      <c r="Z123" s="176">
        <v>7.6</v>
      </c>
      <c r="AA123" s="176">
        <v>7.6</v>
      </c>
      <c r="AB123" s="176">
        <v>7.6</v>
      </c>
      <c r="AC123" s="176">
        <v>7.6</v>
      </c>
      <c r="AD123" s="176">
        <v>7.6</v>
      </c>
      <c r="AE123" s="176">
        <v>7.6</v>
      </c>
      <c r="AF123" s="176">
        <v>7.6</v>
      </c>
      <c r="AG123" s="99">
        <v>7.6</v>
      </c>
      <c r="AH123" s="54"/>
      <c r="AI123" s="55"/>
      <c r="AK123" s="56"/>
    </row>
    <row r="124" spans="1:37" x14ac:dyDescent="0.25">
      <c r="A124" s="164" t="s">
        <v>80</v>
      </c>
      <c r="B124" s="176">
        <v>7.5</v>
      </c>
      <c r="C124" s="176">
        <v>7.5</v>
      </c>
      <c r="D124" s="176">
        <v>7.5</v>
      </c>
      <c r="E124" s="176">
        <v>7.5</v>
      </c>
      <c r="F124" s="176">
        <v>7.5</v>
      </c>
      <c r="G124" s="176">
        <v>7.5</v>
      </c>
      <c r="H124" s="176">
        <v>7.5</v>
      </c>
      <c r="I124" s="176">
        <v>7.5</v>
      </c>
      <c r="J124" s="176">
        <v>7.5</v>
      </c>
      <c r="K124" s="176">
        <v>7.5</v>
      </c>
      <c r="L124" s="176">
        <v>7.5</v>
      </c>
      <c r="M124" s="176">
        <v>7.5</v>
      </c>
      <c r="N124" s="176">
        <v>7.5</v>
      </c>
      <c r="O124" s="176">
        <v>7.5</v>
      </c>
      <c r="P124" s="176">
        <v>7.5</v>
      </c>
      <c r="Q124" s="176">
        <v>7.5</v>
      </c>
      <c r="R124" s="176">
        <v>7.5</v>
      </c>
      <c r="S124" s="176">
        <v>7.5</v>
      </c>
      <c r="T124" s="176">
        <v>7.5</v>
      </c>
      <c r="U124" s="176">
        <v>7.5</v>
      </c>
      <c r="V124" s="176">
        <v>7.5</v>
      </c>
      <c r="W124" s="176">
        <v>7.5</v>
      </c>
      <c r="X124" s="176">
        <v>7.5</v>
      </c>
      <c r="Y124" s="176">
        <v>7.5</v>
      </c>
      <c r="Z124" s="176">
        <v>7.5</v>
      </c>
      <c r="AA124" s="176">
        <v>7.5</v>
      </c>
      <c r="AB124" s="176">
        <v>7.5</v>
      </c>
      <c r="AC124" s="176">
        <v>7.5</v>
      </c>
      <c r="AD124" s="176">
        <v>7.5</v>
      </c>
      <c r="AE124" s="176">
        <v>7.5</v>
      </c>
      <c r="AF124" s="176">
        <v>7.5</v>
      </c>
      <c r="AG124" s="100">
        <v>7.5</v>
      </c>
      <c r="AH124" s="54"/>
      <c r="AI124" s="55"/>
      <c r="AK124" s="56"/>
    </row>
    <row r="125" spans="1:37" x14ac:dyDescent="0.25">
      <c r="A125" s="164" t="s">
        <v>150</v>
      </c>
      <c r="B125" s="176">
        <v>7.5</v>
      </c>
      <c r="C125" s="176">
        <v>7.5</v>
      </c>
      <c r="D125" s="176">
        <v>7.5</v>
      </c>
      <c r="E125" s="176">
        <v>7.5</v>
      </c>
      <c r="F125" s="176">
        <v>7.5</v>
      </c>
      <c r="G125" s="176">
        <v>7.5</v>
      </c>
      <c r="H125" s="176">
        <v>7.5</v>
      </c>
      <c r="I125" s="176">
        <v>7.5</v>
      </c>
      <c r="J125" s="176">
        <v>7.5</v>
      </c>
      <c r="K125" s="176">
        <v>7.5</v>
      </c>
      <c r="L125" s="176">
        <v>7.5</v>
      </c>
      <c r="M125" s="176">
        <v>7.5</v>
      </c>
      <c r="N125" s="176">
        <v>7.5</v>
      </c>
      <c r="O125" s="176">
        <v>7.5</v>
      </c>
      <c r="P125" s="176">
        <v>7.5</v>
      </c>
      <c r="Q125" s="176">
        <v>7.5</v>
      </c>
      <c r="R125" s="176">
        <v>7.5</v>
      </c>
      <c r="S125" s="176">
        <v>7.5</v>
      </c>
      <c r="T125" s="176">
        <v>7.5</v>
      </c>
      <c r="U125" s="176">
        <v>7.5</v>
      </c>
      <c r="V125" s="176">
        <v>7.5</v>
      </c>
      <c r="W125" s="176">
        <v>7.5</v>
      </c>
      <c r="X125" s="176">
        <v>7.5</v>
      </c>
      <c r="Y125" s="176">
        <v>7.5</v>
      </c>
      <c r="Z125" s="176">
        <v>7.5</v>
      </c>
      <c r="AA125" s="176">
        <v>7.5</v>
      </c>
      <c r="AB125" s="176">
        <v>7.5</v>
      </c>
      <c r="AC125" s="176">
        <v>7.5</v>
      </c>
      <c r="AD125" s="176">
        <v>7.5</v>
      </c>
      <c r="AE125" s="176">
        <v>7.5</v>
      </c>
      <c r="AF125" s="176">
        <v>7.5</v>
      </c>
      <c r="AG125" s="100">
        <v>7.5</v>
      </c>
      <c r="AH125" s="54"/>
      <c r="AI125" s="55"/>
      <c r="AK125" s="56"/>
    </row>
    <row r="126" spans="1:37" x14ac:dyDescent="0.25">
      <c r="A126" s="164" t="s">
        <v>151</v>
      </c>
      <c r="B126" s="176">
        <v>7</v>
      </c>
      <c r="C126" s="176">
        <v>7</v>
      </c>
      <c r="D126" s="176">
        <v>7</v>
      </c>
      <c r="E126" s="176">
        <v>7</v>
      </c>
      <c r="F126" s="176">
        <v>7</v>
      </c>
      <c r="G126" s="176">
        <v>7</v>
      </c>
      <c r="H126" s="176">
        <v>7</v>
      </c>
      <c r="I126" s="176">
        <v>7</v>
      </c>
      <c r="J126" s="176">
        <v>7</v>
      </c>
      <c r="K126" s="176">
        <v>7</v>
      </c>
      <c r="L126" s="176">
        <v>7</v>
      </c>
      <c r="M126" s="176">
        <v>7</v>
      </c>
      <c r="N126" s="176">
        <v>7</v>
      </c>
      <c r="O126" s="176">
        <v>7</v>
      </c>
      <c r="P126" s="176">
        <v>7</v>
      </c>
      <c r="Q126" s="176">
        <v>7</v>
      </c>
      <c r="R126" s="176">
        <v>7</v>
      </c>
      <c r="S126" s="176">
        <v>7</v>
      </c>
      <c r="T126" s="176">
        <v>7</v>
      </c>
      <c r="U126" s="176">
        <v>7</v>
      </c>
      <c r="V126" s="176">
        <v>7</v>
      </c>
      <c r="W126" s="176">
        <v>7</v>
      </c>
      <c r="X126" s="176">
        <v>7</v>
      </c>
      <c r="Y126" s="176">
        <v>7</v>
      </c>
      <c r="Z126" s="176">
        <v>7</v>
      </c>
      <c r="AA126" s="176">
        <v>7</v>
      </c>
      <c r="AB126" s="176">
        <v>7</v>
      </c>
      <c r="AC126" s="176">
        <v>7</v>
      </c>
      <c r="AD126" s="176">
        <v>7</v>
      </c>
      <c r="AE126" s="176">
        <v>7</v>
      </c>
      <c r="AF126" s="176">
        <v>7</v>
      </c>
      <c r="AG126" s="100">
        <v>7</v>
      </c>
      <c r="AH126" s="54"/>
      <c r="AI126" s="55"/>
      <c r="AK126" s="56"/>
    </row>
    <row r="127" spans="1:37" x14ac:dyDescent="0.25">
      <c r="A127" s="164" t="s">
        <v>152</v>
      </c>
      <c r="B127" s="176">
        <v>7</v>
      </c>
      <c r="C127" s="176">
        <v>7</v>
      </c>
      <c r="D127" s="176">
        <v>7</v>
      </c>
      <c r="E127" s="176">
        <v>7</v>
      </c>
      <c r="F127" s="176">
        <v>7</v>
      </c>
      <c r="G127" s="176">
        <v>7</v>
      </c>
      <c r="H127" s="176">
        <v>7</v>
      </c>
      <c r="I127" s="176">
        <v>7</v>
      </c>
      <c r="J127" s="176">
        <v>7</v>
      </c>
      <c r="K127" s="176">
        <v>7</v>
      </c>
      <c r="L127" s="176">
        <v>7</v>
      </c>
      <c r="M127" s="176">
        <v>7</v>
      </c>
      <c r="N127" s="176">
        <v>7</v>
      </c>
      <c r="O127" s="176">
        <v>7</v>
      </c>
      <c r="P127" s="176">
        <v>7</v>
      </c>
      <c r="Q127" s="176">
        <v>7</v>
      </c>
      <c r="R127" s="176">
        <v>7</v>
      </c>
      <c r="S127" s="176">
        <v>7</v>
      </c>
      <c r="T127" s="176">
        <v>7</v>
      </c>
      <c r="U127" s="176">
        <v>7</v>
      </c>
      <c r="V127" s="176">
        <v>7</v>
      </c>
      <c r="W127" s="176">
        <v>7</v>
      </c>
      <c r="X127" s="176">
        <v>7</v>
      </c>
      <c r="Y127" s="176">
        <v>7</v>
      </c>
      <c r="Z127" s="176">
        <v>7</v>
      </c>
      <c r="AA127" s="176">
        <v>7</v>
      </c>
      <c r="AB127" s="176">
        <v>7</v>
      </c>
      <c r="AC127" s="176">
        <v>7</v>
      </c>
      <c r="AD127" s="176">
        <v>7</v>
      </c>
      <c r="AE127" s="176">
        <v>7</v>
      </c>
      <c r="AF127" s="176">
        <v>7</v>
      </c>
      <c r="AG127" s="100">
        <v>7</v>
      </c>
      <c r="AH127" s="54"/>
      <c r="AI127" s="55"/>
      <c r="AK127" s="56"/>
    </row>
    <row r="128" spans="1:37" x14ac:dyDescent="0.25">
      <c r="A128" s="164" t="s">
        <v>153</v>
      </c>
      <c r="B128" s="176">
        <v>7</v>
      </c>
      <c r="C128" s="176">
        <v>7</v>
      </c>
      <c r="D128" s="176">
        <v>7</v>
      </c>
      <c r="E128" s="176">
        <v>7</v>
      </c>
      <c r="F128" s="176">
        <v>7</v>
      </c>
      <c r="G128" s="176">
        <v>7</v>
      </c>
      <c r="H128" s="176">
        <v>7</v>
      </c>
      <c r="I128" s="176">
        <v>7</v>
      </c>
      <c r="J128" s="176">
        <v>7</v>
      </c>
      <c r="K128" s="176">
        <v>7</v>
      </c>
      <c r="L128" s="176">
        <v>7</v>
      </c>
      <c r="M128" s="176">
        <v>7</v>
      </c>
      <c r="N128" s="176">
        <v>7</v>
      </c>
      <c r="O128" s="176">
        <v>7</v>
      </c>
      <c r="P128" s="176">
        <v>7</v>
      </c>
      <c r="Q128" s="176">
        <v>7</v>
      </c>
      <c r="R128" s="176">
        <v>7</v>
      </c>
      <c r="S128" s="176">
        <v>7</v>
      </c>
      <c r="T128" s="176">
        <v>7</v>
      </c>
      <c r="U128" s="176">
        <v>7</v>
      </c>
      <c r="V128" s="176">
        <v>7</v>
      </c>
      <c r="W128" s="176">
        <v>7</v>
      </c>
      <c r="X128" s="176">
        <v>7</v>
      </c>
      <c r="Y128" s="176">
        <v>7</v>
      </c>
      <c r="Z128" s="176">
        <v>7</v>
      </c>
      <c r="AA128" s="176">
        <v>7</v>
      </c>
      <c r="AB128" s="176">
        <v>7</v>
      </c>
      <c r="AC128" s="176">
        <v>7</v>
      </c>
      <c r="AD128" s="176">
        <v>7</v>
      </c>
      <c r="AE128" s="176">
        <v>7</v>
      </c>
      <c r="AF128" s="176">
        <v>7</v>
      </c>
      <c r="AG128" s="100">
        <v>7</v>
      </c>
      <c r="AH128" s="54"/>
      <c r="AI128" s="55"/>
      <c r="AK128" s="56"/>
    </row>
    <row r="129" spans="1:37" x14ac:dyDescent="0.25">
      <c r="A129" s="164" t="s">
        <v>154</v>
      </c>
      <c r="B129" s="176">
        <v>7</v>
      </c>
      <c r="C129" s="176">
        <v>7</v>
      </c>
      <c r="D129" s="176">
        <v>7</v>
      </c>
      <c r="E129" s="176">
        <v>7</v>
      </c>
      <c r="F129" s="176">
        <v>7</v>
      </c>
      <c r="G129" s="176">
        <v>7</v>
      </c>
      <c r="H129" s="176">
        <v>7</v>
      </c>
      <c r="I129" s="176">
        <v>7</v>
      </c>
      <c r="J129" s="176">
        <v>7</v>
      </c>
      <c r="K129" s="176">
        <v>7</v>
      </c>
      <c r="L129" s="176">
        <v>7</v>
      </c>
      <c r="M129" s="176">
        <v>7</v>
      </c>
      <c r="N129" s="176">
        <v>7</v>
      </c>
      <c r="O129" s="176">
        <v>7</v>
      </c>
      <c r="P129" s="176">
        <v>7</v>
      </c>
      <c r="Q129" s="176">
        <v>7</v>
      </c>
      <c r="R129" s="176">
        <v>7</v>
      </c>
      <c r="S129" s="176">
        <v>7</v>
      </c>
      <c r="T129" s="176">
        <v>7</v>
      </c>
      <c r="U129" s="176">
        <v>7</v>
      </c>
      <c r="V129" s="176">
        <v>7</v>
      </c>
      <c r="W129" s="176">
        <v>7</v>
      </c>
      <c r="X129" s="176">
        <v>7</v>
      </c>
      <c r="Y129" s="176">
        <v>7</v>
      </c>
      <c r="Z129" s="176">
        <v>7</v>
      </c>
      <c r="AA129" s="176">
        <v>7</v>
      </c>
      <c r="AB129" s="176">
        <v>7</v>
      </c>
      <c r="AC129" s="176">
        <v>7</v>
      </c>
      <c r="AD129" s="176">
        <v>7</v>
      </c>
      <c r="AE129" s="176">
        <v>7</v>
      </c>
      <c r="AF129" s="176">
        <v>7</v>
      </c>
      <c r="AG129" s="100">
        <v>7</v>
      </c>
      <c r="AH129" s="54"/>
      <c r="AI129" s="55"/>
      <c r="AK129" s="56"/>
    </row>
    <row r="130" spans="1:37" x14ac:dyDescent="0.25">
      <c r="A130" s="164" t="s">
        <v>155</v>
      </c>
      <c r="B130" s="176">
        <v>6.6</v>
      </c>
      <c r="C130" s="176">
        <v>6.6</v>
      </c>
      <c r="D130" s="176">
        <v>6.6</v>
      </c>
      <c r="E130" s="176">
        <v>6.6</v>
      </c>
      <c r="F130" s="176">
        <v>6.6</v>
      </c>
      <c r="G130" s="176">
        <v>6.6</v>
      </c>
      <c r="H130" s="176">
        <v>6.6</v>
      </c>
      <c r="I130" s="176">
        <v>6.6</v>
      </c>
      <c r="J130" s="176">
        <v>6.6</v>
      </c>
      <c r="K130" s="176">
        <v>6.6</v>
      </c>
      <c r="L130" s="176">
        <v>6.6</v>
      </c>
      <c r="M130" s="176">
        <v>6.6</v>
      </c>
      <c r="N130" s="176">
        <v>6.6</v>
      </c>
      <c r="O130" s="176">
        <v>6.6</v>
      </c>
      <c r="P130" s="176">
        <v>6.6</v>
      </c>
      <c r="Q130" s="176">
        <v>6.6</v>
      </c>
      <c r="R130" s="176">
        <v>6.6</v>
      </c>
      <c r="S130" s="176">
        <v>6.6</v>
      </c>
      <c r="T130" s="176">
        <v>6.6</v>
      </c>
      <c r="U130" s="176">
        <v>6.6</v>
      </c>
      <c r="V130" s="176">
        <v>6.6</v>
      </c>
      <c r="W130" s="176">
        <v>6.6</v>
      </c>
      <c r="X130" s="176">
        <v>6.6</v>
      </c>
      <c r="Y130" s="176">
        <v>6.6</v>
      </c>
      <c r="Z130" s="176">
        <v>6.6</v>
      </c>
      <c r="AA130" s="176">
        <v>6.6</v>
      </c>
      <c r="AB130" s="176">
        <v>6.6</v>
      </c>
      <c r="AC130" s="176">
        <v>6.6</v>
      </c>
      <c r="AD130" s="176">
        <v>6.6</v>
      </c>
      <c r="AE130" s="176">
        <v>6.6</v>
      </c>
      <c r="AF130" s="176">
        <v>6.6</v>
      </c>
      <c r="AG130" s="100">
        <v>6.6</v>
      </c>
      <c r="AH130" s="54"/>
      <c r="AI130" s="55"/>
      <c r="AK130" s="56"/>
    </row>
    <row r="131" spans="1:37" x14ac:dyDescent="0.25">
      <c r="A131" s="164" t="s">
        <v>156</v>
      </c>
      <c r="B131" s="176">
        <v>6.6</v>
      </c>
      <c r="C131" s="176">
        <v>6.6</v>
      </c>
      <c r="D131" s="176">
        <v>6.6</v>
      </c>
      <c r="E131" s="176">
        <v>6.6</v>
      </c>
      <c r="F131" s="176">
        <v>6.6</v>
      </c>
      <c r="G131" s="176">
        <v>6.6</v>
      </c>
      <c r="H131" s="176">
        <v>6.6</v>
      </c>
      <c r="I131" s="176">
        <v>6.6</v>
      </c>
      <c r="J131" s="176">
        <v>6.6</v>
      </c>
      <c r="K131" s="176">
        <v>6.6</v>
      </c>
      <c r="L131" s="176">
        <v>6.6</v>
      </c>
      <c r="M131" s="176">
        <v>6.6</v>
      </c>
      <c r="N131" s="176">
        <v>6.6</v>
      </c>
      <c r="O131" s="176">
        <v>6.6</v>
      </c>
      <c r="P131" s="176">
        <v>6.6</v>
      </c>
      <c r="Q131" s="176">
        <v>6.6</v>
      </c>
      <c r="R131" s="176">
        <v>6.6</v>
      </c>
      <c r="S131" s="176">
        <v>6.6</v>
      </c>
      <c r="T131" s="176">
        <v>6.6</v>
      </c>
      <c r="U131" s="176">
        <v>6.6</v>
      </c>
      <c r="V131" s="176">
        <v>6.6</v>
      </c>
      <c r="W131" s="176">
        <v>6.6</v>
      </c>
      <c r="X131" s="176">
        <v>6.6</v>
      </c>
      <c r="Y131" s="176">
        <v>6.6</v>
      </c>
      <c r="Z131" s="176">
        <v>6.6</v>
      </c>
      <c r="AA131" s="176">
        <v>6.6</v>
      </c>
      <c r="AB131" s="176">
        <v>6.6</v>
      </c>
      <c r="AC131" s="176">
        <v>6.6</v>
      </c>
      <c r="AD131" s="176">
        <v>6.6</v>
      </c>
      <c r="AE131" s="176">
        <v>6.6</v>
      </c>
      <c r="AF131" s="176">
        <v>6.6</v>
      </c>
      <c r="AG131" s="100">
        <v>6.6</v>
      </c>
      <c r="AH131" s="54"/>
      <c r="AI131" s="55"/>
      <c r="AK131" s="56"/>
    </row>
    <row r="132" spans="1:37" ht="13.5" customHeight="1" x14ac:dyDescent="0.25">
      <c r="A132" s="164" t="s">
        <v>157</v>
      </c>
      <c r="B132" s="176">
        <v>6.4</v>
      </c>
      <c r="C132" s="176">
        <v>6.4</v>
      </c>
      <c r="D132" s="176">
        <v>6.4</v>
      </c>
      <c r="E132" s="176">
        <v>6.4</v>
      </c>
      <c r="F132" s="176">
        <v>6.4</v>
      </c>
      <c r="G132" s="176">
        <v>6.4</v>
      </c>
      <c r="H132" s="176">
        <v>6.4</v>
      </c>
      <c r="I132" s="176">
        <v>6.4</v>
      </c>
      <c r="J132" s="176">
        <v>6.4</v>
      </c>
      <c r="K132" s="176">
        <v>6.4</v>
      </c>
      <c r="L132" s="176">
        <v>6.4</v>
      </c>
      <c r="M132" s="176">
        <v>6.4</v>
      </c>
      <c r="N132" s="176">
        <v>6.4</v>
      </c>
      <c r="O132" s="176">
        <v>6.4</v>
      </c>
      <c r="P132" s="176">
        <v>6.4</v>
      </c>
      <c r="Q132" s="176">
        <v>6.4</v>
      </c>
      <c r="R132" s="176">
        <v>6.4</v>
      </c>
      <c r="S132" s="176">
        <v>6.4</v>
      </c>
      <c r="T132" s="176">
        <v>6.4</v>
      </c>
      <c r="U132" s="176">
        <v>6.4</v>
      </c>
      <c r="V132" s="176">
        <v>6.4</v>
      </c>
      <c r="W132" s="176">
        <v>6.4</v>
      </c>
      <c r="X132" s="176">
        <v>6.4</v>
      </c>
      <c r="Y132" s="176">
        <v>6.4</v>
      </c>
      <c r="Z132" s="176">
        <v>6.4</v>
      </c>
      <c r="AA132" s="176">
        <v>6.4</v>
      </c>
      <c r="AB132" s="176">
        <v>6.4</v>
      </c>
      <c r="AC132" s="176">
        <v>6.4</v>
      </c>
      <c r="AD132" s="176">
        <v>6.4</v>
      </c>
      <c r="AE132" s="176">
        <v>6.4</v>
      </c>
      <c r="AF132" s="176">
        <v>6.4</v>
      </c>
      <c r="AG132" s="100">
        <v>6.4</v>
      </c>
      <c r="AH132" s="54"/>
      <c r="AI132" s="55"/>
      <c r="AK132" s="56"/>
    </row>
    <row r="133" spans="1:37" x14ac:dyDescent="0.25">
      <c r="A133" s="164" t="s">
        <v>158</v>
      </c>
      <c r="B133" s="176">
        <v>6.2</v>
      </c>
      <c r="C133" s="176">
        <v>6.2</v>
      </c>
      <c r="D133" s="176">
        <v>6.2</v>
      </c>
      <c r="E133" s="176">
        <v>6.2</v>
      </c>
      <c r="F133" s="176">
        <v>6.2</v>
      </c>
      <c r="G133" s="176">
        <v>6.2</v>
      </c>
      <c r="H133" s="176">
        <v>6.2</v>
      </c>
      <c r="I133" s="176">
        <v>6.2</v>
      </c>
      <c r="J133" s="176">
        <v>6.2</v>
      </c>
      <c r="K133" s="176">
        <v>6.2</v>
      </c>
      <c r="L133" s="176">
        <v>6.2</v>
      </c>
      <c r="M133" s="176">
        <v>6.2</v>
      </c>
      <c r="N133" s="176">
        <v>6.2</v>
      </c>
      <c r="O133" s="176">
        <v>6.2</v>
      </c>
      <c r="P133" s="176">
        <v>6.2</v>
      </c>
      <c r="Q133" s="176">
        <v>6.2</v>
      </c>
      <c r="R133" s="176">
        <v>6.2</v>
      </c>
      <c r="S133" s="176">
        <v>6.2</v>
      </c>
      <c r="T133" s="176">
        <v>6.2</v>
      </c>
      <c r="U133" s="176">
        <v>6.2</v>
      </c>
      <c r="V133" s="176">
        <v>6.2</v>
      </c>
      <c r="W133" s="176">
        <v>6.2</v>
      </c>
      <c r="X133" s="176">
        <v>6.2</v>
      </c>
      <c r="Y133" s="176">
        <v>6.2</v>
      </c>
      <c r="Z133" s="176">
        <v>6.2</v>
      </c>
      <c r="AA133" s="176">
        <v>6.2</v>
      </c>
      <c r="AB133" s="176">
        <v>6.2</v>
      </c>
      <c r="AC133" s="176">
        <v>6.2</v>
      </c>
      <c r="AD133" s="176">
        <v>6.2</v>
      </c>
      <c r="AE133" s="176">
        <v>6.2</v>
      </c>
      <c r="AF133" s="176">
        <v>6.2</v>
      </c>
      <c r="AG133" s="100">
        <v>6.2</v>
      </c>
      <c r="AH133" s="54"/>
      <c r="AI133" s="55"/>
      <c r="AK133" s="56"/>
    </row>
    <row r="134" spans="1:37" x14ac:dyDescent="0.25">
      <c r="A134" s="164" t="s">
        <v>159</v>
      </c>
      <c r="B134" s="176">
        <v>6</v>
      </c>
      <c r="C134" s="176">
        <v>6</v>
      </c>
      <c r="D134" s="176">
        <v>6</v>
      </c>
      <c r="E134" s="176">
        <v>6</v>
      </c>
      <c r="F134" s="176">
        <v>6</v>
      </c>
      <c r="G134" s="176">
        <v>6</v>
      </c>
      <c r="H134" s="176">
        <v>6</v>
      </c>
      <c r="I134" s="176">
        <v>6</v>
      </c>
      <c r="J134" s="176">
        <v>6</v>
      </c>
      <c r="K134" s="176">
        <v>6</v>
      </c>
      <c r="L134" s="176">
        <v>6</v>
      </c>
      <c r="M134" s="176">
        <v>6</v>
      </c>
      <c r="N134" s="176">
        <v>6</v>
      </c>
      <c r="O134" s="176">
        <v>6</v>
      </c>
      <c r="P134" s="176">
        <v>6</v>
      </c>
      <c r="Q134" s="176">
        <v>6</v>
      </c>
      <c r="R134" s="176">
        <v>6</v>
      </c>
      <c r="S134" s="176">
        <v>6</v>
      </c>
      <c r="T134" s="176">
        <v>6</v>
      </c>
      <c r="U134" s="176">
        <v>6</v>
      </c>
      <c r="V134" s="176">
        <v>6</v>
      </c>
      <c r="W134" s="176">
        <v>6</v>
      </c>
      <c r="X134" s="176">
        <v>6</v>
      </c>
      <c r="Y134" s="176">
        <v>6</v>
      </c>
      <c r="Z134" s="176">
        <v>6</v>
      </c>
      <c r="AA134" s="176">
        <v>6</v>
      </c>
      <c r="AB134" s="176">
        <v>6</v>
      </c>
      <c r="AC134" s="176">
        <v>6</v>
      </c>
      <c r="AD134" s="176">
        <v>6</v>
      </c>
      <c r="AE134" s="176">
        <v>6</v>
      </c>
      <c r="AF134" s="176">
        <v>6</v>
      </c>
      <c r="AG134" s="100">
        <v>6</v>
      </c>
      <c r="AH134" s="54"/>
      <c r="AI134" s="55"/>
      <c r="AK134" s="56"/>
    </row>
    <row r="135" spans="1:37" x14ac:dyDescent="0.25">
      <c r="A135" s="164" t="s">
        <v>160</v>
      </c>
      <c r="B135" s="176">
        <v>5.0999999999999996</v>
      </c>
      <c r="C135" s="176">
        <v>5.0999999999999996</v>
      </c>
      <c r="D135" s="176">
        <v>5.0999999999999996</v>
      </c>
      <c r="E135" s="176">
        <v>5.0999999999999996</v>
      </c>
      <c r="F135" s="176">
        <v>5.0999999999999996</v>
      </c>
      <c r="G135" s="176">
        <v>5.0999999999999996</v>
      </c>
      <c r="H135" s="176">
        <v>5.0999999999999996</v>
      </c>
      <c r="I135" s="176">
        <v>5.0999999999999996</v>
      </c>
      <c r="J135" s="176">
        <v>5.0999999999999996</v>
      </c>
      <c r="K135" s="176">
        <v>5.0999999999999996</v>
      </c>
      <c r="L135" s="176">
        <v>5.0999999999999996</v>
      </c>
      <c r="M135" s="176">
        <v>5.0999999999999996</v>
      </c>
      <c r="N135" s="176">
        <v>5.0999999999999996</v>
      </c>
      <c r="O135" s="176">
        <v>5.0999999999999996</v>
      </c>
      <c r="P135" s="176">
        <v>5.0999999999999996</v>
      </c>
      <c r="Q135" s="176">
        <v>5.0999999999999996</v>
      </c>
      <c r="R135" s="176">
        <v>5.0999999999999996</v>
      </c>
      <c r="S135" s="176">
        <v>5.0999999999999996</v>
      </c>
      <c r="T135" s="176">
        <v>5.0999999999999996</v>
      </c>
      <c r="U135" s="176">
        <v>5.0999999999999996</v>
      </c>
      <c r="V135" s="176">
        <v>5.0999999999999996</v>
      </c>
      <c r="W135" s="176">
        <v>5.0999999999999996</v>
      </c>
      <c r="X135" s="176">
        <v>5.0999999999999996</v>
      </c>
      <c r="Y135" s="176">
        <v>5.0999999999999996</v>
      </c>
      <c r="Z135" s="176">
        <v>5.0999999999999996</v>
      </c>
      <c r="AA135" s="176">
        <v>5.0999999999999996</v>
      </c>
      <c r="AB135" s="176">
        <v>5.0999999999999996</v>
      </c>
      <c r="AC135" s="176">
        <v>5.0999999999999996</v>
      </c>
      <c r="AD135" s="176">
        <v>5.0999999999999996</v>
      </c>
      <c r="AE135" s="176">
        <v>5.0999999999999996</v>
      </c>
      <c r="AF135" s="176">
        <v>5.0999999999999996</v>
      </c>
      <c r="AG135" s="100">
        <v>5.0999999999999996</v>
      </c>
      <c r="AH135" s="54"/>
      <c r="AI135" s="55"/>
      <c r="AK135" s="56"/>
    </row>
    <row r="136" spans="1:37" x14ac:dyDescent="0.25">
      <c r="A136" s="164" t="s">
        <v>161</v>
      </c>
      <c r="B136" s="176">
        <v>5</v>
      </c>
      <c r="C136" s="176">
        <v>5</v>
      </c>
      <c r="D136" s="176">
        <v>5</v>
      </c>
      <c r="E136" s="176">
        <v>5</v>
      </c>
      <c r="F136" s="176">
        <v>5</v>
      </c>
      <c r="G136" s="176">
        <v>5</v>
      </c>
      <c r="H136" s="176">
        <v>5</v>
      </c>
      <c r="I136" s="176">
        <v>5</v>
      </c>
      <c r="J136" s="176">
        <v>5</v>
      </c>
      <c r="K136" s="176">
        <v>5</v>
      </c>
      <c r="L136" s="176">
        <v>5</v>
      </c>
      <c r="M136" s="176">
        <v>5</v>
      </c>
      <c r="N136" s="176">
        <v>5</v>
      </c>
      <c r="O136" s="176">
        <v>5</v>
      </c>
      <c r="P136" s="176">
        <v>5</v>
      </c>
      <c r="Q136" s="176">
        <v>5</v>
      </c>
      <c r="R136" s="176">
        <v>5</v>
      </c>
      <c r="S136" s="176">
        <v>5</v>
      </c>
      <c r="T136" s="176">
        <v>5</v>
      </c>
      <c r="U136" s="176">
        <v>5</v>
      </c>
      <c r="V136" s="176">
        <v>5</v>
      </c>
      <c r="W136" s="176">
        <v>5</v>
      </c>
      <c r="X136" s="176">
        <v>5</v>
      </c>
      <c r="Y136" s="176">
        <v>5</v>
      </c>
      <c r="Z136" s="176">
        <v>5</v>
      </c>
      <c r="AA136" s="176">
        <v>5</v>
      </c>
      <c r="AB136" s="176">
        <v>5</v>
      </c>
      <c r="AC136" s="176">
        <v>5</v>
      </c>
      <c r="AD136" s="176">
        <v>5</v>
      </c>
      <c r="AE136" s="176">
        <v>5</v>
      </c>
      <c r="AF136" s="176">
        <v>5</v>
      </c>
      <c r="AG136" s="100">
        <v>5</v>
      </c>
      <c r="AH136" s="54"/>
      <c r="AI136" s="55"/>
      <c r="AK136" s="56"/>
    </row>
    <row r="137" spans="1:37" x14ac:dyDescent="0.25">
      <c r="A137" s="164" t="s">
        <v>162</v>
      </c>
      <c r="B137" s="176">
        <v>5</v>
      </c>
      <c r="C137" s="176">
        <v>5</v>
      </c>
      <c r="D137" s="176">
        <v>5</v>
      </c>
      <c r="E137" s="176">
        <v>5</v>
      </c>
      <c r="F137" s="176">
        <v>5</v>
      </c>
      <c r="G137" s="176">
        <v>5</v>
      </c>
      <c r="H137" s="176">
        <v>5</v>
      </c>
      <c r="I137" s="176">
        <v>5</v>
      </c>
      <c r="J137" s="176">
        <v>5</v>
      </c>
      <c r="K137" s="176">
        <v>5</v>
      </c>
      <c r="L137" s="176">
        <v>5</v>
      </c>
      <c r="M137" s="176">
        <v>5</v>
      </c>
      <c r="N137" s="176">
        <v>5</v>
      </c>
      <c r="O137" s="176">
        <v>5</v>
      </c>
      <c r="P137" s="176">
        <v>5</v>
      </c>
      <c r="Q137" s="176">
        <v>5</v>
      </c>
      <c r="R137" s="176">
        <v>5</v>
      </c>
      <c r="S137" s="176">
        <v>5</v>
      </c>
      <c r="T137" s="176">
        <v>5</v>
      </c>
      <c r="U137" s="176">
        <v>5</v>
      </c>
      <c r="V137" s="176">
        <v>5</v>
      </c>
      <c r="W137" s="176">
        <v>5</v>
      </c>
      <c r="X137" s="176">
        <v>5</v>
      </c>
      <c r="Y137" s="176">
        <v>5</v>
      </c>
      <c r="Z137" s="176">
        <v>5</v>
      </c>
      <c r="AA137" s="176">
        <v>5</v>
      </c>
      <c r="AB137" s="176">
        <v>5</v>
      </c>
      <c r="AC137" s="176">
        <v>5</v>
      </c>
      <c r="AD137" s="176">
        <v>5</v>
      </c>
      <c r="AE137" s="176">
        <v>5</v>
      </c>
      <c r="AF137" s="176">
        <v>5</v>
      </c>
      <c r="AG137" s="100">
        <v>5</v>
      </c>
      <c r="AH137" s="54"/>
      <c r="AI137" s="55"/>
      <c r="AK137" s="56"/>
    </row>
    <row r="138" spans="1:37" x14ac:dyDescent="0.25">
      <c r="A138" s="164" t="s">
        <v>163</v>
      </c>
      <c r="B138" s="176">
        <v>5</v>
      </c>
      <c r="C138" s="176">
        <v>5</v>
      </c>
      <c r="D138" s="176">
        <v>5</v>
      </c>
      <c r="E138" s="176">
        <v>5</v>
      </c>
      <c r="F138" s="176">
        <v>5</v>
      </c>
      <c r="G138" s="176">
        <v>5</v>
      </c>
      <c r="H138" s="176">
        <v>5</v>
      </c>
      <c r="I138" s="176">
        <v>5</v>
      </c>
      <c r="J138" s="176">
        <v>5</v>
      </c>
      <c r="K138" s="176">
        <v>5</v>
      </c>
      <c r="L138" s="176">
        <v>5</v>
      </c>
      <c r="M138" s="176">
        <v>5</v>
      </c>
      <c r="N138" s="176">
        <v>5</v>
      </c>
      <c r="O138" s="176">
        <v>5</v>
      </c>
      <c r="P138" s="176">
        <v>5</v>
      </c>
      <c r="Q138" s="176">
        <v>5</v>
      </c>
      <c r="R138" s="176">
        <v>5</v>
      </c>
      <c r="S138" s="176">
        <v>5</v>
      </c>
      <c r="T138" s="176">
        <v>5</v>
      </c>
      <c r="U138" s="176">
        <v>5</v>
      </c>
      <c r="V138" s="176">
        <v>5</v>
      </c>
      <c r="W138" s="176">
        <v>5</v>
      </c>
      <c r="X138" s="176">
        <v>5</v>
      </c>
      <c r="Y138" s="176">
        <v>5</v>
      </c>
      <c r="Z138" s="176">
        <v>5</v>
      </c>
      <c r="AA138" s="176">
        <v>5</v>
      </c>
      <c r="AB138" s="176">
        <v>5</v>
      </c>
      <c r="AC138" s="176">
        <v>5</v>
      </c>
      <c r="AD138" s="176">
        <v>5</v>
      </c>
      <c r="AE138" s="176">
        <v>5</v>
      </c>
      <c r="AF138" s="176">
        <v>5</v>
      </c>
      <c r="AG138" s="100">
        <v>5</v>
      </c>
      <c r="AH138" s="54"/>
      <c r="AI138" s="55"/>
      <c r="AK138" s="56"/>
    </row>
    <row r="139" spans="1:37" x14ac:dyDescent="0.25">
      <c r="A139" s="164" t="s">
        <v>164</v>
      </c>
      <c r="B139" s="176">
        <v>5</v>
      </c>
      <c r="C139" s="176">
        <v>5</v>
      </c>
      <c r="D139" s="176">
        <v>5</v>
      </c>
      <c r="E139" s="176">
        <v>5</v>
      </c>
      <c r="F139" s="176">
        <v>5</v>
      </c>
      <c r="G139" s="176">
        <v>5</v>
      </c>
      <c r="H139" s="176">
        <v>5</v>
      </c>
      <c r="I139" s="176">
        <v>5</v>
      </c>
      <c r="J139" s="176">
        <v>5</v>
      </c>
      <c r="K139" s="176">
        <v>5</v>
      </c>
      <c r="L139" s="176">
        <v>5</v>
      </c>
      <c r="M139" s="176">
        <v>5</v>
      </c>
      <c r="N139" s="176">
        <v>5</v>
      </c>
      <c r="O139" s="176">
        <v>5</v>
      </c>
      <c r="P139" s="176">
        <v>5</v>
      </c>
      <c r="Q139" s="176">
        <v>5</v>
      </c>
      <c r="R139" s="176">
        <v>5</v>
      </c>
      <c r="S139" s="176">
        <v>5</v>
      </c>
      <c r="T139" s="176">
        <v>5</v>
      </c>
      <c r="U139" s="176">
        <v>5</v>
      </c>
      <c r="V139" s="176">
        <v>5</v>
      </c>
      <c r="W139" s="176">
        <v>5</v>
      </c>
      <c r="X139" s="176">
        <v>5</v>
      </c>
      <c r="Y139" s="176">
        <v>5</v>
      </c>
      <c r="Z139" s="176">
        <v>5</v>
      </c>
      <c r="AA139" s="176">
        <v>5</v>
      </c>
      <c r="AB139" s="176">
        <v>5</v>
      </c>
      <c r="AC139" s="176">
        <v>5</v>
      </c>
      <c r="AD139" s="176">
        <v>5</v>
      </c>
      <c r="AE139" s="176">
        <v>5</v>
      </c>
      <c r="AF139" s="176">
        <v>5</v>
      </c>
      <c r="AG139" s="100">
        <v>5</v>
      </c>
      <c r="AH139" s="54"/>
      <c r="AI139" s="55"/>
      <c r="AK139" s="56"/>
    </row>
    <row r="140" spans="1:37" x14ac:dyDescent="0.25">
      <c r="A140" s="164" t="s">
        <v>165</v>
      </c>
      <c r="B140" s="176">
        <v>5</v>
      </c>
      <c r="C140" s="176">
        <v>5</v>
      </c>
      <c r="D140" s="176">
        <v>5</v>
      </c>
      <c r="E140" s="176">
        <v>5</v>
      </c>
      <c r="F140" s="176">
        <v>5</v>
      </c>
      <c r="G140" s="176">
        <v>5</v>
      </c>
      <c r="H140" s="176">
        <v>5</v>
      </c>
      <c r="I140" s="176">
        <v>5</v>
      </c>
      <c r="J140" s="176">
        <v>5</v>
      </c>
      <c r="K140" s="176">
        <v>5</v>
      </c>
      <c r="L140" s="176">
        <v>5</v>
      </c>
      <c r="M140" s="176">
        <v>5</v>
      </c>
      <c r="N140" s="176">
        <v>5</v>
      </c>
      <c r="O140" s="176">
        <v>5</v>
      </c>
      <c r="P140" s="176">
        <v>5</v>
      </c>
      <c r="Q140" s="176">
        <v>5</v>
      </c>
      <c r="R140" s="176">
        <v>5</v>
      </c>
      <c r="S140" s="176">
        <v>5</v>
      </c>
      <c r="T140" s="176">
        <v>5</v>
      </c>
      <c r="U140" s="176">
        <v>5</v>
      </c>
      <c r="V140" s="176">
        <v>5</v>
      </c>
      <c r="W140" s="176">
        <v>5</v>
      </c>
      <c r="X140" s="176">
        <v>5</v>
      </c>
      <c r="Y140" s="176">
        <v>5</v>
      </c>
      <c r="Z140" s="176">
        <v>5</v>
      </c>
      <c r="AA140" s="176">
        <v>5</v>
      </c>
      <c r="AB140" s="176">
        <v>5</v>
      </c>
      <c r="AC140" s="176">
        <v>5</v>
      </c>
      <c r="AD140" s="176">
        <v>5</v>
      </c>
      <c r="AE140" s="176">
        <v>5</v>
      </c>
      <c r="AF140" s="176">
        <v>5</v>
      </c>
      <c r="AG140" s="100">
        <v>5</v>
      </c>
      <c r="AH140" s="54"/>
      <c r="AI140" s="55"/>
      <c r="AK140" s="56"/>
    </row>
    <row r="141" spans="1:37" x14ac:dyDescent="0.25">
      <c r="A141" s="164" t="s">
        <v>166</v>
      </c>
      <c r="B141" s="176">
        <v>5</v>
      </c>
      <c r="C141" s="176">
        <v>5</v>
      </c>
      <c r="D141" s="176">
        <v>5</v>
      </c>
      <c r="E141" s="176">
        <v>5</v>
      </c>
      <c r="F141" s="176">
        <v>5</v>
      </c>
      <c r="G141" s="176">
        <v>5</v>
      </c>
      <c r="H141" s="176">
        <v>5</v>
      </c>
      <c r="I141" s="176">
        <v>5</v>
      </c>
      <c r="J141" s="176">
        <v>5</v>
      </c>
      <c r="K141" s="176">
        <v>5</v>
      </c>
      <c r="L141" s="176">
        <v>5</v>
      </c>
      <c r="M141" s="176">
        <v>5</v>
      </c>
      <c r="N141" s="176">
        <v>5</v>
      </c>
      <c r="O141" s="176">
        <v>5</v>
      </c>
      <c r="P141" s="176">
        <v>5</v>
      </c>
      <c r="Q141" s="176">
        <v>5</v>
      </c>
      <c r="R141" s="176">
        <v>5</v>
      </c>
      <c r="S141" s="176">
        <v>5</v>
      </c>
      <c r="T141" s="176">
        <v>5</v>
      </c>
      <c r="U141" s="176">
        <v>5</v>
      </c>
      <c r="V141" s="176">
        <v>5</v>
      </c>
      <c r="W141" s="176">
        <v>5</v>
      </c>
      <c r="X141" s="176">
        <v>5</v>
      </c>
      <c r="Y141" s="176">
        <v>5</v>
      </c>
      <c r="Z141" s="176">
        <v>5</v>
      </c>
      <c r="AA141" s="176">
        <v>5</v>
      </c>
      <c r="AB141" s="176">
        <v>5</v>
      </c>
      <c r="AC141" s="176">
        <v>5</v>
      </c>
      <c r="AD141" s="176">
        <v>5</v>
      </c>
      <c r="AE141" s="176">
        <v>5</v>
      </c>
      <c r="AF141" s="176">
        <v>5</v>
      </c>
      <c r="AG141" s="100">
        <v>5</v>
      </c>
      <c r="AH141" s="54"/>
      <c r="AI141" s="55"/>
      <c r="AK141" s="56"/>
    </row>
    <row r="142" spans="1:37" x14ac:dyDescent="0.25">
      <c r="A142" s="164" t="s">
        <v>167</v>
      </c>
      <c r="B142" s="176">
        <v>5</v>
      </c>
      <c r="C142" s="176">
        <v>5</v>
      </c>
      <c r="D142" s="176">
        <v>5</v>
      </c>
      <c r="E142" s="176">
        <v>5</v>
      </c>
      <c r="F142" s="176">
        <v>5</v>
      </c>
      <c r="G142" s="176">
        <v>5</v>
      </c>
      <c r="H142" s="176">
        <v>5</v>
      </c>
      <c r="I142" s="176">
        <v>5</v>
      </c>
      <c r="J142" s="176">
        <v>5</v>
      </c>
      <c r="K142" s="176">
        <v>5</v>
      </c>
      <c r="L142" s="176">
        <v>5</v>
      </c>
      <c r="M142" s="176">
        <v>5</v>
      </c>
      <c r="N142" s="176">
        <v>5</v>
      </c>
      <c r="O142" s="176">
        <v>5</v>
      </c>
      <c r="P142" s="176">
        <v>5</v>
      </c>
      <c r="Q142" s="176">
        <v>5</v>
      </c>
      <c r="R142" s="176">
        <v>5</v>
      </c>
      <c r="S142" s="176">
        <v>5</v>
      </c>
      <c r="T142" s="176">
        <v>5</v>
      </c>
      <c r="U142" s="176">
        <v>5</v>
      </c>
      <c r="V142" s="176">
        <v>5</v>
      </c>
      <c r="W142" s="176">
        <v>5</v>
      </c>
      <c r="X142" s="176">
        <v>5</v>
      </c>
      <c r="Y142" s="176">
        <v>5</v>
      </c>
      <c r="Z142" s="176">
        <v>5</v>
      </c>
      <c r="AA142" s="176">
        <v>5</v>
      </c>
      <c r="AB142" s="176">
        <v>5</v>
      </c>
      <c r="AC142" s="176">
        <v>5</v>
      </c>
      <c r="AD142" s="176">
        <v>5</v>
      </c>
      <c r="AE142" s="176">
        <v>5</v>
      </c>
      <c r="AF142" s="176">
        <v>5</v>
      </c>
      <c r="AG142" s="100">
        <v>5</v>
      </c>
      <c r="AH142" s="54"/>
      <c r="AI142" s="55"/>
      <c r="AK142" s="56"/>
    </row>
    <row r="143" spans="1:37" x14ac:dyDescent="0.25">
      <c r="A143" s="164" t="s">
        <v>168</v>
      </c>
      <c r="B143" s="176">
        <v>4.9930000000000003</v>
      </c>
      <c r="C143" s="176">
        <v>4.9930000000000003</v>
      </c>
      <c r="D143" s="176">
        <v>4.9930000000000003</v>
      </c>
      <c r="E143" s="176">
        <v>4.9930000000000003</v>
      </c>
      <c r="F143" s="176">
        <v>4.9930000000000003</v>
      </c>
      <c r="G143" s="176">
        <v>4.9930000000000003</v>
      </c>
      <c r="H143" s="176">
        <v>4.9930000000000003</v>
      </c>
      <c r="I143" s="176">
        <v>4.9930000000000003</v>
      </c>
      <c r="J143" s="176">
        <v>4.9930000000000003</v>
      </c>
      <c r="K143" s="176">
        <v>4.9930000000000003</v>
      </c>
      <c r="L143" s="176">
        <v>4.9930000000000003</v>
      </c>
      <c r="M143" s="176">
        <v>4.9930000000000003</v>
      </c>
      <c r="N143" s="176">
        <v>4.9930000000000003</v>
      </c>
      <c r="O143" s="176">
        <v>4.9930000000000003</v>
      </c>
      <c r="P143" s="176">
        <v>4.9930000000000003</v>
      </c>
      <c r="Q143" s="176">
        <v>4.9930000000000003</v>
      </c>
      <c r="R143" s="176">
        <v>4.9930000000000003</v>
      </c>
      <c r="S143" s="176">
        <v>4.9930000000000003</v>
      </c>
      <c r="T143" s="176">
        <v>4.9930000000000003</v>
      </c>
      <c r="U143" s="176">
        <v>4.9930000000000003</v>
      </c>
      <c r="V143" s="176">
        <v>4.9930000000000003</v>
      </c>
      <c r="W143" s="176">
        <v>4.9930000000000003</v>
      </c>
      <c r="X143" s="176">
        <v>4.9930000000000003</v>
      </c>
      <c r="Y143" s="176">
        <v>4.9930000000000003</v>
      </c>
      <c r="Z143" s="176">
        <v>4.9930000000000003</v>
      </c>
      <c r="AA143" s="176">
        <v>4.9930000000000003</v>
      </c>
      <c r="AB143" s="176">
        <v>4.9930000000000003</v>
      </c>
      <c r="AC143" s="176">
        <v>4.9930000000000003</v>
      </c>
      <c r="AD143" s="176">
        <v>4.9930000000000003</v>
      </c>
      <c r="AE143" s="176">
        <v>4.9930000000000003</v>
      </c>
      <c r="AF143" s="176">
        <v>4.9930000000000003</v>
      </c>
      <c r="AG143" s="100">
        <v>4.9930000000000003</v>
      </c>
      <c r="AH143" s="54"/>
      <c r="AI143" s="55"/>
      <c r="AK143" s="56"/>
    </row>
    <row r="144" spans="1:37" x14ac:dyDescent="0.25">
      <c r="A144" s="164" t="s">
        <v>169</v>
      </c>
      <c r="B144" s="176">
        <v>4.9800000000000004</v>
      </c>
      <c r="C144" s="176">
        <v>4.9800000000000004</v>
      </c>
      <c r="D144" s="176">
        <v>4.9800000000000004</v>
      </c>
      <c r="E144" s="176">
        <v>4.9800000000000004</v>
      </c>
      <c r="F144" s="176">
        <v>4.9800000000000004</v>
      </c>
      <c r="G144" s="176">
        <v>4.9800000000000004</v>
      </c>
      <c r="H144" s="176">
        <v>4.9800000000000004</v>
      </c>
      <c r="I144" s="176">
        <v>4.9800000000000004</v>
      </c>
      <c r="J144" s="176">
        <v>4.9800000000000004</v>
      </c>
      <c r="K144" s="176">
        <v>4.9800000000000004</v>
      </c>
      <c r="L144" s="176">
        <v>4.9800000000000004</v>
      </c>
      <c r="M144" s="176">
        <v>4.9800000000000004</v>
      </c>
      <c r="N144" s="176">
        <v>4.9800000000000004</v>
      </c>
      <c r="O144" s="176">
        <v>4.9800000000000004</v>
      </c>
      <c r="P144" s="176">
        <v>4.9800000000000004</v>
      </c>
      <c r="Q144" s="176">
        <v>4.9800000000000004</v>
      </c>
      <c r="R144" s="176">
        <v>4.9800000000000004</v>
      </c>
      <c r="S144" s="176">
        <v>4.9800000000000004</v>
      </c>
      <c r="T144" s="176">
        <v>4.9800000000000004</v>
      </c>
      <c r="U144" s="176">
        <v>4.9800000000000004</v>
      </c>
      <c r="V144" s="176">
        <v>4.9800000000000004</v>
      </c>
      <c r="W144" s="176">
        <v>4.9800000000000004</v>
      </c>
      <c r="X144" s="176">
        <v>4.9800000000000004</v>
      </c>
      <c r="Y144" s="176">
        <v>4.9800000000000004</v>
      </c>
      <c r="Z144" s="176">
        <v>4.9800000000000004</v>
      </c>
      <c r="AA144" s="176">
        <v>4.9800000000000004</v>
      </c>
      <c r="AB144" s="176">
        <v>4.9800000000000004</v>
      </c>
      <c r="AC144" s="176">
        <v>4.9800000000000004</v>
      </c>
      <c r="AD144" s="176">
        <v>4.9800000000000004</v>
      </c>
      <c r="AE144" s="176">
        <v>4.9800000000000004</v>
      </c>
      <c r="AF144" s="176">
        <v>4.9800000000000004</v>
      </c>
      <c r="AG144" s="100">
        <v>4.9800000000000004</v>
      </c>
      <c r="AH144" s="54"/>
      <c r="AI144" s="55"/>
      <c r="AK144" s="56"/>
    </row>
    <row r="145" spans="1:37" x14ac:dyDescent="0.25">
      <c r="A145" s="164" t="s">
        <v>170</v>
      </c>
      <c r="B145" s="176">
        <v>4.95</v>
      </c>
      <c r="C145" s="176">
        <v>4.95</v>
      </c>
      <c r="D145" s="176">
        <v>4.95</v>
      </c>
      <c r="E145" s="176">
        <v>4.95</v>
      </c>
      <c r="F145" s="176">
        <v>4.95</v>
      </c>
      <c r="G145" s="176">
        <v>4.95</v>
      </c>
      <c r="H145" s="176">
        <v>4.95</v>
      </c>
      <c r="I145" s="176">
        <v>4.95</v>
      </c>
      <c r="J145" s="176">
        <v>4.95</v>
      </c>
      <c r="K145" s="176">
        <v>4.95</v>
      </c>
      <c r="L145" s="176">
        <v>4.95</v>
      </c>
      <c r="M145" s="176">
        <v>4.95</v>
      </c>
      <c r="N145" s="176">
        <v>4.95</v>
      </c>
      <c r="O145" s="176">
        <v>4.95</v>
      </c>
      <c r="P145" s="176">
        <v>4.95</v>
      </c>
      <c r="Q145" s="176">
        <v>4.95</v>
      </c>
      <c r="R145" s="176">
        <v>4.95</v>
      </c>
      <c r="S145" s="176">
        <v>4.95</v>
      </c>
      <c r="T145" s="176">
        <v>4.95</v>
      </c>
      <c r="U145" s="176">
        <v>4.95</v>
      </c>
      <c r="V145" s="176">
        <v>4.95</v>
      </c>
      <c r="W145" s="176">
        <v>4.95</v>
      </c>
      <c r="X145" s="176">
        <v>4.95</v>
      </c>
      <c r="Y145" s="176">
        <v>4.95</v>
      </c>
      <c r="Z145" s="176">
        <v>4.95</v>
      </c>
      <c r="AA145" s="176">
        <v>4.95</v>
      </c>
      <c r="AB145" s="176">
        <v>4.95</v>
      </c>
      <c r="AC145" s="176">
        <v>4.95</v>
      </c>
      <c r="AD145" s="176">
        <v>4.95</v>
      </c>
      <c r="AE145" s="176">
        <v>4.95</v>
      </c>
      <c r="AF145" s="176">
        <v>4.95</v>
      </c>
      <c r="AG145" s="100">
        <v>4.95</v>
      </c>
      <c r="AH145" s="54"/>
      <c r="AI145" s="55"/>
      <c r="AK145" s="56"/>
    </row>
    <row r="146" spans="1:37" x14ac:dyDescent="0.25">
      <c r="A146" s="164" t="s">
        <v>171</v>
      </c>
      <c r="B146" s="176">
        <v>4.95</v>
      </c>
      <c r="C146" s="176">
        <v>4.95</v>
      </c>
      <c r="D146" s="176">
        <v>4.95</v>
      </c>
      <c r="E146" s="176">
        <v>4.95</v>
      </c>
      <c r="F146" s="176">
        <v>4.95</v>
      </c>
      <c r="G146" s="176">
        <v>4.95</v>
      </c>
      <c r="H146" s="176">
        <v>4.95</v>
      </c>
      <c r="I146" s="176">
        <v>4.95</v>
      </c>
      <c r="J146" s="176">
        <v>4.95</v>
      </c>
      <c r="K146" s="176">
        <v>4.95</v>
      </c>
      <c r="L146" s="176">
        <v>4.95</v>
      </c>
      <c r="M146" s="176">
        <v>4.95</v>
      </c>
      <c r="N146" s="176">
        <v>4.95</v>
      </c>
      <c r="O146" s="176">
        <v>4.95</v>
      </c>
      <c r="P146" s="176">
        <v>4.95</v>
      </c>
      <c r="Q146" s="176">
        <v>4.95</v>
      </c>
      <c r="R146" s="176">
        <v>4.95</v>
      </c>
      <c r="S146" s="176">
        <v>4.95</v>
      </c>
      <c r="T146" s="176">
        <v>4.95</v>
      </c>
      <c r="U146" s="176">
        <v>4.95</v>
      </c>
      <c r="V146" s="176">
        <v>4.95</v>
      </c>
      <c r="W146" s="176">
        <v>4.95</v>
      </c>
      <c r="X146" s="176">
        <v>4.95</v>
      </c>
      <c r="Y146" s="176">
        <v>4.95</v>
      </c>
      <c r="Z146" s="176">
        <v>4.95</v>
      </c>
      <c r="AA146" s="176">
        <v>4.95</v>
      </c>
      <c r="AB146" s="176">
        <v>4.95</v>
      </c>
      <c r="AC146" s="176">
        <v>4.95</v>
      </c>
      <c r="AD146" s="176">
        <v>4.95</v>
      </c>
      <c r="AE146" s="176">
        <v>4.95</v>
      </c>
      <c r="AF146" s="176">
        <v>4.95</v>
      </c>
      <c r="AG146" s="100">
        <v>4.95</v>
      </c>
      <c r="AH146" s="54"/>
      <c r="AI146" s="55"/>
      <c r="AK146" s="56"/>
    </row>
    <row r="147" spans="1:37" x14ac:dyDescent="0.25">
      <c r="A147" s="164" t="s">
        <v>172</v>
      </c>
      <c r="B147" s="176">
        <v>4.8</v>
      </c>
      <c r="C147" s="176">
        <v>4.8</v>
      </c>
      <c r="D147" s="176">
        <v>4.8</v>
      </c>
      <c r="E147" s="176">
        <v>4.8</v>
      </c>
      <c r="F147" s="176">
        <v>4.8</v>
      </c>
      <c r="G147" s="176">
        <v>4.8</v>
      </c>
      <c r="H147" s="176">
        <v>4.8</v>
      </c>
      <c r="I147" s="176">
        <v>4.8</v>
      </c>
      <c r="J147" s="176">
        <v>4.8</v>
      </c>
      <c r="K147" s="176">
        <v>4.8</v>
      </c>
      <c r="L147" s="176">
        <v>4.8</v>
      </c>
      <c r="M147" s="176">
        <v>4.8</v>
      </c>
      <c r="N147" s="176">
        <v>4.8</v>
      </c>
      <c r="O147" s="176">
        <v>4.8</v>
      </c>
      <c r="P147" s="176">
        <v>4.8</v>
      </c>
      <c r="Q147" s="176">
        <v>4.8</v>
      </c>
      <c r="R147" s="176">
        <v>4.8</v>
      </c>
      <c r="S147" s="176">
        <v>4.8</v>
      </c>
      <c r="T147" s="176">
        <v>4.8</v>
      </c>
      <c r="U147" s="176">
        <v>4.8</v>
      </c>
      <c r="V147" s="176">
        <v>4.8</v>
      </c>
      <c r="W147" s="176">
        <v>4.8</v>
      </c>
      <c r="X147" s="176">
        <v>4.8</v>
      </c>
      <c r="Y147" s="176">
        <v>4.8</v>
      </c>
      <c r="Z147" s="176">
        <v>4.8</v>
      </c>
      <c r="AA147" s="176">
        <v>4.8</v>
      </c>
      <c r="AB147" s="176">
        <v>4.8</v>
      </c>
      <c r="AC147" s="176">
        <v>4.8</v>
      </c>
      <c r="AD147" s="176">
        <v>4.8</v>
      </c>
      <c r="AE147" s="176">
        <v>4.8</v>
      </c>
      <c r="AF147" s="176">
        <v>4.8</v>
      </c>
      <c r="AG147" s="100">
        <v>4.8</v>
      </c>
      <c r="AH147" s="54"/>
      <c r="AI147" s="55"/>
      <c r="AK147" s="56"/>
    </row>
    <row r="148" spans="1:37" x14ac:dyDescent="0.25">
      <c r="A148" s="164" t="s">
        <v>173</v>
      </c>
      <c r="B148" s="176">
        <v>4.8</v>
      </c>
      <c r="C148" s="176">
        <v>4.8</v>
      </c>
      <c r="D148" s="176">
        <v>4.8</v>
      </c>
      <c r="E148" s="176">
        <v>4.8</v>
      </c>
      <c r="F148" s="176">
        <v>4.8</v>
      </c>
      <c r="G148" s="176">
        <v>4.8</v>
      </c>
      <c r="H148" s="176">
        <v>4.8</v>
      </c>
      <c r="I148" s="176">
        <v>4.8</v>
      </c>
      <c r="J148" s="176">
        <v>4.8</v>
      </c>
      <c r="K148" s="176">
        <v>4.8</v>
      </c>
      <c r="L148" s="176">
        <v>4.8</v>
      </c>
      <c r="M148" s="176">
        <v>4.8</v>
      </c>
      <c r="N148" s="176">
        <v>4.8</v>
      </c>
      <c r="O148" s="176">
        <v>4.8</v>
      </c>
      <c r="P148" s="176">
        <v>4.8</v>
      </c>
      <c r="Q148" s="176">
        <v>4.8</v>
      </c>
      <c r="R148" s="176">
        <v>4.8</v>
      </c>
      <c r="S148" s="176">
        <v>4.8</v>
      </c>
      <c r="T148" s="176">
        <v>4.8</v>
      </c>
      <c r="U148" s="176">
        <v>4.8</v>
      </c>
      <c r="V148" s="176">
        <v>4.8</v>
      </c>
      <c r="W148" s="176">
        <v>4.8</v>
      </c>
      <c r="X148" s="176">
        <v>4.8</v>
      </c>
      <c r="Y148" s="176">
        <v>4.8</v>
      </c>
      <c r="Z148" s="176">
        <v>4.8</v>
      </c>
      <c r="AA148" s="176">
        <v>4.8</v>
      </c>
      <c r="AB148" s="176">
        <v>4.8</v>
      </c>
      <c r="AC148" s="176">
        <v>4.8</v>
      </c>
      <c r="AD148" s="176">
        <v>4.8</v>
      </c>
      <c r="AE148" s="176">
        <v>4.8</v>
      </c>
      <c r="AF148" s="176">
        <v>4.8</v>
      </c>
      <c r="AG148" s="100">
        <v>4.8</v>
      </c>
      <c r="AH148" s="54"/>
      <c r="AI148" s="55"/>
      <c r="AK148" s="56"/>
    </row>
    <row r="149" spans="1:37" x14ac:dyDescent="0.25">
      <c r="A149" s="163" t="s">
        <v>174</v>
      </c>
      <c r="B149" s="176">
        <v>4.5</v>
      </c>
      <c r="C149" s="176">
        <v>4.5</v>
      </c>
      <c r="D149" s="176">
        <v>4.5</v>
      </c>
      <c r="E149" s="176">
        <v>4.5</v>
      </c>
      <c r="F149" s="176">
        <v>4.5</v>
      </c>
      <c r="G149" s="176">
        <v>4.5</v>
      </c>
      <c r="H149" s="176">
        <v>4.5</v>
      </c>
      <c r="I149" s="176">
        <v>4.5</v>
      </c>
      <c r="J149" s="176">
        <v>4.5</v>
      </c>
      <c r="K149" s="176">
        <v>4.5</v>
      </c>
      <c r="L149" s="176">
        <v>4.5</v>
      </c>
      <c r="M149" s="176">
        <v>4.5</v>
      </c>
      <c r="N149" s="176">
        <v>4.5</v>
      </c>
      <c r="O149" s="176">
        <v>4.5</v>
      </c>
      <c r="P149" s="176">
        <v>4.5</v>
      </c>
      <c r="Q149" s="176">
        <v>4.5</v>
      </c>
      <c r="R149" s="176">
        <v>4.5</v>
      </c>
      <c r="S149" s="176">
        <v>4.5</v>
      </c>
      <c r="T149" s="176">
        <v>4.5</v>
      </c>
      <c r="U149" s="176">
        <v>4.5</v>
      </c>
      <c r="V149" s="176">
        <v>4.5</v>
      </c>
      <c r="W149" s="176">
        <v>4.5</v>
      </c>
      <c r="X149" s="176">
        <v>4.5</v>
      </c>
      <c r="Y149" s="176">
        <v>4.5</v>
      </c>
      <c r="Z149" s="176">
        <v>4.5</v>
      </c>
      <c r="AA149" s="176">
        <v>4.5</v>
      </c>
      <c r="AB149" s="176">
        <v>4.5</v>
      </c>
      <c r="AC149" s="176">
        <v>4.5</v>
      </c>
      <c r="AD149" s="176">
        <v>4.5</v>
      </c>
      <c r="AE149" s="176">
        <v>4.5</v>
      </c>
      <c r="AF149" s="176">
        <v>4.5</v>
      </c>
      <c r="AG149" s="99">
        <v>4.5</v>
      </c>
      <c r="AH149" s="54"/>
      <c r="AI149" s="55"/>
      <c r="AK149" s="56"/>
    </row>
    <row r="150" spans="1:37" x14ac:dyDescent="0.25">
      <c r="A150" s="164" t="s">
        <v>175</v>
      </c>
      <c r="B150" s="176">
        <v>4.5</v>
      </c>
      <c r="C150" s="176">
        <v>4.5</v>
      </c>
      <c r="D150" s="176">
        <v>4.5</v>
      </c>
      <c r="E150" s="176">
        <v>4.5</v>
      </c>
      <c r="F150" s="176">
        <v>4.5</v>
      </c>
      <c r="G150" s="176">
        <v>4.5</v>
      </c>
      <c r="H150" s="176">
        <v>4.5</v>
      </c>
      <c r="I150" s="176">
        <v>4.5</v>
      </c>
      <c r="J150" s="176">
        <v>4.5</v>
      </c>
      <c r="K150" s="176">
        <v>4.5</v>
      </c>
      <c r="L150" s="176">
        <v>4.5</v>
      </c>
      <c r="M150" s="176">
        <v>4.5</v>
      </c>
      <c r="N150" s="176">
        <v>4.5</v>
      </c>
      <c r="O150" s="176">
        <v>4.5</v>
      </c>
      <c r="P150" s="176">
        <v>4.5</v>
      </c>
      <c r="Q150" s="176">
        <v>4.5</v>
      </c>
      <c r="R150" s="176">
        <v>4.5</v>
      </c>
      <c r="S150" s="176">
        <v>4.5</v>
      </c>
      <c r="T150" s="176">
        <v>4.5</v>
      </c>
      <c r="U150" s="176">
        <v>4.5</v>
      </c>
      <c r="V150" s="176">
        <v>4.5</v>
      </c>
      <c r="W150" s="176">
        <v>4.5</v>
      </c>
      <c r="X150" s="176">
        <v>4.5</v>
      </c>
      <c r="Y150" s="176">
        <v>4.5</v>
      </c>
      <c r="Z150" s="176">
        <v>4.5</v>
      </c>
      <c r="AA150" s="176">
        <v>4.5</v>
      </c>
      <c r="AB150" s="176">
        <v>4.5</v>
      </c>
      <c r="AC150" s="176">
        <v>4.5</v>
      </c>
      <c r="AD150" s="176">
        <v>4.5</v>
      </c>
      <c r="AE150" s="176">
        <v>4.5</v>
      </c>
      <c r="AF150" s="176">
        <v>4.5</v>
      </c>
      <c r="AG150" s="100">
        <v>4.5</v>
      </c>
      <c r="AH150" s="54"/>
      <c r="AI150" s="55"/>
      <c r="AK150" s="56"/>
    </row>
    <row r="151" spans="1:37" x14ac:dyDescent="0.25">
      <c r="A151" s="164" t="s">
        <v>176</v>
      </c>
      <c r="B151" s="176">
        <v>4.4550000000000001</v>
      </c>
      <c r="C151" s="176">
        <v>4.4550000000000001</v>
      </c>
      <c r="D151" s="176">
        <v>4.4550000000000001</v>
      </c>
      <c r="E151" s="176">
        <v>4.4550000000000001</v>
      </c>
      <c r="F151" s="176">
        <v>4.4550000000000001</v>
      </c>
      <c r="G151" s="176">
        <v>4.4550000000000001</v>
      </c>
      <c r="H151" s="176">
        <v>4.4550000000000001</v>
      </c>
      <c r="I151" s="176">
        <v>4.4550000000000001</v>
      </c>
      <c r="J151" s="176">
        <v>4.4550000000000001</v>
      </c>
      <c r="K151" s="176">
        <v>4.4550000000000001</v>
      </c>
      <c r="L151" s="176">
        <v>4.4550000000000001</v>
      </c>
      <c r="M151" s="176">
        <v>4.4550000000000001</v>
      </c>
      <c r="N151" s="176">
        <v>4.4550000000000001</v>
      </c>
      <c r="O151" s="176">
        <v>4.4550000000000001</v>
      </c>
      <c r="P151" s="176">
        <v>4.4550000000000001</v>
      </c>
      <c r="Q151" s="176">
        <v>4.4550000000000001</v>
      </c>
      <c r="R151" s="176">
        <v>4.4550000000000001</v>
      </c>
      <c r="S151" s="176">
        <v>4.4550000000000001</v>
      </c>
      <c r="T151" s="176">
        <v>4.4550000000000001</v>
      </c>
      <c r="U151" s="176">
        <v>4.4550000000000001</v>
      </c>
      <c r="V151" s="176">
        <v>4.4550000000000001</v>
      </c>
      <c r="W151" s="176">
        <v>4.4550000000000001</v>
      </c>
      <c r="X151" s="176">
        <v>4.4550000000000001</v>
      </c>
      <c r="Y151" s="176">
        <v>4.4550000000000001</v>
      </c>
      <c r="Z151" s="176">
        <v>4.4550000000000001</v>
      </c>
      <c r="AA151" s="176">
        <v>4.4550000000000001</v>
      </c>
      <c r="AB151" s="176">
        <v>4.4550000000000001</v>
      </c>
      <c r="AC151" s="176">
        <v>4.4550000000000001</v>
      </c>
      <c r="AD151" s="176">
        <v>4.4550000000000001</v>
      </c>
      <c r="AE151" s="176">
        <v>4.4550000000000001</v>
      </c>
      <c r="AF151" s="176">
        <v>4.4550000000000001</v>
      </c>
      <c r="AG151" s="100">
        <v>4.4550000000000001</v>
      </c>
      <c r="AH151" s="54"/>
      <c r="AI151" s="55"/>
      <c r="AK151" s="56"/>
    </row>
    <row r="152" spans="1:37" x14ac:dyDescent="0.25">
      <c r="A152" s="164" t="s">
        <v>177</v>
      </c>
      <c r="B152" s="176">
        <v>4.41</v>
      </c>
      <c r="C152" s="176">
        <v>4.41</v>
      </c>
      <c r="D152" s="176">
        <v>4.41</v>
      </c>
      <c r="E152" s="176">
        <v>4.41</v>
      </c>
      <c r="F152" s="176">
        <v>4.41</v>
      </c>
      <c r="G152" s="176">
        <v>4.41</v>
      </c>
      <c r="H152" s="176">
        <v>4.41</v>
      </c>
      <c r="I152" s="176">
        <v>4.41</v>
      </c>
      <c r="J152" s="176">
        <v>4.41</v>
      </c>
      <c r="K152" s="176">
        <v>4.41</v>
      </c>
      <c r="L152" s="176">
        <v>4.41</v>
      </c>
      <c r="M152" s="176">
        <v>4.41</v>
      </c>
      <c r="N152" s="176">
        <v>4.41</v>
      </c>
      <c r="O152" s="176">
        <v>4.41</v>
      </c>
      <c r="P152" s="176">
        <v>4.41</v>
      </c>
      <c r="Q152" s="176">
        <v>4.41</v>
      </c>
      <c r="R152" s="176">
        <v>4.41</v>
      </c>
      <c r="S152" s="176">
        <v>4.41</v>
      </c>
      <c r="T152" s="176">
        <v>4.41</v>
      </c>
      <c r="U152" s="176">
        <v>4.41</v>
      </c>
      <c r="V152" s="176">
        <v>4.41</v>
      </c>
      <c r="W152" s="176">
        <v>4.41</v>
      </c>
      <c r="X152" s="176">
        <v>4.41</v>
      </c>
      <c r="Y152" s="176">
        <v>4.41</v>
      </c>
      <c r="Z152" s="176">
        <v>4.41</v>
      </c>
      <c r="AA152" s="176">
        <v>4.41</v>
      </c>
      <c r="AB152" s="176">
        <v>4.41</v>
      </c>
      <c r="AC152" s="176">
        <v>4.41</v>
      </c>
      <c r="AD152" s="176">
        <v>4.41</v>
      </c>
      <c r="AE152" s="176">
        <v>4.41</v>
      </c>
      <c r="AF152" s="176">
        <v>4.41</v>
      </c>
      <c r="AG152" s="100">
        <v>4.41</v>
      </c>
      <c r="AH152" s="54"/>
      <c r="AI152" s="55"/>
      <c r="AK152" s="56"/>
    </row>
    <row r="153" spans="1:37" x14ac:dyDescent="0.25">
      <c r="A153" s="164" t="s">
        <v>178</v>
      </c>
      <c r="B153" s="176">
        <v>4.4000000000000004</v>
      </c>
      <c r="C153" s="176">
        <v>4.4000000000000004</v>
      </c>
      <c r="D153" s="176">
        <v>4.4000000000000004</v>
      </c>
      <c r="E153" s="176">
        <v>4.4000000000000004</v>
      </c>
      <c r="F153" s="176">
        <v>4.4000000000000004</v>
      </c>
      <c r="G153" s="176">
        <v>4.4000000000000004</v>
      </c>
      <c r="H153" s="176">
        <v>4.4000000000000004</v>
      </c>
      <c r="I153" s="176">
        <v>4.4000000000000004</v>
      </c>
      <c r="J153" s="176">
        <v>4.4000000000000004</v>
      </c>
      <c r="K153" s="176">
        <v>4.4000000000000004</v>
      </c>
      <c r="L153" s="176">
        <v>4.4000000000000004</v>
      </c>
      <c r="M153" s="176">
        <v>4.4000000000000004</v>
      </c>
      <c r="N153" s="176">
        <v>4.4000000000000004</v>
      </c>
      <c r="O153" s="176">
        <v>4.4000000000000004</v>
      </c>
      <c r="P153" s="176">
        <v>4.4000000000000004</v>
      </c>
      <c r="Q153" s="176">
        <v>4.4000000000000004</v>
      </c>
      <c r="R153" s="176">
        <v>4.4000000000000004</v>
      </c>
      <c r="S153" s="176">
        <v>4.4000000000000004</v>
      </c>
      <c r="T153" s="176">
        <v>4.4000000000000004</v>
      </c>
      <c r="U153" s="176">
        <v>4.4000000000000004</v>
      </c>
      <c r="V153" s="176">
        <v>4.4000000000000004</v>
      </c>
      <c r="W153" s="176">
        <v>4.4000000000000004</v>
      </c>
      <c r="X153" s="176">
        <v>4.4000000000000004</v>
      </c>
      <c r="Y153" s="176">
        <v>4.4000000000000004</v>
      </c>
      <c r="Z153" s="176">
        <v>4.4000000000000004</v>
      </c>
      <c r="AA153" s="176">
        <v>4.4000000000000004</v>
      </c>
      <c r="AB153" s="176">
        <v>4.4000000000000004</v>
      </c>
      <c r="AC153" s="176">
        <v>4.4000000000000004</v>
      </c>
      <c r="AD153" s="176">
        <v>4.4000000000000004</v>
      </c>
      <c r="AE153" s="176">
        <v>4.4000000000000004</v>
      </c>
      <c r="AF153" s="176">
        <v>4.4000000000000004</v>
      </c>
      <c r="AG153" s="100">
        <v>4.4000000000000004</v>
      </c>
      <c r="AH153" s="54"/>
      <c r="AI153" s="55"/>
      <c r="AK153" s="56"/>
    </row>
    <row r="154" spans="1:37" x14ac:dyDescent="0.25">
      <c r="A154" s="164" t="s">
        <v>179</v>
      </c>
      <c r="B154" s="176">
        <v>4.3600000000000003</v>
      </c>
      <c r="C154" s="176">
        <v>4.3600000000000003</v>
      </c>
      <c r="D154" s="176">
        <v>4.3600000000000003</v>
      </c>
      <c r="E154" s="176">
        <v>4.3600000000000003</v>
      </c>
      <c r="F154" s="176">
        <v>4.3600000000000003</v>
      </c>
      <c r="G154" s="176">
        <v>4.3600000000000003</v>
      </c>
      <c r="H154" s="176">
        <v>4.3600000000000003</v>
      </c>
      <c r="I154" s="176">
        <v>4.3600000000000003</v>
      </c>
      <c r="J154" s="176">
        <v>4.3600000000000003</v>
      </c>
      <c r="K154" s="176">
        <v>4.3600000000000003</v>
      </c>
      <c r="L154" s="176">
        <v>4.3600000000000003</v>
      </c>
      <c r="M154" s="176">
        <v>4.3600000000000003</v>
      </c>
      <c r="N154" s="176">
        <v>4.3600000000000003</v>
      </c>
      <c r="O154" s="176">
        <v>4.3600000000000003</v>
      </c>
      <c r="P154" s="176">
        <v>4.3600000000000003</v>
      </c>
      <c r="Q154" s="176">
        <v>4.3600000000000003</v>
      </c>
      <c r="R154" s="176">
        <v>4.3600000000000003</v>
      </c>
      <c r="S154" s="176">
        <v>4.3600000000000003</v>
      </c>
      <c r="T154" s="176">
        <v>4.3600000000000003</v>
      </c>
      <c r="U154" s="176">
        <v>4.3600000000000003</v>
      </c>
      <c r="V154" s="176">
        <v>4.3600000000000003</v>
      </c>
      <c r="W154" s="176">
        <v>4.3600000000000003</v>
      </c>
      <c r="X154" s="176">
        <v>4.3600000000000003</v>
      </c>
      <c r="Y154" s="176">
        <v>4.3600000000000003</v>
      </c>
      <c r="Z154" s="176">
        <v>4.3600000000000003</v>
      </c>
      <c r="AA154" s="176">
        <v>4.3600000000000003</v>
      </c>
      <c r="AB154" s="176">
        <v>4.3600000000000003</v>
      </c>
      <c r="AC154" s="176">
        <v>4.3600000000000003</v>
      </c>
      <c r="AD154" s="176">
        <v>4.3600000000000003</v>
      </c>
      <c r="AE154" s="176">
        <v>4.3600000000000003</v>
      </c>
      <c r="AF154" s="176">
        <v>4.3600000000000003</v>
      </c>
      <c r="AG154" s="100">
        <v>4.3600000000000003</v>
      </c>
      <c r="AH154" s="54"/>
      <c r="AI154" s="55"/>
      <c r="AK154" s="56"/>
    </row>
    <row r="155" spans="1:37" x14ac:dyDescent="0.25">
      <c r="A155" s="164" t="s">
        <v>180</v>
      </c>
      <c r="B155" s="176">
        <v>4.2</v>
      </c>
      <c r="C155" s="176">
        <v>4.2</v>
      </c>
      <c r="D155" s="176">
        <v>4.2</v>
      </c>
      <c r="E155" s="176">
        <v>4.2</v>
      </c>
      <c r="F155" s="176">
        <v>4.2</v>
      </c>
      <c r="G155" s="176">
        <v>4.2</v>
      </c>
      <c r="H155" s="176">
        <v>4.2</v>
      </c>
      <c r="I155" s="176">
        <v>4.2</v>
      </c>
      <c r="J155" s="176">
        <v>4.2</v>
      </c>
      <c r="K155" s="176">
        <v>4.2</v>
      </c>
      <c r="L155" s="176">
        <v>4.2</v>
      </c>
      <c r="M155" s="176">
        <v>4.2</v>
      </c>
      <c r="N155" s="176">
        <v>4.2</v>
      </c>
      <c r="O155" s="176">
        <v>4.2</v>
      </c>
      <c r="P155" s="176">
        <v>4.2</v>
      </c>
      <c r="Q155" s="176">
        <v>4.2</v>
      </c>
      <c r="R155" s="176">
        <v>4.2</v>
      </c>
      <c r="S155" s="176">
        <v>4.2</v>
      </c>
      <c r="T155" s="176">
        <v>4.2</v>
      </c>
      <c r="U155" s="176">
        <v>4.2</v>
      </c>
      <c r="V155" s="176">
        <v>4.2</v>
      </c>
      <c r="W155" s="176">
        <v>4.2</v>
      </c>
      <c r="X155" s="176">
        <v>4.2</v>
      </c>
      <c r="Y155" s="176">
        <v>4.2</v>
      </c>
      <c r="Z155" s="176">
        <v>4.2</v>
      </c>
      <c r="AA155" s="176">
        <v>4.2</v>
      </c>
      <c r="AB155" s="176">
        <v>4.2</v>
      </c>
      <c r="AC155" s="176">
        <v>4.2</v>
      </c>
      <c r="AD155" s="176">
        <v>4.2</v>
      </c>
      <c r="AE155" s="176">
        <v>4.2</v>
      </c>
      <c r="AF155" s="176">
        <v>4.2</v>
      </c>
      <c r="AG155" s="100">
        <v>4.2</v>
      </c>
      <c r="AH155" s="54"/>
      <c r="AI155" s="55"/>
      <c r="AK155" s="56"/>
    </row>
    <row r="156" spans="1:37" x14ac:dyDescent="0.25">
      <c r="A156" s="164" t="s">
        <v>181</v>
      </c>
      <c r="B156" s="176">
        <v>4</v>
      </c>
      <c r="C156" s="176">
        <v>4</v>
      </c>
      <c r="D156" s="176">
        <v>4</v>
      </c>
      <c r="E156" s="176">
        <v>4</v>
      </c>
      <c r="F156" s="176">
        <v>4</v>
      </c>
      <c r="G156" s="176">
        <v>4</v>
      </c>
      <c r="H156" s="176">
        <v>4</v>
      </c>
      <c r="I156" s="176">
        <v>4</v>
      </c>
      <c r="J156" s="176">
        <v>4</v>
      </c>
      <c r="K156" s="176">
        <v>4</v>
      </c>
      <c r="L156" s="176">
        <v>4</v>
      </c>
      <c r="M156" s="176">
        <v>4</v>
      </c>
      <c r="N156" s="176">
        <v>4</v>
      </c>
      <c r="O156" s="176">
        <v>4</v>
      </c>
      <c r="P156" s="176">
        <v>4</v>
      </c>
      <c r="Q156" s="176">
        <v>4</v>
      </c>
      <c r="R156" s="176">
        <v>4</v>
      </c>
      <c r="S156" s="176">
        <v>4</v>
      </c>
      <c r="T156" s="176">
        <v>4</v>
      </c>
      <c r="U156" s="176">
        <v>4</v>
      </c>
      <c r="V156" s="176">
        <v>4</v>
      </c>
      <c r="W156" s="176">
        <v>4</v>
      </c>
      <c r="X156" s="176">
        <v>4</v>
      </c>
      <c r="Y156" s="176">
        <v>4</v>
      </c>
      <c r="Z156" s="176">
        <v>4</v>
      </c>
      <c r="AA156" s="176">
        <v>4</v>
      </c>
      <c r="AB156" s="176">
        <v>4</v>
      </c>
      <c r="AC156" s="176">
        <v>4</v>
      </c>
      <c r="AD156" s="176">
        <v>4</v>
      </c>
      <c r="AE156" s="176">
        <v>4</v>
      </c>
      <c r="AF156" s="176">
        <v>4</v>
      </c>
      <c r="AG156" s="100">
        <v>4</v>
      </c>
      <c r="AH156" s="54"/>
      <c r="AI156" s="55"/>
      <c r="AK156" s="56"/>
    </row>
    <row r="157" spans="1:37" x14ac:dyDescent="0.25">
      <c r="A157" s="164" t="s">
        <v>182</v>
      </c>
      <c r="B157" s="176">
        <v>4</v>
      </c>
      <c r="C157" s="176">
        <v>4</v>
      </c>
      <c r="D157" s="176">
        <v>4</v>
      </c>
      <c r="E157" s="176">
        <v>4</v>
      </c>
      <c r="F157" s="176">
        <v>4</v>
      </c>
      <c r="G157" s="176">
        <v>4</v>
      </c>
      <c r="H157" s="176">
        <v>4</v>
      </c>
      <c r="I157" s="176">
        <v>4</v>
      </c>
      <c r="J157" s="176">
        <v>4</v>
      </c>
      <c r="K157" s="176">
        <v>4</v>
      </c>
      <c r="L157" s="176">
        <v>4</v>
      </c>
      <c r="M157" s="176">
        <v>4</v>
      </c>
      <c r="N157" s="176">
        <v>4</v>
      </c>
      <c r="O157" s="176">
        <v>4</v>
      </c>
      <c r="P157" s="176">
        <v>4</v>
      </c>
      <c r="Q157" s="176">
        <v>4</v>
      </c>
      <c r="R157" s="176">
        <v>4</v>
      </c>
      <c r="S157" s="176">
        <v>4</v>
      </c>
      <c r="T157" s="176">
        <v>4</v>
      </c>
      <c r="U157" s="176">
        <v>4</v>
      </c>
      <c r="V157" s="176">
        <v>4</v>
      </c>
      <c r="W157" s="176">
        <v>4</v>
      </c>
      <c r="X157" s="176">
        <v>4</v>
      </c>
      <c r="Y157" s="176">
        <v>4</v>
      </c>
      <c r="Z157" s="176">
        <v>4</v>
      </c>
      <c r="AA157" s="176">
        <v>4</v>
      </c>
      <c r="AB157" s="176">
        <v>4</v>
      </c>
      <c r="AC157" s="176">
        <v>4</v>
      </c>
      <c r="AD157" s="176">
        <v>4</v>
      </c>
      <c r="AE157" s="176">
        <v>4</v>
      </c>
      <c r="AF157" s="176">
        <v>4</v>
      </c>
      <c r="AG157" s="100">
        <v>4</v>
      </c>
      <c r="AH157" s="54"/>
      <c r="AI157" s="55"/>
      <c r="AK157" s="56"/>
    </row>
    <row r="158" spans="1:37" x14ac:dyDescent="0.25">
      <c r="A158" s="164" t="s">
        <v>81</v>
      </c>
      <c r="B158" s="176">
        <v>4</v>
      </c>
      <c r="C158" s="176">
        <v>4</v>
      </c>
      <c r="D158" s="176">
        <v>4</v>
      </c>
      <c r="E158" s="176">
        <v>4</v>
      </c>
      <c r="F158" s="176">
        <v>4</v>
      </c>
      <c r="G158" s="176">
        <v>4</v>
      </c>
      <c r="H158" s="176">
        <v>4</v>
      </c>
      <c r="I158" s="176">
        <v>4</v>
      </c>
      <c r="J158" s="176">
        <v>4</v>
      </c>
      <c r="K158" s="176">
        <v>4</v>
      </c>
      <c r="L158" s="176">
        <v>4</v>
      </c>
      <c r="M158" s="176">
        <v>4</v>
      </c>
      <c r="N158" s="176">
        <v>4</v>
      </c>
      <c r="O158" s="176">
        <v>4</v>
      </c>
      <c r="P158" s="176">
        <v>4</v>
      </c>
      <c r="Q158" s="176">
        <v>4</v>
      </c>
      <c r="R158" s="176">
        <v>4</v>
      </c>
      <c r="S158" s="176">
        <v>4</v>
      </c>
      <c r="T158" s="176">
        <v>4</v>
      </c>
      <c r="U158" s="176">
        <v>4</v>
      </c>
      <c r="V158" s="176">
        <v>4</v>
      </c>
      <c r="W158" s="176">
        <v>4</v>
      </c>
      <c r="X158" s="176">
        <v>4</v>
      </c>
      <c r="Y158" s="176">
        <v>4</v>
      </c>
      <c r="Z158" s="176">
        <v>4</v>
      </c>
      <c r="AA158" s="176">
        <v>4</v>
      </c>
      <c r="AB158" s="176">
        <v>4</v>
      </c>
      <c r="AC158" s="176">
        <v>4</v>
      </c>
      <c r="AD158" s="176">
        <v>4</v>
      </c>
      <c r="AE158" s="176">
        <v>4</v>
      </c>
      <c r="AF158" s="176">
        <v>4</v>
      </c>
      <c r="AG158" s="100">
        <v>4</v>
      </c>
      <c r="AH158" s="54"/>
      <c r="AI158" s="55"/>
      <c r="AK158" s="56"/>
    </row>
    <row r="159" spans="1:37" x14ac:dyDescent="0.25">
      <c r="A159" s="164" t="s">
        <v>183</v>
      </c>
      <c r="B159" s="176">
        <v>4</v>
      </c>
      <c r="C159" s="176">
        <v>4</v>
      </c>
      <c r="D159" s="176">
        <v>4</v>
      </c>
      <c r="E159" s="176">
        <v>4</v>
      </c>
      <c r="F159" s="176">
        <v>4</v>
      </c>
      <c r="G159" s="176">
        <v>4</v>
      </c>
      <c r="H159" s="176">
        <v>4</v>
      </c>
      <c r="I159" s="176">
        <v>4</v>
      </c>
      <c r="J159" s="176">
        <v>4</v>
      </c>
      <c r="K159" s="176">
        <v>4</v>
      </c>
      <c r="L159" s="176">
        <v>4</v>
      </c>
      <c r="M159" s="176">
        <v>4</v>
      </c>
      <c r="N159" s="176">
        <v>4</v>
      </c>
      <c r="O159" s="176">
        <v>4</v>
      </c>
      <c r="P159" s="176">
        <v>4</v>
      </c>
      <c r="Q159" s="176">
        <v>4</v>
      </c>
      <c r="R159" s="176">
        <v>4</v>
      </c>
      <c r="S159" s="176">
        <v>4</v>
      </c>
      <c r="T159" s="176">
        <v>4</v>
      </c>
      <c r="U159" s="176">
        <v>4</v>
      </c>
      <c r="V159" s="176">
        <v>4</v>
      </c>
      <c r="W159" s="176">
        <v>4</v>
      </c>
      <c r="X159" s="176">
        <v>4</v>
      </c>
      <c r="Y159" s="176">
        <v>4</v>
      </c>
      <c r="Z159" s="176">
        <v>4</v>
      </c>
      <c r="AA159" s="176">
        <v>4</v>
      </c>
      <c r="AB159" s="176">
        <v>4</v>
      </c>
      <c r="AC159" s="176">
        <v>4</v>
      </c>
      <c r="AD159" s="176">
        <v>4</v>
      </c>
      <c r="AE159" s="176">
        <v>4</v>
      </c>
      <c r="AF159" s="176">
        <v>4</v>
      </c>
      <c r="AG159" s="100">
        <v>4</v>
      </c>
      <c r="AH159" s="54"/>
      <c r="AI159" s="55"/>
      <c r="AK159" s="56"/>
    </row>
    <row r="160" spans="1:37" x14ac:dyDescent="0.25">
      <c r="A160" s="164" t="s">
        <v>184</v>
      </c>
      <c r="B160" s="176">
        <v>4</v>
      </c>
      <c r="C160" s="176">
        <v>4</v>
      </c>
      <c r="D160" s="176">
        <v>4</v>
      </c>
      <c r="E160" s="176">
        <v>4</v>
      </c>
      <c r="F160" s="176">
        <v>4</v>
      </c>
      <c r="G160" s="176">
        <v>4</v>
      </c>
      <c r="H160" s="176">
        <v>4</v>
      </c>
      <c r="I160" s="176">
        <v>4</v>
      </c>
      <c r="J160" s="176">
        <v>4</v>
      </c>
      <c r="K160" s="176">
        <v>4</v>
      </c>
      <c r="L160" s="176">
        <v>4</v>
      </c>
      <c r="M160" s="176">
        <v>4</v>
      </c>
      <c r="N160" s="176">
        <v>4</v>
      </c>
      <c r="O160" s="176">
        <v>4</v>
      </c>
      <c r="P160" s="176">
        <v>4</v>
      </c>
      <c r="Q160" s="176">
        <v>4</v>
      </c>
      <c r="R160" s="176">
        <v>4</v>
      </c>
      <c r="S160" s="176">
        <v>4</v>
      </c>
      <c r="T160" s="176">
        <v>4</v>
      </c>
      <c r="U160" s="176">
        <v>4</v>
      </c>
      <c r="V160" s="176">
        <v>4</v>
      </c>
      <c r="W160" s="176">
        <v>4</v>
      </c>
      <c r="X160" s="176">
        <v>4</v>
      </c>
      <c r="Y160" s="176">
        <v>4</v>
      </c>
      <c r="Z160" s="176">
        <v>4</v>
      </c>
      <c r="AA160" s="176">
        <v>4</v>
      </c>
      <c r="AB160" s="176">
        <v>4</v>
      </c>
      <c r="AC160" s="176">
        <v>4</v>
      </c>
      <c r="AD160" s="176">
        <v>4</v>
      </c>
      <c r="AE160" s="176">
        <v>4</v>
      </c>
      <c r="AF160" s="176">
        <v>4</v>
      </c>
      <c r="AG160" s="100">
        <v>4</v>
      </c>
      <c r="AH160" s="54"/>
      <c r="AI160" s="55"/>
      <c r="AK160" s="56"/>
    </row>
    <row r="161" spans="1:37" x14ac:dyDescent="0.25">
      <c r="A161" s="164" t="s">
        <v>185</v>
      </c>
      <c r="B161" s="176">
        <v>4</v>
      </c>
      <c r="C161" s="176">
        <v>4</v>
      </c>
      <c r="D161" s="176">
        <v>4</v>
      </c>
      <c r="E161" s="176">
        <v>4</v>
      </c>
      <c r="F161" s="176">
        <v>4</v>
      </c>
      <c r="G161" s="176">
        <v>4</v>
      </c>
      <c r="H161" s="176">
        <v>4</v>
      </c>
      <c r="I161" s="176">
        <v>4</v>
      </c>
      <c r="J161" s="176">
        <v>4</v>
      </c>
      <c r="K161" s="176">
        <v>4</v>
      </c>
      <c r="L161" s="176">
        <v>4</v>
      </c>
      <c r="M161" s="176">
        <v>4</v>
      </c>
      <c r="N161" s="176">
        <v>4</v>
      </c>
      <c r="O161" s="176">
        <v>4</v>
      </c>
      <c r="P161" s="176">
        <v>4</v>
      </c>
      <c r="Q161" s="176">
        <v>4</v>
      </c>
      <c r="R161" s="176">
        <v>4</v>
      </c>
      <c r="S161" s="176">
        <v>4</v>
      </c>
      <c r="T161" s="176">
        <v>4</v>
      </c>
      <c r="U161" s="176">
        <v>4</v>
      </c>
      <c r="V161" s="176">
        <v>4</v>
      </c>
      <c r="W161" s="176">
        <v>4</v>
      </c>
      <c r="X161" s="176">
        <v>4</v>
      </c>
      <c r="Y161" s="176">
        <v>4</v>
      </c>
      <c r="Z161" s="176">
        <v>4</v>
      </c>
      <c r="AA161" s="176">
        <v>4</v>
      </c>
      <c r="AB161" s="176">
        <v>4</v>
      </c>
      <c r="AC161" s="176">
        <v>4</v>
      </c>
      <c r="AD161" s="176">
        <v>4</v>
      </c>
      <c r="AE161" s="176">
        <v>4</v>
      </c>
      <c r="AF161" s="176">
        <v>4</v>
      </c>
      <c r="AG161" s="100">
        <v>4</v>
      </c>
      <c r="AH161" s="54"/>
      <c r="AI161" s="55"/>
      <c r="AK161" s="56"/>
    </row>
    <row r="162" spans="1:37" x14ac:dyDescent="0.25">
      <c r="A162" s="164" t="s">
        <v>186</v>
      </c>
      <c r="B162" s="176">
        <v>3.8</v>
      </c>
      <c r="C162" s="176">
        <v>3.8</v>
      </c>
      <c r="D162" s="176">
        <v>3.8</v>
      </c>
      <c r="E162" s="176">
        <v>3.8</v>
      </c>
      <c r="F162" s="176">
        <v>3.8</v>
      </c>
      <c r="G162" s="176">
        <v>3.8</v>
      </c>
      <c r="H162" s="176">
        <v>3.8</v>
      </c>
      <c r="I162" s="176">
        <v>3.8</v>
      </c>
      <c r="J162" s="176">
        <v>3.8</v>
      </c>
      <c r="K162" s="176">
        <v>3.8</v>
      </c>
      <c r="L162" s="176">
        <v>3.8</v>
      </c>
      <c r="M162" s="176">
        <v>3.8</v>
      </c>
      <c r="N162" s="176">
        <v>3.8</v>
      </c>
      <c r="O162" s="176">
        <v>3.8</v>
      </c>
      <c r="P162" s="176">
        <v>3.8</v>
      </c>
      <c r="Q162" s="176">
        <v>3.8</v>
      </c>
      <c r="R162" s="176">
        <v>3.8</v>
      </c>
      <c r="S162" s="176">
        <v>3.8</v>
      </c>
      <c r="T162" s="176">
        <v>3.8</v>
      </c>
      <c r="U162" s="176">
        <v>3.8</v>
      </c>
      <c r="V162" s="176">
        <v>3.8</v>
      </c>
      <c r="W162" s="176">
        <v>3.8</v>
      </c>
      <c r="X162" s="176">
        <v>3.8</v>
      </c>
      <c r="Y162" s="176">
        <v>3.8</v>
      </c>
      <c r="Z162" s="176">
        <v>3.8</v>
      </c>
      <c r="AA162" s="176">
        <v>3.8</v>
      </c>
      <c r="AB162" s="176">
        <v>3.8</v>
      </c>
      <c r="AC162" s="176">
        <v>3.8</v>
      </c>
      <c r="AD162" s="176">
        <v>3.8</v>
      </c>
      <c r="AE162" s="176">
        <v>3.8</v>
      </c>
      <c r="AF162" s="176">
        <v>3.8</v>
      </c>
      <c r="AG162" s="100">
        <v>3.8</v>
      </c>
      <c r="AH162" s="54"/>
      <c r="AI162" s="55"/>
      <c r="AK162" s="56"/>
    </row>
    <row r="163" spans="1:37" x14ac:dyDescent="0.25">
      <c r="A163" s="164" t="s">
        <v>187</v>
      </c>
      <c r="B163" s="176">
        <v>3.75</v>
      </c>
      <c r="C163" s="176">
        <v>3.75</v>
      </c>
      <c r="D163" s="176">
        <v>3.75</v>
      </c>
      <c r="E163" s="176">
        <v>3.75</v>
      </c>
      <c r="F163" s="176">
        <v>3.75</v>
      </c>
      <c r="G163" s="176">
        <v>3.75</v>
      </c>
      <c r="H163" s="176">
        <v>3.75</v>
      </c>
      <c r="I163" s="176">
        <v>3.75</v>
      </c>
      <c r="J163" s="176">
        <v>3.75</v>
      </c>
      <c r="K163" s="176">
        <v>3.75</v>
      </c>
      <c r="L163" s="176">
        <v>3.75</v>
      </c>
      <c r="M163" s="176">
        <v>3.75</v>
      </c>
      <c r="N163" s="176">
        <v>3.75</v>
      </c>
      <c r="O163" s="176">
        <v>3.75</v>
      </c>
      <c r="P163" s="176">
        <v>3.75</v>
      </c>
      <c r="Q163" s="176">
        <v>3.75</v>
      </c>
      <c r="R163" s="176">
        <v>3.75</v>
      </c>
      <c r="S163" s="176">
        <v>3.75</v>
      </c>
      <c r="T163" s="176">
        <v>3.75</v>
      </c>
      <c r="U163" s="176">
        <v>3.75</v>
      </c>
      <c r="V163" s="176">
        <v>3.75</v>
      </c>
      <c r="W163" s="176">
        <v>3.75</v>
      </c>
      <c r="X163" s="176">
        <v>3.75</v>
      </c>
      <c r="Y163" s="176">
        <v>3.75</v>
      </c>
      <c r="Z163" s="176">
        <v>3.75</v>
      </c>
      <c r="AA163" s="176">
        <v>3.75</v>
      </c>
      <c r="AB163" s="176">
        <v>3.75</v>
      </c>
      <c r="AC163" s="176">
        <v>3.75</v>
      </c>
      <c r="AD163" s="176">
        <v>3.75</v>
      </c>
      <c r="AE163" s="176">
        <v>3.75</v>
      </c>
      <c r="AF163" s="176">
        <v>3.75</v>
      </c>
      <c r="AG163" s="100">
        <v>3.75</v>
      </c>
      <c r="AH163" s="54"/>
      <c r="AI163" s="55"/>
      <c r="AK163" s="56"/>
    </row>
    <row r="164" spans="1:37" x14ac:dyDescent="0.25">
      <c r="A164" s="164" t="s">
        <v>188</v>
      </c>
      <c r="B164" s="176">
        <v>3.52</v>
      </c>
      <c r="C164" s="176">
        <v>3.52</v>
      </c>
      <c r="D164" s="176">
        <v>3.52</v>
      </c>
      <c r="E164" s="176">
        <v>3.52</v>
      </c>
      <c r="F164" s="176">
        <v>3.52</v>
      </c>
      <c r="G164" s="176">
        <v>3.52</v>
      </c>
      <c r="H164" s="176">
        <v>3.52</v>
      </c>
      <c r="I164" s="176">
        <v>3.52</v>
      </c>
      <c r="J164" s="176">
        <v>3.52</v>
      </c>
      <c r="K164" s="176">
        <v>3.52</v>
      </c>
      <c r="L164" s="176">
        <v>3.52</v>
      </c>
      <c r="M164" s="176">
        <v>3.52</v>
      </c>
      <c r="N164" s="176">
        <v>3.52</v>
      </c>
      <c r="O164" s="176">
        <v>3.52</v>
      </c>
      <c r="P164" s="176">
        <v>3.52</v>
      </c>
      <c r="Q164" s="176">
        <v>3.52</v>
      </c>
      <c r="R164" s="176">
        <v>3.52</v>
      </c>
      <c r="S164" s="176">
        <v>3.52</v>
      </c>
      <c r="T164" s="176">
        <v>3.52</v>
      </c>
      <c r="U164" s="176">
        <v>3.52</v>
      </c>
      <c r="V164" s="176">
        <v>3.52</v>
      </c>
      <c r="W164" s="176">
        <v>3.52</v>
      </c>
      <c r="X164" s="176">
        <v>3.52</v>
      </c>
      <c r="Y164" s="176">
        <v>3.52</v>
      </c>
      <c r="Z164" s="176">
        <v>3.52</v>
      </c>
      <c r="AA164" s="176">
        <v>3.52</v>
      </c>
      <c r="AB164" s="176">
        <v>3.52</v>
      </c>
      <c r="AC164" s="176">
        <v>3.52</v>
      </c>
      <c r="AD164" s="176">
        <v>3.52</v>
      </c>
      <c r="AE164" s="176">
        <v>3.52</v>
      </c>
      <c r="AF164" s="176">
        <v>3.52</v>
      </c>
      <c r="AG164" s="100">
        <v>3.52</v>
      </c>
      <c r="AH164" s="54"/>
      <c r="AI164" s="55"/>
      <c r="AK164" s="56"/>
    </row>
    <row r="165" spans="1:37" x14ac:dyDescent="0.25">
      <c r="A165" s="164" t="s">
        <v>189</v>
      </c>
      <c r="B165" s="176">
        <v>3.33</v>
      </c>
      <c r="C165" s="176">
        <v>3.33</v>
      </c>
      <c r="D165" s="176">
        <v>3.33</v>
      </c>
      <c r="E165" s="176">
        <v>3.33</v>
      </c>
      <c r="F165" s="176">
        <v>3.33</v>
      </c>
      <c r="G165" s="176">
        <v>3.33</v>
      </c>
      <c r="H165" s="176">
        <v>3.33</v>
      </c>
      <c r="I165" s="176">
        <v>3.33</v>
      </c>
      <c r="J165" s="176">
        <v>3.33</v>
      </c>
      <c r="K165" s="176">
        <v>3.33</v>
      </c>
      <c r="L165" s="176">
        <v>3.33</v>
      </c>
      <c r="M165" s="176">
        <v>3.33</v>
      </c>
      <c r="N165" s="176">
        <v>3.33</v>
      </c>
      <c r="O165" s="176">
        <v>3.33</v>
      </c>
      <c r="P165" s="176">
        <v>3.33</v>
      </c>
      <c r="Q165" s="176">
        <v>3.33</v>
      </c>
      <c r="R165" s="176">
        <v>3.33</v>
      </c>
      <c r="S165" s="176">
        <v>3.33</v>
      </c>
      <c r="T165" s="176">
        <v>3.33</v>
      </c>
      <c r="U165" s="176">
        <v>3.33</v>
      </c>
      <c r="V165" s="176">
        <v>3.33</v>
      </c>
      <c r="W165" s="176">
        <v>3.33</v>
      </c>
      <c r="X165" s="176">
        <v>3.33</v>
      </c>
      <c r="Y165" s="176">
        <v>3.33</v>
      </c>
      <c r="Z165" s="176">
        <v>3.33</v>
      </c>
      <c r="AA165" s="176">
        <v>3.33</v>
      </c>
      <c r="AB165" s="176">
        <v>3.33</v>
      </c>
      <c r="AC165" s="176">
        <v>3.33</v>
      </c>
      <c r="AD165" s="176">
        <v>3.33</v>
      </c>
      <c r="AE165" s="176">
        <v>3.33</v>
      </c>
      <c r="AF165" s="176">
        <v>3.33</v>
      </c>
      <c r="AG165" s="100">
        <v>3.33</v>
      </c>
      <c r="AH165" s="54"/>
      <c r="AI165" s="55"/>
      <c r="AK165" s="56"/>
    </row>
    <row r="166" spans="1:37" x14ac:dyDescent="0.25">
      <c r="A166" s="164" t="s">
        <v>190</v>
      </c>
      <c r="B166" s="176">
        <v>3</v>
      </c>
      <c r="C166" s="176">
        <v>3</v>
      </c>
      <c r="D166" s="176">
        <v>3</v>
      </c>
      <c r="E166" s="176">
        <v>3</v>
      </c>
      <c r="F166" s="176">
        <v>3</v>
      </c>
      <c r="G166" s="176">
        <v>3</v>
      </c>
      <c r="H166" s="176">
        <v>3</v>
      </c>
      <c r="I166" s="176">
        <v>3</v>
      </c>
      <c r="J166" s="176">
        <v>3</v>
      </c>
      <c r="K166" s="176">
        <v>3</v>
      </c>
      <c r="L166" s="176">
        <v>3</v>
      </c>
      <c r="M166" s="176">
        <v>3</v>
      </c>
      <c r="N166" s="176">
        <v>3</v>
      </c>
      <c r="O166" s="176">
        <v>3</v>
      </c>
      <c r="P166" s="176">
        <v>3</v>
      </c>
      <c r="Q166" s="176">
        <v>3</v>
      </c>
      <c r="R166" s="176">
        <v>3</v>
      </c>
      <c r="S166" s="176">
        <v>3</v>
      </c>
      <c r="T166" s="176">
        <v>3</v>
      </c>
      <c r="U166" s="176">
        <v>3</v>
      </c>
      <c r="V166" s="176">
        <v>3</v>
      </c>
      <c r="W166" s="176">
        <v>3</v>
      </c>
      <c r="X166" s="176">
        <v>3</v>
      </c>
      <c r="Y166" s="176">
        <v>3</v>
      </c>
      <c r="Z166" s="176">
        <v>3</v>
      </c>
      <c r="AA166" s="176">
        <v>3</v>
      </c>
      <c r="AB166" s="176">
        <v>3</v>
      </c>
      <c r="AC166" s="176">
        <v>3</v>
      </c>
      <c r="AD166" s="176">
        <v>3</v>
      </c>
      <c r="AE166" s="176">
        <v>3</v>
      </c>
      <c r="AF166" s="176">
        <v>3</v>
      </c>
      <c r="AG166" s="100">
        <v>3</v>
      </c>
      <c r="AH166" s="54"/>
      <c r="AI166" s="55"/>
      <c r="AK166" s="56"/>
    </row>
    <row r="167" spans="1:37" x14ac:dyDescent="0.25">
      <c r="A167" s="164" t="s">
        <v>191</v>
      </c>
      <c r="B167" s="176">
        <v>3</v>
      </c>
      <c r="C167" s="176">
        <v>3</v>
      </c>
      <c r="D167" s="176">
        <v>3</v>
      </c>
      <c r="E167" s="176">
        <v>3</v>
      </c>
      <c r="F167" s="176">
        <v>3</v>
      </c>
      <c r="G167" s="176">
        <v>3</v>
      </c>
      <c r="H167" s="176">
        <v>3</v>
      </c>
      <c r="I167" s="176">
        <v>3</v>
      </c>
      <c r="J167" s="176">
        <v>3</v>
      </c>
      <c r="K167" s="176">
        <v>3</v>
      </c>
      <c r="L167" s="176">
        <v>3</v>
      </c>
      <c r="M167" s="176">
        <v>3</v>
      </c>
      <c r="N167" s="176">
        <v>3</v>
      </c>
      <c r="O167" s="176">
        <v>3</v>
      </c>
      <c r="P167" s="176">
        <v>3</v>
      </c>
      <c r="Q167" s="176">
        <v>3</v>
      </c>
      <c r="R167" s="176">
        <v>3</v>
      </c>
      <c r="S167" s="176">
        <v>3</v>
      </c>
      <c r="T167" s="176">
        <v>3</v>
      </c>
      <c r="U167" s="176">
        <v>3</v>
      </c>
      <c r="V167" s="176">
        <v>3</v>
      </c>
      <c r="W167" s="176">
        <v>3</v>
      </c>
      <c r="X167" s="176">
        <v>3</v>
      </c>
      <c r="Y167" s="176">
        <v>3</v>
      </c>
      <c r="Z167" s="176">
        <v>3</v>
      </c>
      <c r="AA167" s="176">
        <v>3</v>
      </c>
      <c r="AB167" s="176">
        <v>3</v>
      </c>
      <c r="AC167" s="176">
        <v>3</v>
      </c>
      <c r="AD167" s="176">
        <v>3</v>
      </c>
      <c r="AE167" s="176">
        <v>3</v>
      </c>
      <c r="AF167" s="176">
        <v>3</v>
      </c>
      <c r="AG167" s="100">
        <v>3</v>
      </c>
      <c r="AH167" s="54"/>
      <c r="AI167" s="55"/>
      <c r="AK167" s="56"/>
    </row>
    <row r="168" spans="1:37" x14ac:dyDescent="0.25">
      <c r="A168" s="164" t="s">
        <v>192</v>
      </c>
      <c r="B168" s="176">
        <v>3</v>
      </c>
      <c r="C168" s="176">
        <v>3</v>
      </c>
      <c r="D168" s="176">
        <v>3</v>
      </c>
      <c r="E168" s="176">
        <v>3</v>
      </c>
      <c r="F168" s="176">
        <v>3</v>
      </c>
      <c r="G168" s="176">
        <v>3</v>
      </c>
      <c r="H168" s="176">
        <v>3</v>
      </c>
      <c r="I168" s="176">
        <v>3</v>
      </c>
      <c r="J168" s="176">
        <v>3</v>
      </c>
      <c r="K168" s="176">
        <v>3</v>
      </c>
      <c r="L168" s="176">
        <v>3</v>
      </c>
      <c r="M168" s="176">
        <v>3</v>
      </c>
      <c r="N168" s="176">
        <v>3</v>
      </c>
      <c r="O168" s="176">
        <v>3</v>
      </c>
      <c r="P168" s="176">
        <v>3</v>
      </c>
      <c r="Q168" s="176">
        <v>3</v>
      </c>
      <c r="R168" s="176">
        <v>3</v>
      </c>
      <c r="S168" s="176">
        <v>3</v>
      </c>
      <c r="T168" s="176">
        <v>3</v>
      </c>
      <c r="U168" s="176">
        <v>3</v>
      </c>
      <c r="V168" s="176">
        <v>3</v>
      </c>
      <c r="W168" s="176">
        <v>3</v>
      </c>
      <c r="X168" s="176">
        <v>3</v>
      </c>
      <c r="Y168" s="176">
        <v>3</v>
      </c>
      <c r="Z168" s="176">
        <v>3</v>
      </c>
      <c r="AA168" s="176">
        <v>3</v>
      </c>
      <c r="AB168" s="176">
        <v>3</v>
      </c>
      <c r="AC168" s="176">
        <v>3</v>
      </c>
      <c r="AD168" s="176">
        <v>3</v>
      </c>
      <c r="AE168" s="176">
        <v>3</v>
      </c>
      <c r="AF168" s="176">
        <v>3</v>
      </c>
      <c r="AG168" s="100">
        <v>3</v>
      </c>
      <c r="AH168" s="54"/>
      <c r="AI168" s="55"/>
      <c r="AK168" s="56"/>
    </row>
    <row r="169" spans="1:37" x14ac:dyDescent="0.25">
      <c r="A169" s="164" t="s">
        <v>193</v>
      </c>
      <c r="B169" s="176">
        <v>3</v>
      </c>
      <c r="C169" s="176">
        <v>3</v>
      </c>
      <c r="D169" s="176">
        <v>3</v>
      </c>
      <c r="E169" s="176">
        <v>3</v>
      </c>
      <c r="F169" s="176">
        <v>3</v>
      </c>
      <c r="G169" s="176">
        <v>3</v>
      </c>
      <c r="H169" s="176">
        <v>3</v>
      </c>
      <c r="I169" s="176">
        <v>3</v>
      </c>
      <c r="J169" s="176">
        <v>3</v>
      </c>
      <c r="K169" s="176">
        <v>3</v>
      </c>
      <c r="L169" s="176">
        <v>3</v>
      </c>
      <c r="M169" s="176">
        <v>3</v>
      </c>
      <c r="N169" s="176">
        <v>3</v>
      </c>
      <c r="O169" s="176">
        <v>3</v>
      </c>
      <c r="P169" s="176">
        <v>3</v>
      </c>
      <c r="Q169" s="176">
        <v>3</v>
      </c>
      <c r="R169" s="176">
        <v>3</v>
      </c>
      <c r="S169" s="176">
        <v>3</v>
      </c>
      <c r="T169" s="176">
        <v>3</v>
      </c>
      <c r="U169" s="176">
        <v>3</v>
      </c>
      <c r="V169" s="176">
        <v>3</v>
      </c>
      <c r="W169" s="176">
        <v>3</v>
      </c>
      <c r="X169" s="176">
        <v>3</v>
      </c>
      <c r="Y169" s="176">
        <v>3</v>
      </c>
      <c r="Z169" s="176">
        <v>3</v>
      </c>
      <c r="AA169" s="176">
        <v>3</v>
      </c>
      <c r="AB169" s="176">
        <v>3</v>
      </c>
      <c r="AC169" s="176">
        <v>3</v>
      </c>
      <c r="AD169" s="176">
        <v>3</v>
      </c>
      <c r="AE169" s="176">
        <v>3</v>
      </c>
      <c r="AF169" s="176">
        <v>3</v>
      </c>
      <c r="AG169" s="100">
        <v>3</v>
      </c>
      <c r="AH169" s="54"/>
      <c r="AI169" s="55"/>
      <c r="AK169" s="56"/>
    </row>
    <row r="170" spans="1:37" x14ac:dyDescent="0.25">
      <c r="A170" s="164" t="s">
        <v>194</v>
      </c>
      <c r="B170" s="176">
        <v>3</v>
      </c>
      <c r="C170" s="176">
        <v>3</v>
      </c>
      <c r="D170" s="176">
        <v>3</v>
      </c>
      <c r="E170" s="176">
        <v>3</v>
      </c>
      <c r="F170" s="176">
        <v>3</v>
      </c>
      <c r="G170" s="176">
        <v>3</v>
      </c>
      <c r="H170" s="176">
        <v>3</v>
      </c>
      <c r="I170" s="176">
        <v>3</v>
      </c>
      <c r="J170" s="176">
        <v>3</v>
      </c>
      <c r="K170" s="176">
        <v>3</v>
      </c>
      <c r="L170" s="176">
        <v>3</v>
      </c>
      <c r="M170" s="176">
        <v>3</v>
      </c>
      <c r="N170" s="176">
        <v>3</v>
      </c>
      <c r="O170" s="176">
        <v>3</v>
      </c>
      <c r="P170" s="176">
        <v>3</v>
      </c>
      <c r="Q170" s="176">
        <v>3</v>
      </c>
      <c r="R170" s="176">
        <v>3</v>
      </c>
      <c r="S170" s="176">
        <v>3</v>
      </c>
      <c r="T170" s="176">
        <v>3</v>
      </c>
      <c r="U170" s="176">
        <v>3</v>
      </c>
      <c r="V170" s="176">
        <v>3</v>
      </c>
      <c r="W170" s="176">
        <v>3</v>
      </c>
      <c r="X170" s="176">
        <v>3</v>
      </c>
      <c r="Y170" s="176">
        <v>3</v>
      </c>
      <c r="Z170" s="176">
        <v>3</v>
      </c>
      <c r="AA170" s="176">
        <v>3</v>
      </c>
      <c r="AB170" s="176">
        <v>3</v>
      </c>
      <c r="AC170" s="176">
        <v>3</v>
      </c>
      <c r="AD170" s="176">
        <v>3</v>
      </c>
      <c r="AE170" s="176">
        <v>3</v>
      </c>
      <c r="AF170" s="176">
        <v>3</v>
      </c>
      <c r="AG170" s="100">
        <v>3</v>
      </c>
      <c r="AH170" s="54"/>
      <c r="AI170" s="55"/>
      <c r="AK170" s="56"/>
    </row>
    <row r="171" spans="1:37" x14ac:dyDescent="0.25">
      <c r="A171" s="164" t="s">
        <v>195</v>
      </c>
      <c r="B171" s="176">
        <v>3</v>
      </c>
      <c r="C171" s="176">
        <v>3</v>
      </c>
      <c r="D171" s="176">
        <v>3</v>
      </c>
      <c r="E171" s="176">
        <v>3</v>
      </c>
      <c r="F171" s="176">
        <v>3</v>
      </c>
      <c r="G171" s="176">
        <v>3</v>
      </c>
      <c r="H171" s="176">
        <v>3</v>
      </c>
      <c r="I171" s="176">
        <v>3</v>
      </c>
      <c r="J171" s="176">
        <v>3</v>
      </c>
      <c r="K171" s="176">
        <v>3</v>
      </c>
      <c r="L171" s="176">
        <v>3</v>
      </c>
      <c r="M171" s="176">
        <v>3</v>
      </c>
      <c r="N171" s="176">
        <v>3</v>
      </c>
      <c r="O171" s="176">
        <v>3</v>
      </c>
      <c r="P171" s="176">
        <v>3</v>
      </c>
      <c r="Q171" s="176">
        <v>3</v>
      </c>
      <c r="R171" s="176">
        <v>3</v>
      </c>
      <c r="S171" s="176">
        <v>3</v>
      </c>
      <c r="T171" s="176">
        <v>3</v>
      </c>
      <c r="U171" s="176">
        <v>3</v>
      </c>
      <c r="V171" s="176">
        <v>3</v>
      </c>
      <c r="W171" s="176">
        <v>3</v>
      </c>
      <c r="X171" s="176">
        <v>3</v>
      </c>
      <c r="Y171" s="176">
        <v>3</v>
      </c>
      <c r="Z171" s="176">
        <v>3</v>
      </c>
      <c r="AA171" s="176">
        <v>3</v>
      </c>
      <c r="AB171" s="176">
        <v>3</v>
      </c>
      <c r="AC171" s="176">
        <v>3</v>
      </c>
      <c r="AD171" s="176">
        <v>3</v>
      </c>
      <c r="AE171" s="176">
        <v>3</v>
      </c>
      <c r="AF171" s="176">
        <v>3</v>
      </c>
      <c r="AG171" s="100">
        <v>3</v>
      </c>
      <c r="AH171" s="54"/>
      <c r="AI171" s="55"/>
      <c r="AK171" s="56"/>
    </row>
    <row r="172" spans="1:37" x14ac:dyDescent="0.25">
      <c r="A172" s="164" t="s">
        <v>196</v>
      </c>
      <c r="B172" s="176">
        <v>3</v>
      </c>
      <c r="C172" s="176">
        <v>3</v>
      </c>
      <c r="D172" s="176">
        <v>3</v>
      </c>
      <c r="E172" s="176">
        <v>3</v>
      </c>
      <c r="F172" s="176">
        <v>3</v>
      </c>
      <c r="G172" s="176">
        <v>3</v>
      </c>
      <c r="H172" s="176">
        <v>3</v>
      </c>
      <c r="I172" s="176">
        <v>3</v>
      </c>
      <c r="J172" s="176">
        <v>3</v>
      </c>
      <c r="K172" s="176">
        <v>3</v>
      </c>
      <c r="L172" s="176">
        <v>3</v>
      </c>
      <c r="M172" s="176">
        <v>3</v>
      </c>
      <c r="N172" s="176">
        <v>3</v>
      </c>
      <c r="O172" s="176">
        <v>3</v>
      </c>
      <c r="P172" s="176">
        <v>3</v>
      </c>
      <c r="Q172" s="176">
        <v>3</v>
      </c>
      <c r="R172" s="176">
        <v>3</v>
      </c>
      <c r="S172" s="176">
        <v>3</v>
      </c>
      <c r="T172" s="176">
        <v>3</v>
      </c>
      <c r="U172" s="176">
        <v>3</v>
      </c>
      <c r="V172" s="176">
        <v>3</v>
      </c>
      <c r="W172" s="176">
        <v>3</v>
      </c>
      <c r="X172" s="176">
        <v>3</v>
      </c>
      <c r="Y172" s="176">
        <v>3</v>
      </c>
      <c r="Z172" s="176">
        <v>3</v>
      </c>
      <c r="AA172" s="176">
        <v>3</v>
      </c>
      <c r="AB172" s="176">
        <v>3</v>
      </c>
      <c r="AC172" s="176">
        <v>3</v>
      </c>
      <c r="AD172" s="176">
        <v>3</v>
      </c>
      <c r="AE172" s="176">
        <v>3</v>
      </c>
      <c r="AF172" s="176">
        <v>3</v>
      </c>
      <c r="AG172" s="100">
        <v>3</v>
      </c>
      <c r="AH172" s="54"/>
      <c r="AI172" s="55"/>
      <c r="AK172" s="56"/>
    </row>
    <row r="173" spans="1:37" x14ac:dyDescent="0.25">
      <c r="A173" s="164" t="s">
        <v>197</v>
      </c>
      <c r="B173" s="176">
        <v>3</v>
      </c>
      <c r="C173" s="176">
        <v>3</v>
      </c>
      <c r="D173" s="176">
        <v>3</v>
      </c>
      <c r="E173" s="176">
        <v>3</v>
      </c>
      <c r="F173" s="176">
        <v>3</v>
      </c>
      <c r="G173" s="176">
        <v>3</v>
      </c>
      <c r="H173" s="176">
        <v>3</v>
      </c>
      <c r="I173" s="176">
        <v>3</v>
      </c>
      <c r="J173" s="176">
        <v>3</v>
      </c>
      <c r="K173" s="176">
        <v>3</v>
      </c>
      <c r="L173" s="176">
        <v>3</v>
      </c>
      <c r="M173" s="176">
        <v>3</v>
      </c>
      <c r="N173" s="176">
        <v>3</v>
      </c>
      <c r="O173" s="176">
        <v>3</v>
      </c>
      <c r="P173" s="176">
        <v>3</v>
      </c>
      <c r="Q173" s="176">
        <v>3</v>
      </c>
      <c r="R173" s="176">
        <v>3</v>
      </c>
      <c r="S173" s="176">
        <v>3</v>
      </c>
      <c r="T173" s="176">
        <v>3</v>
      </c>
      <c r="U173" s="176">
        <v>3</v>
      </c>
      <c r="V173" s="176">
        <v>3</v>
      </c>
      <c r="W173" s="176">
        <v>3</v>
      </c>
      <c r="X173" s="176">
        <v>3</v>
      </c>
      <c r="Y173" s="176">
        <v>3</v>
      </c>
      <c r="Z173" s="176">
        <v>3</v>
      </c>
      <c r="AA173" s="176">
        <v>3</v>
      </c>
      <c r="AB173" s="176">
        <v>3</v>
      </c>
      <c r="AC173" s="176">
        <v>3</v>
      </c>
      <c r="AD173" s="176">
        <v>3</v>
      </c>
      <c r="AE173" s="176">
        <v>3</v>
      </c>
      <c r="AF173" s="176">
        <v>3</v>
      </c>
      <c r="AG173" s="100">
        <v>3</v>
      </c>
      <c r="AH173" s="54"/>
      <c r="AI173" s="55"/>
      <c r="AK173" s="56"/>
    </row>
    <row r="174" spans="1:37" x14ac:dyDescent="0.25">
      <c r="A174" s="164" t="s">
        <v>198</v>
      </c>
      <c r="B174" s="176">
        <v>3</v>
      </c>
      <c r="C174" s="176">
        <v>3</v>
      </c>
      <c r="D174" s="176">
        <v>3</v>
      </c>
      <c r="E174" s="176">
        <v>3</v>
      </c>
      <c r="F174" s="176">
        <v>3</v>
      </c>
      <c r="G174" s="176">
        <v>3</v>
      </c>
      <c r="H174" s="176">
        <v>3</v>
      </c>
      <c r="I174" s="176">
        <v>3</v>
      </c>
      <c r="J174" s="176">
        <v>3</v>
      </c>
      <c r="K174" s="176">
        <v>3</v>
      </c>
      <c r="L174" s="176">
        <v>3</v>
      </c>
      <c r="M174" s="176">
        <v>3</v>
      </c>
      <c r="N174" s="176">
        <v>3</v>
      </c>
      <c r="O174" s="176">
        <v>3</v>
      </c>
      <c r="P174" s="176">
        <v>3</v>
      </c>
      <c r="Q174" s="176">
        <v>3</v>
      </c>
      <c r="R174" s="176">
        <v>3</v>
      </c>
      <c r="S174" s="176">
        <v>3</v>
      </c>
      <c r="T174" s="176">
        <v>3</v>
      </c>
      <c r="U174" s="176">
        <v>3</v>
      </c>
      <c r="V174" s="176">
        <v>3</v>
      </c>
      <c r="W174" s="176">
        <v>3</v>
      </c>
      <c r="X174" s="176">
        <v>3</v>
      </c>
      <c r="Y174" s="176">
        <v>3</v>
      </c>
      <c r="Z174" s="176">
        <v>3</v>
      </c>
      <c r="AA174" s="176">
        <v>3</v>
      </c>
      <c r="AB174" s="176">
        <v>3</v>
      </c>
      <c r="AC174" s="176">
        <v>3</v>
      </c>
      <c r="AD174" s="176">
        <v>3</v>
      </c>
      <c r="AE174" s="176">
        <v>3</v>
      </c>
      <c r="AF174" s="176">
        <v>3</v>
      </c>
      <c r="AG174" s="100">
        <v>3</v>
      </c>
      <c r="AH174" s="54"/>
      <c r="AI174" s="55"/>
      <c r="AK174" s="56"/>
    </row>
    <row r="175" spans="1:37" x14ac:dyDescent="0.25">
      <c r="A175" s="164" t="s">
        <v>199</v>
      </c>
      <c r="B175" s="176">
        <v>2.83</v>
      </c>
      <c r="C175" s="176">
        <v>2.83</v>
      </c>
      <c r="D175" s="176">
        <v>2.83</v>
      </c>
      <c r="E175" s="176">
        <v>2.83</v>
      </c>
      <c r="F175" s="176">
        <v>2.83</v>
      </c>
      <c r="G175" s="176">
        <v>2.83</v>
      </c>
      <c r="H175" s="176">
        <v>2.83</v>
      </c>
      <c r="I175" s="176">
        <v>2.83</v>
      </c>
      <c r="J175" s="176">
        <v>2.83</v>
      </c>
      <c r="K175" s="176">
        <v>2.83</v>
      </c>
      <c r="L175" s="176">
        <v>2.83</v>
      </c>
      <c r="M175" s="176">
        <v>2.83</v>
      </c>
      <c r="N175" s="176">
        <v>2.83</v>
      </c>
      <c r="O175" s="176">
        <v>2.83</v>
      </c>
      <c r="P175" s="176">
        <v>2.83</v>
      </c>
      <c r="Q175" s="176">
        <v>2.83</v>
      </c>
      <c r="R175" s="176">
        <v>2.83</v>
      </c>
      <c r="S175" s="176">
        <v>2.83</v>
      </c>
      <c r="T175" s="176">
        <v>2.83</v>
      </c>
      <c r="U175" s="176">
        <v>2.83</v>
      </c>
      <c r="V175" s="176">
        <v>2.83</v>
      </c>
      <c r="W175" s="176">
        <v>2.83</v>
      </c>
      <c r="X175" s="176">
        <v>2.83</v>
      </c>
      <c r="Y175" s="176">
        <v>2.83</v>
      </c>
      <c r="Z175" s="176">
        <v>2.83</v>
      </c>
      <c r="AA175" s="176">
        <v>2.83</v>
      </c>
      <c r="AB175" s="176">
        <v>2.83</v>
      </c>
      <c r="AC175" s="176">
        <v>2.83</v>
      </c>
      <c r="AD175" s="176">
        <v>2.83</v>
      </c>
      <c r="AE175" s="176">
        <v>2.83</v>
      </c>
      <c r="AF175" s="176">
        <v>2.83</v>
      </c>
      <c r="AG175" s="100">
        <v>2.83</v>
      </c>
      <c r="AH175" s="54"/>
      <c r="AI175" s="55"/>
      <c r="AK175" s="56"/>
    </row>
    <row r="176" spans="1:37" x14ac:dyDescent="0.25">
      <c r="A176" s="164" t="s">
        <v>200</v>
      </c>
      <c r="B176" s="176">
        <v>2.5</v>
      </c>
      <c r="C176" s="176">
        <v>2.5</v>
      </c>
      <c r="D176" s="176">
        <v>2.5</v>
      </c>
      <c r="E176" s="176">
        <v>2.5</v>
      </c>
      <c r="F176" s="176">
        <v>2.5</v>
      </c>
      <c r="G176" s="176">
        <v>2.5</v>
      </c>
      <c r="H176" s="176">
        <v>2.5</v>
      </c>
      <c r="I176" s="176">
        <v>2.5</v>
      </c>
      <c r="J176" s="176">
        <v>2.5</v>
      </c>
      <c r="K176" s="176">
        <v>2.5</v>
      </c>
      <c r="L176" s="176">
        <v>2.5</v>
      </c>
      <c r="M176" s="176">
        <v>2.5</v>
      </c>
      <c r="N176" s="176">
        <v>2.5</v>
      </c>
      <c r="O176" s="176">
        <v>2.5</v>
      </c>
      <c r="P176" s="176">
        <v>2.5</v>
      </c>
      <c r="Q176" s="176">
        <v>2.5</v>
      </c>
      <c r="R176" s="176">
        <v>2.5</v>
      </c>
      <c r="S176" s="176">
        <v>2.5</v>
      </c>
      <c r="T176" s="176">
        <v>2.5</v>
      </c>
      <c r="U176" s="176">
        <v>2.5</v>
      </c>
      <c r="V176" s="176">
        <v>2.5</v>
      </c>
      <c r="W176" s="176">
        <v>2.5</v>
      </c>
      <c r="X176" s="176">
        <v>2.5</v>
      </c>
      <c r="Y176" s="176">
        <v>2.5</v>
      </c>
      <c r="Z176" s="176">
        <v>2.5</v>
      </c>
      <c r="AA176" s="176">
        <v>2.5</v>
      </c>
      <c r="AB176" s="176">
        <v>2.5</v>
      </c>
      <c r="AC176" s="176">
        <v>2.5</v>
      </c>
      <c r="AD176" s="176">
        <v>2.5</v>
      </c>
      <c r="AE176" s="176">
        <v>2.5</v>
      </c>
      <c r="AF176" s="176">
        <v>2.5</v>
      </c>
      <c r="AG176" s="100">
        <v>2.5</v>
      </c>
      <c r="AH176" s="54"/>
      <c r="AI176" s="55"/>
      <c r="AK176" s="56"/>
    </row>
    <row r="177" spans="1:37" x14ac:dyDescent="0.25">
      <c r="A177" s="164" t="s">
        <v>201</v>
      </c>
      <c r="B177" s="176">
        <v>2.5</v>
      </c>
      <c r="C177" s="176">
        <v>2.5</v>
      </c>
      <c r="D177" s="176">
        <v>2.5</v>
      </c>
      <c r="E177" s="176">
        <v>2.5</v>
      </c>
      <c r="F177" s="176">
        <v>2.5</v>
      </c>
      <c r="G177" s="176">
        <v>2.5</v>
      </c>
      <c r="H177" s="176">
        <v>2.5</v>
      </c>
      <c r="I177" s="176">
        <v>2.5</v>
      </c>
      <c r="J177" s="176">
        <v>2.5</v>
      </c>
      <c r="K177" s="176">
        <v>2.5</v>
      </c>
      <c r="L177" s="176">
        <v>2.5</v>
      </c>
      <c r="M177" s="176">
        <v>2.5</v>
      </c>
      <c r="N177" s="176">
        <v>2.5</v>
      </c>
      <c r="O177" s="176">
        <v>2.5</v>
      </c>
      <c r="P177" s="176">
        <v>2.5</v>
      </c>
      <c r="Q177" s="176">
        <v>2.5</v>
      </c>
      <c r="R177" s="176">
        <v>2.5</v>
      </c>
      <c r="S177" s="176">
        <v>2.5</v>
      </c>
      <c r="T177" s="176">
        <v>2.5</v>
      </c>
      <c r="U177" s="176">
        <v>2.5</v>
      </c>
      <c r="V177" s="176">
        <v>2.5</v>
      </c>
      <c r="W177" s="176">
        <v>2.5</v>
      </c>
      <c r="X177" s="176">
        <v>2.5</v>
      </c>
      <c r="Y177" s="176">
        <v>2.5</v>
      </c>
      <c r="Z177" s="176">
        <v>2.5</v>
      </c>
      <c r="AA177" s="176">
        <v>2.5</v>
      </c>
      <c r="AB177" s="176">
        <v>2.5</v>
      </c>
      <c r="AC177" s="176">
        <v>2.5</v>
      </c>
      <c r="AD177" s="176">
        <v>2.5</v>
      </c>
      <c r="AE177" s="176">
        <v>2.5</v>
      </c>
      <c r="AF177" s="176">
        <v>2.5</v>
      </c>
      <c r="AG177" s="100">
        <v>2.5</v>
      </c>
      <c r="AH177" s="54"/>
      <c r="AI177" s="55"/>
      <c r="AK177" s="56"/>
    </row>
    <row r="178" spans="1:37" x14ac:dyDescent="0.25">
      <c r="A178" s="164" t="s">
        <v>202</v>
      </c>
      <c r="B178" s="176">
        <v>2.4</v>
      </c>
      <c r="C178" s="176">
        <v>2.4</v>
      </c>
      <c r="D178" s="176">
        <v>2.4</v>
      </c>
      <c r="E178" s="176">
        <v>2.4</v>
      </c>
      <c r="F178" s="176">
        <v>2.4</v>
      </c>
      <c r="G178" s="176">
        <v>2.4</v>
      </c>
      <c r="H178" s="176">
        <v>2.4</v>
      </c>
      <c r="I178" s="176">
        <v>2.4</v>
      </c>
      <c r="J178" s="176">
        <v>2.4</v>
      </c>
      <c r="K178" s="176">
        <v>2.4</v>
      </c>
      <c r="L178" s="176">
        <v>2.4</v>
      </c>
      <c r="M178" s="176">
        <v>2.4</v>
      </c>
      <c r="N178" s="176">
        <v>2.4</v>
      </c>
      <c r="O178" s="176">
        <v>2.4</v>
      </c>
      <c r="P178" s="176">
        <v>2.4</v>
      </c>
      <c r="Q178" s="176">
        <v>2.4</v>
      </c>
      <c r="R178" s="176">
        <v>2.4</v>
      </c>
      <c r="S178" s="176">
        <v>2.4</v>
      </c>
      <c r="T178" s="176">
        <v>2.4</v>
      </c>
      <c r="U178" s="176">
        <v>2.4</v>
      </c>
      <c r="V178" s="176">
        <v>2.4</v>
      </c>
      <c r="W178" s="176">
        <v>2.4</v>
      </c>
      <c r="X178" s="176">
        <v>2.4</v>
      </c>
      <c r="Y178" s="176">
        <v>2.4</v>
      </c>
      <c r="Z178" s="176">
        <v>2.4</v>
      </c>
      <c r="AA178" s="176">
        <v>2.4</v>
      </c>
      <c r="AB178" s="176">
        <v>2.4</v>
      </c>
      <c r="AC178" s="176">
        <v>2.4</v>
      </c>
      <c r="AD178" s="176">
        <v>2.4</v>
      </c>
      <c r="AE178" s="176">
        <v>2.4</v>
      </c>
      <c r="AF178" s="176">
        <v>2.4</v>
      </c>
      <c r="AG178" s="100">
        <v>2.4</v>
      </c>
      <c r="AH178" s="54"/>
      <c r="AI178" s="55"/>
      <c r="AK178" s="56"/>
    </row>
    <row r="179" spans="1:37" x14ac:dyDescent="0.25">
      <c r="A179" s="164" t="s">
        <v>203</v>
      </c>
      <c r="B179" s="176">
        <v>2.4</v>
      </c>
      <c r="C179" s="176">
        <v>2.4</v>
      </c>
      <c r="D179" s="176">
        <v>2.4</v>
      </c>
      <c r="E179" s="176">
        <v>2.4</v>
      </c>
      <c r="F179" s="176">
        <v>2.4</v>
      </c>
      <c r="G179" s="176">
        <v>2.4</v>
      </c>
      <c r="H179" s="176">
        <v>2.4</v>
      </c>
      <c r="I179" s="176">
        <v>2.4</v>
      </c>
      <c r="J179" s="176">
        <v>2.4</v>
      </c>
      <c r="K179" s="176">
        <v>2.4</v>
      </c>
      <c r="L179" s="176">
        <v>2.4</v>
      </c>
      <c r="M179" s="176">
        <v>2.4</v>
      </c>
      <c r="N179" s="176">
        <v>2.4</v>
      </c>
      <c r="O179" s="176">
        <v>2.4</v>
      </c>
      <c r="P179" s="176">
        <v>2.4</v>
      </c>
      <c r="Q179" s="176">
        <v>2.4</v>
      </c>
      <c r="R179" s="176">
        <v>2.4</v>
      </c>
      <c r="S179" s="176">
        <v>2.4</v>
      </c>
      <c r="T179" s="176">
        <v>2.4</v>
      </c>
      <c r="U179" s="176">
        <v>2.4</v>
      </c>
      <c r="V179" s="176">
        <v>2.4</v>
      </c>
      <c r="W179" s="176">
        <v>2.4</v>
      </c>
      <c r="X179" s="176">
        <v>2.4</v>
      </c>
      <c r="Y179" s="176">
        <v>2.4</v>
      </c>
      <c r="Z179" s="176">
        <v>2.4</v>
      </c>
      <c r="AA179" s="176">
        <v>2.4</v>
      </c>
      <c r="AB179" s="176">
        <v>2.4</v>
      </c>
      <c r="AC179" s="176">
        <v>2.4</v>
      </c>
      <c r="AD179" s="176">
        <v>2.4</v>
      </c>
      <c r="AE179" s="176">
        <v>2.4</v>
      </c>
      <c r="AF179" s="176">
        <v>2.4</v>
      </c>
      <c r="AG179" s="100">
        <v>2.4</v>
      </c>
      <c r="AH179" s="54"/>
      <c r="AI179" s="55"/>
      <c r="AK179" s="56"/>
    </row>
    <row r="180" spans="1:37" x14ac:dyDescent="0.25">
      <c r="A180" s="164" t="s">
        <v>204</v>
      </c>
      <c r="B180" s="176">
        <v>2.2000000000000002</v>
      </c>
      <c r="C180" s="176">
        <v>2.2000000000000002</v>
      </c>
      <c r="D180" s="176">
        <v>2.2000000000000002</v>
      </c>
      <c r="E180" s="176">
        <v>2.2000000000000002</v>
      </c>
      <c r="F180" s="176">
        <v>2.2000000000000002</v>
      </c>
      <c r="G180" s="176">
        <v>2.2000000000000002</v>
      </c>
      <c r="H180" s="176">
        <v>2.2000000000000002</v>
      </c>
      <c r="I180" s="176">
        <v>2.2000000000000002</v>
      </c>
      <c r="J180" s="176">
        <v>2.2000000000000002</v>
      </c>
      <c r="K180" s="176">
        <v>2.2000000000000002</v>
      </c>
      <c r="L180" s="176">
        <v>2.2000000000000002</v>
      </c>
      <c r="M180" s="176">
        <v>2.2000000000000002</v>
      </c>
      <c r="N180" s="176">
        <v>2.2000000000000002</v>
      </c>
      <c r="O180" s="176">
        <v>2.2000000000000002</v>
      </c>
      <c r="P180" s="176">
        <v>2.2000000000000002</v>
      </c>
      <c r="Q180" s="176">
        <v>2.2000000000000002</v>
      </c>
      <c r="R180" s="176">
        <v>2.2000000000000002</v>
      </c>
      <c r="S180" s="176">
        <v>2.2000000000000002</v>
      </c>
      <c r="T180" s="176">
        <v>2.2000000000000002</v>
      </c>
      <c r="U180" s="176">
        <v>2.2000000000000002</v>
      </c>
      <c r="V180" s="176">
        <v>2.2000000000000002</v>
      </c>
      <c r="W180" s="176">
        <v>2.2000000000000002</v>
      </c>
      <c r="X180" s="176">
        <v>2.2000000000000002</v>
      </c>
      <c r="Y180" s="176">
        <v>2.2000000000000002</v>
      </c>
      <c r="Z180" s="176">
        <v>2.2000000000000002</v>
      </c>
      <c r="AA180" s="176">
        <v>2.2000000000000002</v>
      </c>
      <c r="AB180" s="176">
        <v>2.2000000000000002</v>
      </c>
      <c r="AC180" s="176">
        <v>2.2000000000000002</v>
      </c>
      <c r="AD180" s="176">
        <v>2.2000000000000002</v>
      </c>
      <c r="AE180" s="176">
        <v>2.2000000000000002</v>
      </c>
      <c r="AF180" s="176">
        <v>2.2000000000000002</v>
      </c>
      <c r="AG180" s="100">
        <v>2.2000000000000002</v>
      </c>
      <c r="AH180" s="54"/>
      <c r="AI180" s="55"/>
      <c r="AK180" s="56"/>
    </row>
    <row r="181" spans="1:37" x14ac:dyDescent="0.25">
      <c r="A181" s="164" t="s">
        <v>205</v>
      </c>
      <c r="B181" s="176">
        <v>2</v>
      </c>
      <c r="C181" s="176">
        <v>2</v>
      </c>
      <c r="D181" s="176">
        <v>2</v>
      </c>
      <c r="E181" s="176">
        <v>2</v>
      </c>
      <c r="F181" s="176">
        <v>2</v>
      </c>
      <c r="G181" s="176">
        <v>2</v>
      </c>
      <c r="H181" s="176">
        <v>2</v>
      </c>
      <c r="I181" s="176">
        <v>2</v>
      </c>
      <c r="J181" s="176">
        <v>2</v>
      </c>
      <c r="K181" s="176">
        <v>2</v>
      </c>
      <c r="L181" s="176">
        <v>2</v>
      </c>
      <c r="M181" s="176">
        <v>2</v>
      </c>
      <c r="N181" s="176">
        <v>2</v>
      </c>
      <c r="O181" s="176">
        <v>2</v>
      </c>
      <c r="P181" s="176">
        <v>2</v>
      </c>
      <c r="Q181" s="176">
        <v>2</v>
      </c>
      <c r="R181" s="176">
        <v>2</v>
      </c>
      <c r="S181" s="176">
        <v>2</v>
      </c>
      <c r="T181" s="176">
        <v>2</v>
      </c>
      <c r="U181" s="176">
        <v>2</v>
      </c>
      <c r="V181" s="176">
        <v>2</v>
      </c>
      <c r="W181" s="176">
        <v>2</v>
      </c>
      <c r="X181" s="176">
        <v>2</v>
      </c>
      <c r="Y181" s="176">
        <v>2</v>
      </c>
      <c r="Z181" s="176">
        <v>2</v>
      </c>
      <c r="AA181" s="176">
        <v>2</v>
      </c>
      <c r="AB181" s="176">
        <v>2</v>
      </c>
      <c r="AC181" s="176">
        <v>2</v>
      </c>
      <c r="AD181" s="176">
        <v>2</v>
      </c>
      <c r="AE181" s="176">
        <v>2</v>
      </c>
      <c r="AF181" s="176">
        <v>2</v>
      </c>
      <c r="AG181" s="100">
        <v>2</v>
      </c>
      <c r="AH181" s="54"/>
      <c r="AI181" s="55"/>
      <c r="AK181" s="56"/>
    </row>
    <row r="182" spans="1:37" x14ac:dyDescent="0.25">
      <c r="A182" s="164" t="s">
        <v>206</v>
      </c>
      <c r="B182" s="176">
        <v>2</v>
      </c>
      <c r="C182" s="176">
        <v>2</v>
      </c>
      <c r="D182" s="176">
        <v>2</v>
      </c>
      <c r="E182" s="176">
        <v>2</v>
      </c>
      <c r="F182" s="176">
        <v>2</v>
      </c>
      <c r="G182" s="176">
        <v>2</v>
      </c>
      <c r="H182" s="176">
        <v>2</v>
      </c>
      <c r="I182" s="176">
        <v>2</v>
      </c>
      <c r="J182" s="176">
        <v>2</v>
      </c>
      <c r="K182" s="176">
        <v>2</v>
      </c>
      <c r="L182" s="176">
        <v>2</v>
      </c>
      <c r="M182" s="176">
        <v>2</v>
      </c>
      <c r="N182" s="176">
        <v>2</v>
      </c>
      <c r="O182" s="176">
        <v>2</v>
      </c>
      <c r="P182" s="176">
        <v>2</v>
      </c>
      <c r="Q182" s="176">
        <v>2</v>
      </c>
      <c r="R182" s="176">
        <v>2</v>
      </c>
      <c r="S182" s="176">
        <v>2</v>
      </c>
      <c r="T182" s="176">
        <v>2</v>
      </c>
      <c r="U182" s="176">
        <v>2</v>
      </c>
      <c r="V182" s="176">
        <v>2</v>
      </c>
      <c r="W182" s="176">
        <v>2</v>
      </c>
      <c r="X182" s="176">
        <v>2</v>
      </c>
      <c r="Y182" s="176">
        <v>2</v>
      </c>
      <c r="Z182" s="176">
        <v>2</v>
      </c>
      <c r="AA182" s="176">
        <v>2</v>
      </c>
      <c r="AB182" s="176">
        <v>2</v>
      </c>
      <c r="AC182" s="176">
        <v>2</v>
      </c>
      <c r="AD182" s="176">
        <v>2</v>
      </c>
      <c r="AE182" s="176">
        <v>2</v>
      </c>
      <c r="AF182" s="176">
        <v>2</v>
      </c>
      <c r="AG182" s="100">
        <v>2</v>
      </c>
      <c r="AH182" s="54"/>
      <c r="AI182" s="55"/>
      <c r="AK182" s="56"/>
    </row>
    <row r="183" spans="1:37" x14ac:dyDescent="0.25">
      <c r="A183" s="164" t="s">
        <v>207</v>
      </c>
      <c r="B183" s="176">
        <v>2</v>
      </c>
      <c r="C183" s="176">
        <v>2</v>
      </c>
      <c r="D183" s="176">
        <v>2</v>
      </c>
      <c r="E183" s="176">
        <v>2</v>
      </c>
      <c r="F183" s="176">
        <v>2</v>
      </c>
      <c r="G183" s="176">
        <v>2</v>
      </c>
      <c r="H183" s="176">
        <v>2</v>
      </c>
      <c r="I183" s="176">
        <v>2</v>
      </c>
      <c r="J183" s="176">
        <v>2</v>
      </c>
      <c r="K183" s="176">
        <v>2</v>
      </c>
      <c r="L183" s="176">
        <v>2</v>
      </c>
      <c r="M183" s="176">
        <v>2</v>
      </c>
      <c r="N183" s="176">
        <v>2</v>
      </c>
      <c r="O183" s="176">
        <v>2</v>
      </c>
      <c r="P183" s="176">
        <v>2</v>
      </c>
      <c r="Q183" s="176">
        <v>2</v>
      </c>
      <c r="R183" s="176">
        <v>2</v>
      </c>
      <c r="S183" s="176">
        <v>2</v>
      </c>
      <c r="T183" s="176">
        <v>2</v>
      </c>
      <c r="U183" s="176">
        <v>2</v>
      </c>
      <c r="V183" s="176">
        <v>2</v>
      </c>
      <c r="W183" s="176">
        <v>2</v>
      </c>
      <c r="X183" s="176">
        <v>2</v>
      </c>
      <c r="Y183" s="176">
        <v>2</v>
      </c>
      <c r="Z183" s="176">
        <v>2</v>
      </c>
      <c r="AA183" s="176">
        <v>2</v>
      </c>
      <c r="AB183" s="176">
        <v>2</v>
      </c>
      <c r="AC183" s="176">
        <v>2</v>
      </c>
      <c r="AD183" s="176">
        <v>2</v>
      </c>
      <c r="AE183" s="176">
        <v>2</v>
      </c>
      <c r="AF183" s="176">
        <v>2</v>
      </c>
      <c r="AG183" s="100">
        <v>2</v>
      </c>
      <c r="AH183" s="54"/>
      <c r="AI183" s="55"/>
      <c r="AK183" s="56"/>
    </row>
    <row r="184" spans="1:37" x14ac:dyDescent="0.25">
      <c r="A184" s="164" t="s">
        <v>208</v>
      </c>
      <c r="B184" s="176">
        <v>1.8</v>
      </c>
      <c r="C184" s="176">
        <v>1.8</v>
      </c>
      <c r="D184" s="176">
        <v>1.8</v>
      </c>
      <c r="E184" s="176">
        <v>1.8</v>
      </c>
      <c r="F184" s="176">
        <v>1.8</v>
      </c>
      <c r="G184" s="176">
        <v>1.8</v>
      </c>
      <c r="H184" s="176">
        <v>1.8</v>
      </c>
      <c r="I184" s="176">
        <v>1.8</v>
      </c>
      <c r="J184" s="176">
        <v>1.8</v>
      </c>
      <c r="K184" s="176">
        <v>1.8</v>
      </c>
      <c r="L184" s="176">
        <v>1.8</v>
      </c>
      <c r="M184" s="176">
        <v>1.8</v>
      </c>
      <c r="N184" s="176">
        <v>1.8</v>
      </c>
      <c r="O184" s="176">
        <v>1.8</v>
      </c>
      <c r="P184" s="176">
        <v>1.8</v>
      </c>
      <c r="Q184" s="176">
        <v>1.8</v>
      </c>
      <c r="R184" s="176">
        <v>1.8</v>
      </c>
      <c r="S184" s="176">
        <v>1.8</v>
      </c>
      <c r="T184" s="176">
        <v>1.8</v>
      </c>
      <c r="U184" s="176">
        <v>1.8</v>
      </c>
      <c r="V184" s="176">
        <v>1.8</v>
      </c>
      <c r="W184" s="176">
        <v>1.8</v>
      </c>
      <c r="X184" s="176">
        <v>1.8</v>
      </c>
      <c r="Y184" s="176">
        <v>1.8</v>
      </c>
      <c r="Z184" s="176">
        <v>1.8</v>
      </c>
      <c r="AA184" s="176">
        <v>1.8</v>
      </c>
      <c r="AB184" s="176">
        <v>1.8</v>
      </c>
      <c r="AC184" s="176">
        <v>1.8</v>
      </c>
      <c r="AD184" s="176">
        <v>1.8</v>
      </c>
      <c r="AE184" s="176">
        <v>1.8</v>
      </c>
      <c r="AF184" s="176">
        <v>1.8</v>
      </c>
      <c r="AG184" s="100">
        <v>1.8</v>
      </c>
      <c r="AH184" s="54"/>
      <c r="AI184" s="55"/>
      <c r="AK184" s="56"/>
    </row>
    <row r="185" spans="1:37" x14ac:dyDescent="0.25">
      <c r="A185" s="164" t="s">
        <v>209</v>
      </c>
      <c r="B185" s="176">
        <v>1.8</v>
      </c>
      <c r="C185" s="176">
        <v>1.8</v>
      </c>
      <c r="D185" s="176">
        <v>1.8</v>
      </c>
      <c r="E185" s="176">
        <v>1.8</v>
      </c>
      <c r="F185" s="176">
        <v>1.8</v>
      </c>
      <c r="G185" s="176">
        <v>1.8</v>
      </c>
      <c r="H185" s="176">
        <v>1.8</v>
      </c>
      <c r="I185" s="176">
        <v>1.8</v>
      </c>
      <c r="J185" s="176">
        <v>1.8</v>
      </c>
      <c r="K185" s="176">
        <v>1.8</v>
      </c>
      <c r="L185" s="176">
        <v>1.8</v>
      </c>
      <c r="M185" s="176">
        <v>1.8</v>
      </c>
      <c r="N185" s="176">
        <v>1.8</v>
      </c>
      <c r="O185" s="176">
        <v>1.8</v>
      </c>
      <c r="P185" s="176">
        <v>1.8</v>
      </c>
      <c r="Q185" s="176">
        <v>1.8</v>
      </c>
      <c r="R185" s="176">
        <v>1.8</v>
      </c>
      <c r="S185" s="176">
        <v>1.8</v>
      </c>
      <c r="T185" s="176">
        <v>1.8</v>
      </c>
      <c r="U185" s="176">
        <v>1.8</v>
      </c>
      <c r="V185" s="176">
        <v>1.8</v>
      </c>
      <c r="W185" s="176">
        <v>1.8</v>
      </c>
      <c r="X185" s="176">
        <v>1.8</v>
      </c>
      <c r="Y185" s="176">
        <v>1.8</v>
      </c>
      <c r="Z185" s="176">
        <v>1.8</v>
      </c>
      <c r="AA185" s="176">
        <v>1.8</v>
      </c>
      <c r="AB185" s="176">
        <v>1.8</v>
      </c>
      <c r="AC185" s="176">
        <v>1.8</v>
      </c>
      <c r="AD185" s="176">
        <v>1.8</v>
      </c>
      <c r="AE185" s="176">
        <v>1.8</v>
      </c>
      <c r="AF185" s="176">
        <v>1.8</v>
      </c>
      <c r="AG185" s="100">
        <v>1.8</v>
      </c>
      <c r="AH185" s="54"/>
      <c r="AI185" s="55"/>
      <c r="AK185" s="56"/>
    </row>
    <row r="186" spans="1:37" x14ac:dyDescent="0.25">
      <c r="A186" s="164" t="s">
        <v>210</v>
      </c>
      <c r="B186" s="176">
        <v>1.65</v>
      </c>
      <c r="C186" s="176">
        <v>1.65</v>
      </c>
      <c r="D186" s="176">
        <v>1.65</v>
      </c>
      <c r="E186" s="176">
        <v>1.65</v>
      </c>
      <c r="F186" s="176">
        <v>1.65</v>
      </c>
      <c r="G186" s="176">
        <v>1.65</v>
      </c>
      <c r="H186" s="176">
        <v>1.65</v>
      </c>
      <c r="I186" s="176">
        <v>1.65</v>
      </c>
      <c r="J186" s="176">
        <v>1.65</v>
      </c>
      <c r="K186" s="176">
        <v>1.65</v>
      </c>
      <c r="L186" s="176">
        <v>1.65</v>
      </c>
      <c r="M186" s="176">
        <v>1.65</v>
      </c>
      <c r="N186" s="176">
        <v>1.65</v>
      </c>
      <c r="O186" s="176">
        <v>1.65</v>
      </c>
      <c r="P186" s="176">
        <v>1.65</v>
      </c>
      <c r="Q186" s="176">
        <v>1.65</v>
      </c>
      <c r="R186" s="176">
        <v>1.65</v>
      </c>
      <c r="S186" s="176">
        <v>1.65</v>
      </c>
      <c r="T186" s="176">
        <v>1.65</v>
      </c>
      <c r="U186" s="176">
        <v>1.65</v>
      </c>
      <c r="V186" s="176">
        <v>1.65</v>
      </c>
      <c r="W186" s="176">
        <v>1.65</v>
      </c>
      <c r="X186" s="176">
        <v>1.65</v>
      </c>
      <c r="Y186" s="176">
        <v>1.65</v>
      </c>
      <c r="Z186" s="176">
        <v>1.65</v>
      </c>
      <c r="AA186" s="176">
        <v>1.65</v>
      </c>
      <c r="AB186" s="176">
        <v>1.65</v>
      </c>
      <c r="AC186" s="176">
        <v>1.65</v>
      </c>
      <c r="AD186" s="176">
        <v>1.65</v>
      </c>
      <c r="AE186" s="176">
        <v>1.65</v>
      </c>
      <c r="AF186" s="176">
        <v>1.65</v>
      </c>
      <c r="AG186" s="100">
        <v>1.65</v>
      </c>
      <c r="AH186" s="54"/>
      <c r="AI186" s="55"/>
      <c r="AK186" s="56"/>
    </row>
    <row r="187" spans="1:37" x14ac:dyDescent="0.25">
      <c r="A187" s="164" t="s">
        <v>211</v>
      </c>
      <c r="B187" s="176">
        <v>1.5</v>
      </c>
      <c r="C187" s="176">
        <v>1.5</v>
      </c>
      <c r="D187" s="176">
        <v>1.5</v>
      </c>
      <c r="E187" s="176">
        <v>1.5</v>
      </c>
      <c r="F187" s="176">
        <v>1.5</v>
      </c>
      <c r="G187" s="176">
        <v>1.5</v>
      </c>
      <c r="H187" s="176">
        <v>1.5</v>
      </c>
      <c r="I187" s="176">
        <v>1.5</v>
      </c>
      <c r="J187" s="176">
        <v>1.5</v>
      </c>
      <c r="K187" s="176">
        <v>1.5</v>
      </c>
      <c r="L187" s="176">
        <v>1.5</v>
      </c>
      <c r="M187" s="176">
        <v>1.5</v>
      </c>
      <c r="N187" s="176">
        <v>1.5</v>
      </c>
      <c r="O187" s="176">
        <v>1.5</v>
      </c>
      <c r="P187" s="176">
        <v>1.5</v>
      </c>
      <c r="Q187" s="176">
        <v>1.5</v>
      </c>
      <c r="R187" s="176">
        <v>1.5</v>
      </c>
      <c r="S187" s="176">
        <v>1.5</v>
      </c>
      <c r="T187" s="176">
        <v>1.5</v>
      </c>
      <c r="U187" s="176">
        <v>1.5</v>
      </c>
      <c r="V187" s="176">
        <v>1.5</v>
      </c>
      <c r="W187" s="176">
        <v>1.5</v>
      </c>
      <c r="X187" s="176">
        <v>1.5</v>
      </c>
      <c r="Y187" s="176">
        <v>1.5</v>
      </c>
      <c r="Z187" s="176">
        <v>1.5</v>
      </c>
      <c r="AA187" s="176">
        <v>1.5</v>
      </c>
      <c r="AB187" s="176">
        <v>1.5</v>
      </c>
      <c r="AC187" s="176">
        <v>1.5</v>
      </c>
      <c r="AD187" s="176">
        <v>1.5</v>
      </c>
      <c r="AE187" s="176">
        <v>1.5</v>
      </c>
      <c r="AF187" s="176">
        <v>1.5</v>
      </c>
      <c r="AG187" s="100">
        <v>1.5</v>
      </c>
      <c r="AH187" s="54"/>
      <c r="AI187" s="55"/>
      <c r="AK187" s="56"/>
    </row>
    <row r="188" spans="1:37" x14ac:dyDescent="0.25">
      <c r="A188" s="164" t="s">
        <v>212</v>
      </c>
      <c r="B188" s="176">
        <v>1</v>
      </c>
      <c r="C188" s="176">
        <v>1</v>
      </c>
      <c r="D188" s="176">
        <v>1</v>
      </c>
      <c r="E188" s="176">
        <v>1</v>
      </c>
      <c r="F188" s="176">
        <v>1</v>
      </c>
      <c r="G188" s="176">
        <v>1</v>
      </c>
      <c r="H188" s="176">
        <v>1</v>
      </c>
      <c r="I188" s="176">
        <v>1</v>
      </c>
      <c r="J188" s="176">
        <v>1</v>
      </c>
      <c r="K188" s="176">
        <v>1</v>
      </c>
      <c r="L188" s="176">
        <v>1</v>
      </c>
      <c r="M188" s="176">
        <v>1</v>
      </c>
      <c r="N188" s="176">
        <v>1</v>
      </c>
      <c r="O188" s="176">
        <v>1</v>
      </c>
      <c r="P188" s="176">
        <v>1</v>
      </c>
      <c r="Q188" s="176">
        <v>1</v>
      </c>
      <c r="R188" s="176">
        <v>1</v>
      </c>
      <c r="S188" s="176">
        <v>1</v>
      </c>
      <c r="T188" s="176">
        <v>1</v>
      </c>
      <c r="U188" s="176">
        <v>1</v>
      </c>
      <c r="V188" s="176">
        <v>1</v>
      </c>
      <c r="W188" s="176">
        <v>1</v>
      </c>
      <c r="X188" s="176">
        <v>1</v>
      </c>
      <c r="Y188" s="176">
        <v>1</v>
      </c>
      <c r="Z188" s="176">
        <v>1</v>
      </c>
      <c r="AA188" s="176">
        <v>1</v>
      </c>
      <c r="AB188" s="176">
        <v>1</v>
      </c>
      <c r="AC188" s="176">
        <v>1</v>
      </c>
      <c r="AD188" s="176">
        <v>1</v>
      </c>
      <c r="AE188" s="176">
        <v>1</v>
      </c>
      <c r="AF188" s="176">
        <v>1</v>
      </c>
      <c r="AG188" s="100">
        <v>1</v>
      </c>
      <c r="AH188" s="54"/>
      <c r="AI188" s="55"/>
      <c r="AK188" s="56"/>
    </row>
    <row r="189" spans="1:37" x14ac:dyDescent="0.25">
      <c r="A189" s="164" t="s">
        <v>213</v>
      </c>
      <c r="B189" s="176">
        <v>0.998</v>
      </c>
      <c r="C189" s="176">
        <v>0.998</v>
      </c>
      <c r="D189" s="176">
        <v>0.998</v>
      </c>
      <c r="E189" s="176">
        <v>0.998</v>
      </c>
      <c r="F189" s="176">
        <v>0.998</v>
      </c>
      <c r="G189" s="176">
        <v>0.998</v>
      </c>
      <c r="H189" s="176">
        <v>0.998</v>
      </c>
      <c r="I189" s="176">
        <v>0.998</v>
      </c>
      <c r="J189" s="176">
        <v>0.998</v>
      </c>
      <c r="K189" s="176">
        <v>0.998</v>
      </c>
      <c r="L189" s="176">
        <v>0.998</v>
      </c>
      <c r="M189" s="176">
        <v>0.998</v>
      </c>
      <c r="N189" s="176">
        <v>0.998</v>
      </c>
      <c r="O189" s="176">
        <v>0.998</v>
      </c>
      <c r="P189" s="176">
        <v>0.998</v>
      </c>
      <c r="Q189" s="176">
        <v>0.998</v>
      </c>
      <c r="R189" s="176">
        <v>0.998</v>
      </c>
      <c r="S189" s="176">
        <v>0.998</v>
      </c>
      <c r="T189" s="176">
        <v>0.998</v>
      </c>
      <c r="U189" s="176">
        <v>0.998</v>
      </c>
      <c r="V189" s="176">
        <v>0.998</v>
      </c>
      <c r="W189" s="176">
        <v>0.998</v>
      </c>
      <c r="X189" s="176">
        <v>0.998</v>
      </c>
      <c r="Y189" s="176">
        <v>0.998</v>
      </c>
      <c r="Z189" s="176">
        <v>0.998</v>
      </c>
      <c r="AA189" s="176">
        <v>0.998</v>
      </c>
      <c r="AB189" s="176">
        <v>0.998</v>
      </c>
      <c r="AC189" s="176">
        <v>0.998</v>
      </c>
      <c r="AD189" s="176">
        <v>0.998</v>
      </c>
      <c r="AE189" s="176">
        <v>0.998</v>
      </c>
      <c r="AF189" s="176">
        <v>0.998</v>
      </c>
      <c r="AG189" s="100">
        <v>0.998</v>
      </c>
      <c r="AH189" s="54"/>
      <c r="AI189" s="55"/>
      <c r="AK189" s="56"/>
    </row>
    <row r="190" spans="1:37" x14ac:dyDescent="0.25">
      <c r="A190" s="164" t="s">
        <v>214</v>
      </c>
      <c r="B190" s="176">
        <v>0.997</v>
      </c>
      <c r="C190" s="176">
        <v>0.997</v>
      </c>
      <c r="D190" s="176">
        <v>0.997</v>
      </c>
      <c r="E190" s="176">
        <v>0.997</v>
      </c>
      <c r="F190" s="176">
        <v>0.997</v>
      </c>
      <c r="G190" s="176">
        <v>0.997</v>
      </c>
      <c r="H190" s="176">
        <v>0.997</v>
      </c>
      <c r="I190" s="176">
        <v>0.997</v>
      </c>
      <c r="J190" s="176">
        <v>0.997</v>
      </c>
      <c r="K190" s="176">
        <v>0.997</v>
      </c>
      <c r="L190" s="176">
        <v>0.997</v>
      </c>
      <c r="M190" s="176">
        <v>0.997</v>
      </c>
      <c r="N190" s="176">
        <v>0.997</v>
      </c>
      <c r="O190" s="176">
        <v>0.997</v>
      </c>
      <c r="P190" s="176">
        <v>0.997</v>
      </c>
      <c r="Q190" s="176">
        <v>0.997</v>
      </c>
      <c r="R190" s="176">
        <v>0.997</v>
      </c>
      <c r="S190" s="176">
        <v>0.997</v>
      </c>
      <c r="T190" s="176">
        <v>0.997</v>
      </c>
      <c r="U190" s="176">
        <v>0.997</v>
      </c>
      <c r="V190" s="176">
        <v>0.997</v>
      </c>
      <c r="W190" s="176">
        <v>0.997</v>
      </c>
      <c r="X190" s="176">
        <v>0.997</v>
      </c>
      <c r="Y190" s="176">
        <v>0.997</v>
      </c>
      <c r="Z190" s="176">
        <v>0.997</v>
      </c>
      <c r="AA190" s="176">
        <v>0.997</v>
      </c>
      <c r="AB190" s="176">
        <v>0.997</v>
      </c>
      <c r="AC190" s="176">
        <v>0.997</v>
      </c>
      <c r="AD190" s="176">
        <v>0.997</v>
      </c>
      <c r="AE190" s="176">
        <v>0.997</v>
      </c>
      <c r="AF190" s="176">
        <v>0.997</v>
      </c>
      <c r="AG190" s="100">
        <v>0.997</v>
      </c>
      <c r="AH190" s="54"/>
      <c r="AI190" s="55"/>
      <c r="AK190" s="56"/>
    </row>
    <row r="191" spans="1:37" x14ac:dyDescent="0.25">
      <c r="A191" s="164" t="s">
        <v>215</v>
      </c>
      <c r="B191" s="176">
        <v>0.997</v>
      </c>
      <c r="C191" s="176">
        <v>0.997</v>
      </c>
      <c r="D191" s="176">
        <v>0.997</v>
      </c>
      <c r="E191" s="176">
        <v>0.997</v>
      </c>
      <c r="F191" s="176">
        <v>0.997</v>
      </c>
      <c r="G191" s="176">
        <v>0.997</v>
      </c>
      <c r="H191" s="176">
        <v>0.997</v>
      </c>
      <c r="I191" s="176">
        <v>0.997</v>
      </c>
      <c r="J191" s="176">
        <v>0.997</v>
      </c>
      <c r="K191" s="176">
        <v>0.997</v>
      </c>
      <c r="L191" s="176">
        <v>0.997</v>
      </c>
      <c r="M191" s="176">
        <v>0.997</v>
      </c>
      <c r="N191" s="176">
        <v>0.997</v>
      </c>
      <c r="O191" s="176">
        <v>0.997</v>
      </c>
      <c r="P191" s="176">
        <v>0.997</v>
      </c>
      <c r="Q191" s="176">
        <v>0.997</v>
      </c>
      <c r="R191" s="176">
        <v>0.997</v>
      </c>
      <c r="S191" s="176">
        <v>0.997</v>
      </c>
      <c r="T191" s="176">
        <v>0.997</v>
      </c>
      <c r="U191" s="176">
        <v>0.997</v>
      </c>
      <c r="V191" s="176">
        <v>0.997</v>
      </c>
      <c r="W191" s="176">
        <v>0.997</v>
      </c>
      <c r="X191" s="176">
        <v>0.997</v>
      </c>
      <c r="Y191" s="176">
        <v>0.997</v>
      </c>
      <c r="Z191" s="176">
        <v>0.997</v>
      </c>
      <c r="AA191" s="176">
        <v>0.997</v>
      </c>
      <c r="AB191" s="176">
        <v>0.997</v>
      </c>
      <c r="AC191" s="176">
        <v>0.997</v>
      </c>
      <c r="AD191" s="176">
        <v>0.997</v>
      </c>
      <c r="AE191" s="176">
        <v>0.997</v>
      </c>
      <c r="AF191" s="176">
        <v>0.997</v>
      </c>
      <c r="AG191" s="100">
        <v>0.997</v>
      </c>
      <c r="AH191" s="54"/>
      <c r="AI191" s="55"/>
      <c r="AK191" s="56"/>
    </row>
    <row r="192" spans="1:37" x14ac:dyDescent="0.25">
      <c r="A192" s="164" t="s">
        <v>216</v>
      </c>
      <c r="B192" s="176">
        <v>0.996</v>
      </c>
      <c r="C192" s="176">
        <v>0.996</v>
      </c>
      <c r="D192" s="176">
        <v>0.996</v>
      </c>
      <c r="E192" s="176">
        <v>0.996</v>
      </c>
      <c r="F192" s="176">
        <v>0.996</v>
      </c>
      <c r="G192" s="176">
        <v>0.996</v>
      </c>
      <c r="H192" s="176">
        <v>0.996</v>
      </c>
      <c r="I192" s="176">
        <v>0.996</v>
      </c>
      <c r="J192" s="176">
        <v>0.996</v>
      </c>
      <c r="K192" s="176">
        <v>0.996</v>
      </c>
      <c r="L192" s="176">
        <v>0.996</v>
      </c>
      <c r="M192" s="176">
        <v>0.996</v>
      </c>
      <c r="N192" s="176">
        <v>0.996</v>
      </c>
      <c r="O192" s="176">
        <v>0.996</v>
      </c>
      <c r="P192" s="176">
        <v>0.996</v>
      </c>
      <c r="Q192" s="176">
        <v>0.996</v>
      </c>
      <c r="R192" s="176">
        <v>0.996</v>
      </c>
      <c r="S192" s="176">
        <v>0.996</v>
      </c>
      <c r="T192" s="176">
        <v>0.996</v>
      </c>
      <c r="U192" s="176">
        <v>0.996</v>
      </c>
      <c r="V192" s="176">
        <v>0.996</v>
      </c>
      <c r="W192" s="176">
        <v>0.996</v>
      </c>
      <c r="X192" s="176">
        <v>0.996</v>
      </c>
      <c r="Y192" s="176">
        <v>0.996</v>
      </c>
      <c r="Z192" s="176">
        <v>0.996</v>
      </c>
      <c r="AA192" s="176">
        <v>0.996</v>
      </c>
      <c r="AB192" s="176">
        <v>0.996</v>
      </c>
      <c r="AC192" s="176">
        <v>0.996</v>
      </c>
      <c r="AD192" s="176">
        <v>0.996</v>
      </c>
      <c r="AE192" s="176">
        <v>0.996</v>
      </c>
      <c r="AF192" s="176">
        <v>0.996</v>
      </c>
      <c r="AG192" s="100">
        <v>0.996</v>
      </c>
      <c r="AH192" s="54"/>
      <c r="AI192" s="55"/>
      <c r="AK192" s="56"/>
    </row>
    <row r="193" spans="1:37" x14ac:dyDescent="0.25">
      <c r="A193" s="164" t="s">
        <v>217</v>
      </c>
      <c r="B193" s="176">
        <v>0.996</v>
      </c>
      <c r="C193" s="176">
        <v>0.996</v>
      </c>
      <c r="D193" s="176">
        <v>0.996</v>
      </c>
      <c r="E193" s="176">
        <v>0.996</v>
      </c>
      <c r="F193" s="176">
        <v>0.996</v>
      </c>
      <c r="G193" s="176">
        <v>0.996</v>
      </c>
      <c r="H193" s="176">
        <v>0.996</v>
      </c>
      <c r="I193" s="176">
        <v>0.996</v>
      </c>
      <c r="J193" s="176">
        <v>0.996</v>
      </c>
      <c r="K193" s="176">
        <v>0.996</v>
      </c>
      <c r="L193" s="176">
        <v>0.996</v>
      </c>
      <c r="M193" s="176">
        <v>0.996</v>
      </c>
      <c r="N193" s="176">
        <v>0.996</v>
      </c>
      <c r="O193" s="176">
        <v>0.996</v>
      </c>
      <c r="P193" s="176">
        <v>0.996</v>
      </c>
      <c r="Q193" s="176">
        <v>0.996</v>
      </c>
      <c r="R193" s="176">
        <v>0.996</v>
      </c>
      <c r="S193" s="176">
        <v>0.996</v>
      </c>
      <c r="T193" s="176">
        <v>0.996</v>
      </c>
      <c r="U193" s="176">
        <v>0.996</v>
      </c>
      <c r="V193" s="176">
        <v>0.996</v>
      </c>
      <c r="W193" s="176">
        <v>0.996</v>
      </c>
      <c r="X193" s="176">
        <v>0.996</v>
      </c>
      <c r="Y193" s="176">
        <v>0.996</v>
      </c>
      <c r="Z193" s="176">
        <v>0.996</v>
      </c>
      <c r="AA193" s="176">
        <v>0.996</v>
      </c>
      <c r="AB193" s="176">
        <v>0.996</v>
      </c>
      <c r="AC193" s="176">
        <v>0.996</v>
      </c>
      <c r="AD193" s="176">
        <v>0.996</v>
      </c>
      <c r="AE193" s="176">
        <v>0.996</v>
      </c>
      <c r="AF193" s="176">
        <v>0.996</v>
      </c>
      <c r="AG193" s="100">
        <v>0.996</v>
      </c>
      <c r="AH193" s="54"/>
      <c r="AI193" s="55"/>
      <c r="AK193" s="56"/>
    </row>
    <row r="194" spans="1:37" x14ac:dyDescent="0.25">
      <c r="A194" s="164" t="s">
        <v>218</v>
      </c>
      <c r="B194" s="176">
        <v>0.996</v>
      </c>
      <c r="C194" s="176">
        <v>0.996</v>
      </c>
      <c r="D194" s="176">
        <v>0.996</v>
      </c>
      <c r="E194" s="176">
        <v>0.996</v>
      </c>
      <c r="F194" s="176">
        <v>0.996</v>
      </c>
      <c r="G194" s="176">
        <v>0.996</v>
      </c>
      <c r="H194" s="176">
        <v>0.996</v>
      </c>
      <c r="I194" s="176">
        <v>0.996</v>
      </c>
      <c r="J194" s="176">
        <v>0.996</v>
      </c>
      <c r="K194" s="176">
        <v>0.996</v>
      </c>
      <c r="L194" s="176">
        <v>0.996</v>
      </c>
      <c r="M194" s="176">
        <v>0.996</v>
      </c>
      <c r="N194" s="176">
        <v>0.996</v>
      </c>
      <c r="O194" s="176">
        <v>0.996</v>
      </c>
      <c r="P194" s="176">
        <v>0.996</v>
      </c>
      <c r="Q194" s="176">
        <v>0.996</v>
      </c>
      <c r="R194" s="176">
        <v>0.996</v>
      </c>
      <c r="S194" s="176">
        <v>0.996</v>
      </c>
      <c r="T194" s="176">
        <v>0.996</v>
      </c>
      <c r="U194" s="176">
        <v>0.996</v>
      </c>
      <c r="V194" s="176">
        <v>0.996</v>
      </c>
      <c r="W194" s="176">
        <v>0.996</v>
      </c>
      <c r="X194" s="176">
        <v>0.996</v>
      </c>
      <c r="Y194" s="176">
        <v>0.996</v>
      </c>
      <c r="Z194" s="176">
        <v>0.996</v>
      </c>
      <c r="AA194" s="176">
        <v>0.996</v>
      </c>
      <c r="AB194" s="176">
        <v>0.996</v>
      </c>
      <c r="AC194" s="176">
        <v>0.996</v>
      </c>
      <c r="AD194" s="176">
        <v>0.996</v>
      </c>
      <c r="AE194" s="176">
        <v>0.996</v>
      </c>
      <c r="AF194" s="176">
        <v>0.996</v>
      </c>
      <c r="AG194" s="100">
        <v>0.996</v>
      </c>
      <c r="AH194" s="54"/>
      <c r="AI194" s="55"/>
      <c r="AK194" s="56"/>
    </row>
    <row r="195" spans="1:37" x14ac:dyDescent="0.25">
      <c r="A195" s="164" t="s">
        <v>219</v>
      </c>
      <c r="B195" s="176">
        <v>0.995</v>
      </c>
      <c r="C195" s="176">
        <v>0.995</v>
      </c>
      <c r="D195" s="176">
        <v>0.995</v>
      </c>
      <c r="E195" s="176">
        <v>0.995</v>
      </c>
      <c r="F195" s="176">
        <v>0.995</v>
      </c>
      <c r="G195" s="176">
        <v>0.995</v>
      </c>
      <c r="H195" s="176">
        <v>0.995</v>
      </c>
      <c r="I195" s="176">
        <v>0.995</v>
      </c>
      <c r="J195" s="176">
        <v>0.995</v>
      </c>
      <c r="K195" s="176">
        <v>0.995</v>
      </c>
      <c r="L195" s="176">
        <v>0.995</v>
      </c>
      <c r="M195" s="176">
        <v>0.995</v>
      </c>
      <c r="N195" s="176">
        <v>0.995</v>
      </c>
      <c r="O195" s="176">
        <v>0.995</v>
      </c>
      <c r="P195" s="176">
        <v>0.995</v>
      </c>
      <c r="Q195" s="176">
        <v>0.995</v>
      </c>
      <c r="R195" s="176">
        <v>0.995</v>
      </c>
      <c r="S195" s="176">
        <v>0.995</v>
      </c>
      <c r="T195" s="176">
        <v>0.995</v>
      </c>
      <c r="U195" s="176">
        <v>0.995</v>
      </c>
      <c r="V195" s="176">
        <v>0.995</v>
      </c>
      <c r="W195" s="176">
        <v>0.995</v>
      </c>
      <c r="X195" s="176">
        <v>0.995</v>
      </c>
      <c r="Y195" s="176">
        <v>0.995</v>
      </c>
      <c r="Z195" s="176">
        <v>0.995</v>
      </c>
      <c r="AA195" s="176">
        <v>0.995</v>
      </c>
      <c r="AB195" s="176">
        <v>0.995</v>
      </c>
      <c r="AC195" s="176">
        <v>0.995</v>
      </c>
      <c r="AD195" s="176">
        <v>0.995</v>
      </c>
      <c r="AE195" s="176">
        <v>0.995</v>
      </c>
      <c r="AF195" s="176">
        <v>0.995</v>
      </c>
      <c r="AG195" s="100">
        <v>0.995</v>
      </c>
      <c r="AH195" s="54"/>
      <c r="AI195" s="55"/>
      <c r="AK195" s="56"/>
    </row>
    <row r="196" spans="1:37" x14ac:dyDescent="0.25">
      <c r="A196" s="164" t="s">
        <v>220</v>
      </c>
      <c r="B196" s="176">
        <v>0.99299999999999999</v>
      </c>
      <c r="C196" s="176">
        <v>0.99299999999999999</v>
      </c>
      <c r="D196" s="176">
        <v>0.99299999999999999</v>
      </c>
      <c r="E196" s="176">
        <v>0.99299999999999999</v>
      </c>
      <c r="F196" s="176">
        <v>0.99299999999999999</v>
      </c>
      <c r="G196" s="176">
        <v>0.99299999999999999</v>
      </c>
      <c r="H196" s="176">
        <v>0.99299999999999999</v>
      </c>
      <c r="I196" s="176">
        <v>0.99299999999999999</v>
      </c>
      <c r="J196" s="176">
        <v>0.99299999999999999</v>
      </c>
      <c r="K196" s="176">
        <v>0.99299999999999999</v>
      </c>
      <c r="L196" s="176">
        <v>0.99299999999999999</v>
      </c>
      <c r="M196" s="176">
        <v>0.99299999999999999</v>
      </c>
      <c r="N196" s="176">
        <v>0.99299999999999999</v>
      </c>
      <c r="O196" s="176">
        <v>0.99299999999999999</v>
      </c>
      <c r="P196" s="176">
        <v>0.99299999999999999</v>
      </c>
      <c r="Q196" s="176">
        <v>0.99299999999999999</v>
      </c>
      <c r="R196" s="176">
        <v>0.99299999999999999</v>
      </c>
      <c r="S196" s="176">
        <v>0.99299999999999999</v>
      </c>
      <c r="T196" s="176">
        <v>0.99299999999999999</v>
      </c>
      <c r="U196" s="176">
        <v>0.99299999999999999</v>
      </c>
      <c r="V196" s="176">
        <v>0.99299999999999999</v>
      </c>
      <c r="W196" s="176">
        <v>0.99299999999999999</v>
      </c>
      <c r="X196" s="176">
        <v>0.99299999999999999</v>
      </c>
      <c r="Y196" s="176">
        <v>0.99299999999999999</v>
      </c>
      <c r="Z196" s="176">
        <v>0.99299999999999999</v>
      </c>
      <c r="AA196" s="176">
        <v>0.99299999999999999</v>
      </c>
      <c r="AB196" s="176">
        <v>0.99299999999999999</v>
      </c>
      <c r="AC196" s="176">
        <v>0.99299999999999999</v>
      </c>
      <c r="AD196" s="176">
        <v>0.99299999999999999</v>
      </c>
      <c r="AE196" s="176">
        <v>0.99299999999999999</v>
      </c>
      <c r="AF196" s="176">
        <v>0.99299999999999999</v>
      </c>
      <c r="AG196" s="100">
        <v>0.99299999999999999</v>
      </c>
      <c r="AH196" s="54"/>
      <c r="AI196" s="55"/>
      <c r="AK196" s="56"/>
    </row>
    <row r="197" spans="1:37" x14ac:dyDescent="0.25">
      <c r="A197" s="164" t="s">
        <v>221</v>
      </c>
      <c r="B197" s="176">
        <v>0.99099999999999999</v>
      </c>
      <c r="C197" s="176">
        <v>0.99099999999999999</v>
      </c>
      <c r="D197" s="176">
        <v>0.99099999999999999</v>
      </c>
      <c r="E197" s="176">
        <v>0.99099999999999999</v>
      </c>
      <c r="F197" s="176">
        <v>0.99099999999999999</v>
      </c>
      <c r="G197" s="176">
        <v>0.99099999999999999</v>
      </c>
      <c r="H197" s="176">
        <v>0.99099999999999999</v>
      </c>
      <c r="I197" s="176">
        <v>0.99099999999999999</v>
      </c>
      <c r="J197" s="176">
        <v>0.99099999999999999</v>
      </c>
      <c r="K197" s="176">
        <v>0.99099999999999999</v>
      </c>
      <c r="L197" s="176">
        <v>0.99099999999999999</v>
      </c>
      <c r="M197" s="176">
        <v>0.99099999999999999</v>
      </c>
      <c r="N197" s="176">
        <v>0.99099999999999999</v>
      </c>
      <c r="O197" s="176">
        <v>0.99099999999999999</v>
      </c>
      <c r="P197" s="176">
        <v>0.99099999999999999</v>
      </c>
      <c r="Q197" s="176">
        <v>0.99099999999999999</v>
      </c>
      <c r="R197" s="176">
        <v>0.99099999999999999</v>
      </c>
      <c r="S197" s="176">
        <v>0.99099999999999999</v>
      </c>
      <c r="T197" s="176">
        <v>0.99099999999999999</v>
      </c>
      <c r="U197" s="176">
        <v>0.99099999999999999</v>
      </c>
      <c r="V197" s="176">
        <v>0.99099999999999999</v>
      </c>
      <c r="W197" s="176">
        <v>0.99099999999999999</v>
      </c>
      <c r="X197" s="176">
        <v>0.99099999999999999</v>
      </c>
      <c r="Y197" s="176">
        <v>0.99099999999999999</v>
      </c>
      <c r="Z197" s="176">
        <v>0.99099999999999999</v>
      </c>
      <c r="AA197" s="176">
        <v>0.99099999999999999</v>
      </c>
      <c r="AB197" s="176">
        <v>0.99099999999999999</v>
      </c>
      <c r="AC197" s="176">
        <v>0.99099999999999999</v>
      </c>
      <c r="AD197" s="176">
        <v>0.99099999999999999</v>
      </c>
      <c r="AE197" s="176">
        <v>0.99099999999999999</v>
      </c>
      <c r="AF197" s="176">
        <v>0.99099999999999999</v>
      </c>
      <c r="AG197" s="100">
        <v>0.99099999999999999</v>
      </c>
      <c r="AH197" s="54"/>
      <c r="AI197" s="55"/>
      <c r="AK197" s="56"/>
    </row>
    <row r="198" spans="1:37" x14ac:dyDescent="0.25">
      <c r="A198" s="164" t="s">
        <v>222</v>
      </c>
      <c r="B198" s="176">
        <v>0.99</v>
      </c>
      <c r="C198" s="176">
        <v>0.99</v>
      </c>
      <c r="D198" s="176">
        <v>0.99</v>
      </c>
      <c r="E198" s="176">
        <v>0.99</v>
      </c>
      <c r="F198" s="176">
        <v>0.99</v>
      </c>
      <c r="G198" s="176">
        <v>0.99</v>
      </c>
      <c r="H198" s="176">
        <v>0.99</v>
      </c>
      <c r="I198" s="176">
        <v>0.99</v>
      </c>
      <c r="J198" s="176">
        <v>0.99</v>
      </c>
      <c r="K198" s="176">
        <v>0.99</v>
      </c>
      <c r="L198" s="176">
        <v>0.99</v>
      </c>
      <c r="M198" s="176">
        <v>0.99</v>
      </c>
      <c r="N198" s="176">
        <v>0.99</v>
      </c>
      <c r="O198" s="176">
        <v>0.99</v>
      </c>
      <c r="P198" s="176">
        <v>0.99</v>
      </c>
      <c r="Q198" s="176">
        <v>0.99</v>
      </c>
      <c r="R198" s="176">
        <v>0.99</v>
      </c>
      <c r="S198" s="176">
        <v>0.99</v>
      </c>
      <c r="T198" s="176">
        <v>0.99</v>
      </c>
      <c r="U198" s="176">
        <v>0.99</v>
      </c>
      <c r="V198" s="176">
        <v>0.99</v>
      </c>
      <c r="W198" s="176">
        <v>0.99</v>
      </c>
      <c r="X198" s="176">
        <v>0.99</v>
      </c>
      <c r="Y198" s="176">
        <v>0.99</v>
      </c>
      <c r="Z198" s="176">
        <v>0.99</v>
      </c>
      <c r="AA198" s="176">
        <v>0.99</v>
      </c>
      <c r="AB198" s="176">
        <v>0.99</v>
      </c>
      <c r="AC198" s="176">
        <v>0.99</v>
      </c>
      <c r="AD198" s="176">
        <v>0.99</v>
      </c>
      <c r="AE198" s="176">
        <v>0.99</v>
      </c>
      <c r="AF198" s="176">
        <v>0.99</v>
      </c>
      <c r="AG198" s="100">
        <v>0.99</v>
      </c>
      <c r="AH198" s="54"/>
      <c r="AI198" s="55"/>
      <c r="AK198" s="56"/>
    </row>
    <row r="199" spans="1:37" x14ac:dyDescent="0.25">
      <c r="A199" s="164" t="s">
        <v>223</v>
      </c>
      <c r="B199" s="176">
        <v>0.97899999999999998</v>
      </c>
      <c r="C199" s="176">
        <v>0.97899999999999998</v>
      </c>
      <c r="D199" s="176">
        <v>0.97899999999999998</v>
      </c>
      <c r="E199" s="176">
        <v>0.97899999999999998</v>
      </c>
      <c r="F199" s="176">
        <v>0.97899999999999998</v>
      </c>
      <c r="G199" s="176">
        <v>0.97899999999999998</v>
      </c>
      <c r="H199" s="176">
        <v>0.97899999999999998</v>
      </c>
      <c r="I199" s="176">
        <v>0.97899999999999998</v>
      </c>
      <c r="J199" s="176">
        <v>0.97899999999999998</v>
      </c>
      <c r="K199" s="176">
        <v>0.97899999999999998</v>
      </c>
      <c r="L199" s="176">
        <v>0.97899999999999998</v>
      </c>
      <c r="M199" s="176">
        <v>0.97899999999999998</v>
      </c>
      <c r="N199" s="176">
        <v>0.97899999999999998</v>
      </c>
      <c r="O199" s="176">
        <v>0.97899999999999998</v>
      </c>
      <c r="P199" s="176">
        <v>0.97899999999999998</v>
      </c>
      <c r="Q199" s="176">
        <v>0.97899999999999998</v>
      </c>
      <c r="R199" s="176">
        <v>0.97899999999999998</v>
      </c>
      <c r="S199" s="176">
        <v>0.97899999999999998</v>
      </c>
      <c r="T199" s="176">
        <v>0.97899999999999998</v>
      </c>
      <c r="U199" s="176">
        <v>0.97899999999999998</v>
      </c>
      <c r="V199" s="176">
        <v>0.97899999999999998</v>
      </c>
      <c r="W199" s="176">
        <v>0.97899999999999998</v>
      </c>
      <c r="X199" s="176">
        <v>0.97899999999999998</v>
      </c>
      <c r="Y199" s="176">
        <v>0.97899999999999998</v>
      </c>
      <c r="Z199" s="176">
        <v>0.97899999999999998</v>
      </c>
      <c r="AA199" s="176">
        <v>0.97899999999999998</v>
      </c>
      <c r="AB199" s="176">
        <v>0.97899999999999998</v>
      </c>
      <c r="AC199" s="176">
        <v>0.97899999999999998</v>
      </c>
      <c r="AD199" s="176">
        <v>0.97899999999999998</v>
      </c>
      <c r="AE199" s="176">
        <v>0.97899999999999998</v>
      </c>
      <c r="AF199" s="176">
        <v>0.97899999999999998</v>
      </c>
      <c r="AG199" s="100">
        <v>0.97899999999999998</v>
      </c>
      <c r="AH199" s="54"/>
      <c r="AI199" s="55"/>
      <c r="AK199" s="56"/>
    </row>
    <row r="200" spans="1:37" x14ac:dyDescent="0.25">
      <c r="A200" s="164" t="s">
        <v>224</v>
      </c>
      <c r="B200" s="176">
        <v>0.96</v>
      </c>
      <c r="C200" s="176">
        <v>0.96</v>
      </c>
      <c r="D200" s="176">
        <v>0.96</v>
      </c>
      <c r="E200" s="176">
        <v>0.96</v>
      </c>
      <c r="F200" s="176">
        <v>0.96</v>
      </c>
      <c r="G200" s="176">
        <v>0.96</v>
      </c>
      <c r="H200" s="176">
        <v>0.96</v>
      </c>
      <c r="I200" s="176">
        <v>0.96</v>
      </c>
      <c r="J200" s="176">
        <v>0.96</v>
      </c>
      <c r="K200" s="176">
        <v>0.96</v>
      </c>
      <c r="L200" s="176">
        <v>0.96</v>
      </c>
      <c r="M200" s="176">
        <v>0.96</v>
      </c>
      <c r="N200" s="176">
        <v>0.96</v>
      </c>
      <c r="O200" s="176">
        <v>0.96</v>
      </c>
      <c r="P200" s="176">
        <v>0.96</v>
      </c>
      <c r="Q200" s="176">
        <v>0.96</v>
      </c>
      <c r="R200" s="176">
        <v>0.96</v>
      </c>
      <c r="S200" s="176">
        <v>0.96</v>
      </c>
      <c r="T200" s="176">
        <v>0.96</v>
      </c>
      <c r="U200" s="176">
        <v>0.96</v>
      </c>
      <c r="V200" s="176">
        <v>0.96</v>
      </c>
      <c r="W200" s="176">
        <v>0.96</v>
      </c>
      <c r="X200" s="176">
        <v>0.96</v>
      </c>
      <c r="Y200" s="176">
        <v>0.96</v>
      </c>
      <c r="Z200" s="176">
        <v>0.96</v>
      </c>
      <c r="AA200" s="176">
        <v>0.96</v>
      </c>
      <c r="AB200" s="176">
        <v>0.96</v>
      </c>
      <c r="AC200" s="176">
        <v>0.96</v>
      </c>
      <c r="AD200" s="176">
        <v>0.96</v>
      </c>
      <c r="AE200" s="176">
        <v>0.96</v>
      </c>
      <c r="AF200" s="176">
        <v>0.96</v>
      </c>
      <c r="AG200" s="100">
        <v>0.96</v>
      </c>
      <c r="AH200" s="54"/>
      <c r="AI200" s="55"/>
      <c r="AK200" s="56"/>
    </row>
    <row r="201" spans="1:37" x14ac:dyDescent="0.25">
      <c r="A201" s="164" t="s">
        <v>225</v>
      </c>
      <c r="B201" s="176">
        <v>0.75</v>
      </c>
      <c r="C201" s="176">
        <v>0.75</v>
      </c>
      <c r="D201" s="176">
        <v>0.75</v>
      </c>
      <c r="E201" s="176">
        <v>0.75</v>
      </c>
      <c r="F201" s="176">
        <v>0.75</v>
      </c>
      <c r="G201" s="176">
        <v>0.75</v>
      </c>
      <c r="H201" s="176">
        <v>0.75</v>
      </c>
      <c r="I201" s="176">
        <v>0.75</v>
      </c>
      <c r="J201" s="176">
        <v>0.75</v>
      </c>
      <c r="K201" s="176">
        <v>0.75</v>
      </c>
      <c r="L201" s="176">
        <v>0.75</v>
      </c>
      <c r="M201" s="176">
        <v>0.75</v>
      </c>
      <c r="N201" s="176">
        <v>0.75</v>
      </c>
      <c r="O201" s="176">
        <v>0.75</v>
      </c>
      <c r="P201" s="176">
        <v>0.75</v>
      </c>
      <c r="Q201" s="176">
        <v>0.75</v>
      </c>
      <c r="R201" s="176">
        <v>0.75</v>
      </c>
      <c r="S201" s="176">
        <v>0.75</v>
      </c>
      <c r="T201" s="176">
        <v>0.75</v>
      </c>
      <c r="U201" s="176">
        <v>0.75</v>
      </c>
      <c r="V201" s="176">
        <v>0.75</v>
      </c>
      <c r="W201" s="176">
        <v>0.75</v>
      </c>
      <c r="X201" s="176">
        <v>0.75</v>
      </c>
      <c r="Y201" s="176">
        <v>0.75</v>
      </c>
      <c r="Z201" s="176">
        <v>0.75</v>
      </c>
      <c r="AA201" s="176">
        <v>0.75</v>
      </c>
      <c r="AB201" s="176">
        <v>0.75</v>
      </c>
      <c r="AC201" s="176">
        <v>0.75</v>
      </c>
      <c r="AD201" s="176">
        <v>0.75</v>
      </c>
      <c r="AE201" s="176">
        <v>0.75</v>
      </c>
      <c r="AF201" s="176">
        <v>0.75</v>
      </c>
      <c r="AG201" s="100">
        <v>0.75</v>
      </c>
      <c r="AH201" s="54"/>
      <c r="AI201" s="55"/>
      <c r="AK201" s="56"/>
    </row>
    <row r="202" spans="1:37" x14ac:dyDescent="0.25">
      <c r="A202" s="164" t="s">
        <v>226</v>
      </c>
      <c r="B202" s="176">
        <v>0.6804</v>
      </c>
      <c r="C202" s="176">
        <v>0.6804</v>
      </c>
      <c r="D202" s="176">
        <v>0.6804</v>
      </c>
      <c r="E202" s="176">
        <v>0.6804</v>
      </c>
      <c r="F202" s="176">
        <v>0.6804</v>
      </c>
      <c r="G202" s="176">
        <v>0.6804</v>
      </c>
      <c r="H202" s="176">
        <v>0.6804</v>
      </c>
      <c r="I202" s="176">
        <v>0.6804</v>
      </c>
      <c r="J202" s="176">
        <v>0.6804</v>
      </c>
      <c r="K202" s="176">
        <v>0.6804</v>
      </c>
      <c r="L202" s="176">
        <v>0.6804</v>
      </c>
      <c r="M202" s="176">
        <v>0.6804</v>
      </c>
      <c r="N202" s="176">
        <v>0.6804</v>
      </c>
      <c r="O202" s="176">
        <v>0.6804</v>
      </c>
      <c r="P202" s="176">
        <v>0.6804</v>
      </c>
      <c r="Q202" s="176">
        <v>0.6804</v>
      </c>
      <c r="R202" s="176">
        <v>0.6804</v>
      </c>
      <c r="S202" s="176">
        <v>0.6804</v>
      </c>
      <c r="T202" s="176">
        <v>0.6804</v>
      </c>
      <c r="U202" s="176">
        <v>0.6804</v>
      </c>
      <c r="V202" s="176">
        <v>0.6804</v>
      </c>
      <c r="W202" s="176">
        <v>0.6804</v>
      </c>
      <c r="X202" s="176">
        <v>0.6804</v>
      </c>
      <c r="Y202" s="176">
        <v>0.6804</v>
      </c>
      <c r="Z202" s="176">
        <v>0.6804</v>
      </c>
      <c r="AA202" s="176">
        <v>0.6804</v>
      </c>
      <c r="AB202" s="176">
        <v>0.6804</v>
      </c>
      <c r="AC202" s="176">
        <v>0.6804</v>
      </c>
      <c r="AD202" s="176">
        <v>0.6804</v>
      </c>
      <c r="AE202" s="176">
        <v>0.6804</v>
      </c>
      <c r="AF202" s="176">
        <v>0.6804</v>
      </c>
      <c r="AG202" s="100">
        <v>0.6804</v>
      </c>
      <c r="AH202" s="54"/>
      <c r="AI202" s="55"/>
      <c r="AK202" s="56"/>
    </row>
    <row r="203" spans="1:37" x14ac:dyDescent="0.25">
      <c r="A203" s="164" t="s">
        <v>227</v>
      </c>
      <c r="B203" s="176">
        <v>0.6</v>
      </c>
      <c r="C203" s="176">
        <v>0.6</v>
      </c>
      <c r="D203" s="176">
        <v>0.6</v>
      </c>
      <c r="E203" s="176">
        <v>0.6</v>
      </c>
      <c r="F203" s="176">
        <v>0.6</v>
      </c>
      <c r="G203" s="176">
        <v>0.6</v>
      </c>
      <c r="H203" s="176">
        <v>0.6</v>
      </c>
      <c r="I203" s="176">
        <v>0.6</v>
      </c>
      <c r="J203" s="176">
        <v>0.6</v>
      </c>
      <c r="K203" s="176">
        <v>0.6</v>
      </c>
      <c r="L203" s="176">
        <v>0.6</v>
      </c>
      <c r="M203" s="176">
        <v>0.6</v>
      </c>
      <c r="N203" s="176">
        <v>0.6</v>
      </c>
      <c r="O203" s="176">
        <v>0.6</v>
      </c>
      <c r="P203" s="176">
        <v>0.6</v>
      </c>
      <c r="Q203" s="176">
        <v>0.6</v>
      </c>
      <c r="R203" s="176">
        <v>0.6</v>
      </c>
      <c r="S203" s="176">
        <v>0.6</v>
      </c>
      <c r="T203" s="176">
        <v>0.6</v>
      </c>
      <c r="U203" s="176">
        <v>0.6</v>
      </c>
      <c r="V203" s="176">
        <v>0.6</v>
      </c>
      <c r="W203" s="176">
        <v>0.6</v>
      </c>
      <c r="X203" s="176">
        <v>0.6</v>
      </c>
      <c r="Y203" s="176">
        <v>0.6</v>
      </c>
      <c r="Z203" s="176">
        <v>0.6</v>
      </c>
      <c r="AA203" s="176">
        <v>0.6</v>
      </c>
      <c r="AB203" s="176">
        <v>0.6</v>
      </c>
      <c r="AC203" s="176">
        <v>0.6</v>
      </c>
      <c r="AD203" s="176">
        <v>0.6</v>
      </c>
      <c r="AE203" s="176">
        <v>0.6</v>
      </c>
      <c r="AF203" s="176">
        <v>0.6</v>
      </c>
      <c r="AG203" s="100">
        <v>0.6</v>
      </c>
      <c r="AH203" s="54"/>
      <c r="AI203" s="55"/>
      <c r="AK203" s="56"/>
    </row>
    <row r="204" spans="1:37" x14ac:dyDescent="0.25">
      <c r="A204" s="164" t="s">
        <v>228</v>
      </c>
      <c r="B204" s="176">
        <v>0.51800000000000002</v>
      </c>
      <c r="C204" s="176">
        <v>0.51800000000000002</v>
      </c>
      <c r="D204" s="176">
        <v>0.51800000000000002</v>
      </c>
      <c r="E204" s="176">
        <v>0.51800000000000002</v>
      </c>
      <c r="F204" s="176">
        <v>0.51800000000000002</v>
      </c>
      <c r="G204" s="176">
        <v>0.51800000000000002</v>
      </c>
      <c r="H204" s="176">
        <v>0.51800000000000002</v>
      </c>
      <c r="I204" s="176">
        <v>0.51800000000000002</v>
      </c>
      <c r="J204" s="176">
        <v>0.51800000000000002</v>
      </c>
      <c r="K204" s="176">
        <v>0.51800000000000002</v>
      </c>
      <c r="L204" s="176">
        <v>0.51800000000000002</v>
      </c>
      <c r="M204" s="176">
        <v>0.51800000000000002</v>
      </c>
      <c r="N204" s="176">
        <v>0.51800000000000002</v>
      </c>
      <c r="O204" s="176">
        <v>0.51800000000000002</v>
      </c>
      <c r="P204" s="176">
        <v>0.51800000000000002</v>
      </c>
      <c r="Q204" s="176">
        <v>0.51800000000000002</v>
      </c>
      <c r="R204" s="176">
        <v>0.51800000000000002</v>
      </c>
      <c r="S204" s="176">
        <v>0.51800000000000002</v>
      </c>
      <c r="T204" s="176">
        <v>0.51800000000000002</v>
      </c>
      <c r="U204" s="176">
        <v>0.51800000000000002</v>
      </c>
      <c r="V204" s="176">
        <v>0.51800000000000002</v>
      </c>
      <c r="W204" s="176">
        <v>0.51800000000000002</v>
      </c>
      <c r="X204" s="176">
        <v>0.51800000000000002</v>
      </c>
      <c r="Y204" s="176">
        <v>0.51800000000000002</v>
      </c>
      <c r="Z204" s="176">
        <v>0.51800000000000002</v>
      </c>
      <c r="AA204" s="176">
        <v>0.51800000000000002</v>
      </c>
      <c r="AB204" s="176">
        <v>0.51800000000000002</v>
      </c>
      <c r="AC204" s="176">
        <v>0.51800000000000002</v>
      </c>
      <c r="AD204" s="176">
        <v>0.51800000000000002</v>
      </c>
      <c r="AE204" s="176">
        <v>0.51800000000000002</v>
      </c>
      <c r="AF204" s="176">
        <v>0.51800000000000002</v>
      </c>
      <c r="AG204" s="100">
        <v>0.51800000000000002</v>
      </c>
      <c r="AH204" s="54"/>
      <c r="AI204" s="55"/>
      <c r="AK204" s="56"/>
    </row>
    <row r="205" spans="1:37" x14ac:dyDescent="0.25">
      <c r="A205" s="164" t="s">
        <v>229</v>
      </c>
      <c r="B205" s="176">
        <v>0.5</v>
      </c>
      <c r="C205" s="176">
        <v>0.5</v>
      </c>
      <c r="D205" s="176">
        <v>0.5</v>
      </c>
      <c r="E205" s="176">
        <v>0.5</v>
      </c>
      <c r="F205" s="176">
        <v>0.5</v>
      </c>
      <c r="G205" s="176">
        <v>0.5</v>
      </c>
      <c r="H205" s="176">
        <v>0.5</v>
      </c>
      <c r="I205" s="176">
        <v>0.5</v>
      </c>
      <c r="J205" s="176">
        <v>0.5</v>
      </c>
      <c r="K205" s="176">
        <v>0.5</v>
      </c>
      <c r="L205" s="176">
        <v>0.5</v>
      </c>
      <c r="M205" s="176">
        <v>0.5</v>
      </c>
      <c r="N205" s="176">
        <v>0.5</v>
      </c>
      <c r="O205" s="176">
        <v>0.5</v>
      </c>
      <c r="P205" s="176">
        <v>0.5</v>
      </c>
      <c r="Q205" s="176">
        <v>0.5</v>
      </c>
      <c r="R205" s="176">
        <v>0.5</v>
      </c>
      <c r="S205" s="176">
        <v>0.5</v>
      </c>
      <c r="T205" s="176">
        <v>0.5</v>
      </c>
      <c r="U205" s="176">
        <v>0.5</v>
      </c>
      <c r="V205" s="176">
        <v>0.5</v>
      </c>
      <c r="W205" s="176">
        <v>0.5</v>
      </c>
      <c r="X205" s="176">
        <v>0.5</v>
      </c>
      <c r="Y205" s="176">
        <v>0.5</v>
      </c>
      <c r="Z205" s="176">
        <v>0.5</v>
      </c>
      <c r="AA205" s="176">
        <v>0.5</v>
      </c>
      <c r="AB205" s="176">
        <v>0.5</v>
      </c>
      <c r="AC205" s="176">
        <v>0.5</v>
      </c>
      <c r="AD205" s="176">
        <v>0.5</v>
      </c>
      <c r="AE205" s="176">
        <v>0.5</v>
      </c>
      <c r="AF205" s="176">
        <v>0.5</v>
      </c>
      <c r="AG205" s="100">
        <v>0.5</v>
      </c>
      <c r="AH205" s="54"/>
      <c r="AI205" s="55"/>
      <c r="AK205" s="56"/>
    </row>
    <row r="206" spans="1:37" x14ac:dyDescent="0.25">
      <c r="A206" s="164" t="s">
        <v>230</v>
      </c>
      <c r="B206" s="176">
        <v>0.25</v>
      </c>
      <c r="C206" s="176">
        <v>0.25</v>
      </c>
      <c r="D206" s="176">
        <v>0.25</v>
      </c>
      <c r="E206" s="176">
        <v>0.25</v>
      </c>
      <c r="F206" s="176">
        <v>0.25</v>
      </c>
      <c r="G206" s="176">
        <v>0.25</v>
      </c>
      <c r="H206" s="176">
        <v>0.25</v>
      </c>
      <c r="I206" s="176">
        <v>0.25</v>
      </c>
      <c r="J206" s="176">
        <v>0.25</v>
      </c>
      <c r="K206" s="176">
        <v>0.25</v>
      </c>
      <c r="L206" s="176">
        <v>0.25</v>
      </c>
      <c r="M206" s="176">
        <v>0.25</v>
      </c>
      <c r="N206" s="176">
        <v>0.25</v>
      </c>
      <c r="O206" s="176">
        <v>0.25</v>
      </c>
      <c r="P206" s="176">
        <v>0.25</v>
      </c>
      <c r="Q206" s="176">
        <v>0.25</v>
      </c>
      <c r="R206" s="176">
        <v>0.25</v>
      </c>
      <c r="S206" s="176">
        <v>0.25</v>
      </c>
      <c r="T206" s="176">
        <v>0.25</v>
      </c>
      <c r="U206" s="176">
        <v>0.25</v>
      </c>
      <c r="V206" s="176">
        <v>0.25</v>
      </c>
      <c r="W206" s="176">
        <v>0.25</v>
      </c>
      <c r="X206" s="176">
        <v>0.25</v>
      </c>
      <c r="Y206" s="176">
        <v>0.25</v>
      </c>
      <c r="Z206" s="176">
        <v>0.25</v>
      </c>
      <c r="AA206" s="176">
        <v>0.25</v>
      </c>
      <c r="AB206" s="176">
        <v>0.25</v>
      </c>
      <c r="AC206" s="176">
        <v>0.25</v>
      </c>
      <c r="AD206" s="176">
        <v>0.25</v>
      </c>
      <c r="AE206" s="176">
        <v>0.25</v>
      </c>
      <c r="AF206" s="176">
        <v>0.25</v>
      </c>
      <c r="AG206" s="100">
        <v>0.25</v>
      </c>
      <c r="AH206" s="54"/>
      <c r="AI206" s="55"/>
      <c r="AK206" s="56"/>
    </row>
    <row r="207" spans="1:37" x14ac:dyDescent="0.25">
      <c r="A207" s="164" t="s">
        <v>231</v>
      </c>
      <c r="B207" s="176">
        <v>0.183</v>
      </c>
      <c r="C207" s="176">
        <v>0.183</v>
      </c>
      <c r="D207" s="176">
        <v>0.183</v>
      </c>
      <c r="E207" s="176">
        <v>0.183</v>
      </c>
      <c r="F207" s="176">
        <v>0.183</v>
      </c>
      <c r="G207" s="176">
        <v>0.183</v>
      </c>
      <c r="H207" s="176">
        <v>0.183</v>
      </c>
      <c r="I207" s="176">
        <v>0.183</v>
      </c>
      <c r="J207" s="176">
        <v>0.183</v>
      </c>
      <c r="K207" s="176">
        <v>0.183</v>
      </c>
      <c r="L207" s="176">
        <v>0.183</v>
      </c>
      <c r="M207" s="176">
        <v>0.183</v>
      </c>
      <c r="N207" s="176">
        <v>0.183</v>
      </c>
      <c r="O207" s="176">
        <v>0.183</v>
      </c>
      <c r="P207" s="176">
        <v>0.183</v>
      </c>
      <c r="Q207" s="176">
        <v>0.183</v>
      </c>
      <c r="R207" s="176">
        <v>0.183</v>
      </c>
      <c r="S207" s="176">
        <v>0.183</v>
      </c>
      <c r="T207" s="176">
        <v>0.183</v>
      </c>
      <c r="U207" s="176">
        <v>0.183</v>
      </c>
      <c r="V207" s="176">
        <v>0.183</v>
      </c>
      <c r="W207" s="176">
        <v>0.183</v>
      </c>
      <c r="X207" s="176">
        <v>0.183</v>
      </c>
      <c r="Y207" s="176">
        <v>0.183</v>
      </c>
      <c r="Z207" s="176">
        <v>0.183</v>
      </c>
      <c r="AA207" s="176">
        <v>0.183</v>
      </c>
      <c r="AB207" s="176">
        <v>0.183</v>
      </c>
      <c r="AC207" s="176">
        <v>0.183</v>
      </c>
      <c r="AD207" s="176">
        <v>0.183</v>
      </c>
      <c r="AE207" s="176">
        <v>0.183</v>
      </c>
      <c r="AF207" s="176">
        <v>0.183</v>
      </c>
      <c r="AG207" s="100">
        <v>0.183</v>
      </c>
      <c r="AH207" s="54"/>
      <c r="AI207" s="55"/>
      <c r="AK207" s="56"/>
    </row>
    <row r="208" spans="1:37" x14ac:dyDescent="0.25">
      <c r="A208" s="164" t="s">
        <v>232</v>
      </c>
      <c r="B208" s="176">
        <v>0.1</v>
      </c>
      <c r="C208" s="176">
        <v>0.1</v>
      </c>
      <c r="D208" s="176">
        <v>0.1</v>
      </c>
      <c r="E208" s="176">
        <v>0.1</v>
      </c>
      <c r="F208" s="176">
        <v>0.1</v>
      </c>
      <c r="G208" s="176">
        <v>0.1</v>
      </c>
      <c r="H208" s="176">
        <v>0.1</v>
      </c>
      <c r="I208" s="176">
        <v>0.1</v>
      </c>
      <c r="J208" s="176">
        <v>0.1</v>
      </c>
      <c r="K208" s="176">
        <v>0.1</v>
      </c>
      <c r="L208" s="176">
        <v>0.1</v>
      </c>
      <c r="M208" s="176">
        <v>0.1</v>
      </c>
      <c r="N208" s="176">
        <v>0.1</v>
      </c>
      <c r="O208" s="176">
        <v>0.1</v>
      </c>
      <c r="P208" s="176">
        <v>0.1</v>
      </c>
      <c r="Q208" s="176">
        <v>0.1</v>
      </c>
      <c r="R208" s="176">
        <v>0.1</v>
      </c>
      <c r="S208" s="176">
        <v>0.1</v>
      </c>
      <c r="T208" s="176">
        <v>0.1</v>
      </c>
      <c r="U208" s="176">
        <v>0.1</v>
      </c>
      <c r="V208" s="176">
        <v>0.1</v>
      </c>
      <c r="W208" s="176">
        <v>0.1</v>
      </c>
      <c r="X208" s="176">
        <v>0.1</v>
      </c>
      <c r="Y208" s="176">
        <v>0.1</v>
      </c>
      <c r="Z208" s="176">
        <v>0.1</v>
      </c>
      <c r="AA208" s="176">
        <v>0.1</v>
      </c>
      <c r="AB208" s="176">
        <v>0.1</v>
      </c>
      <c r="AC208" s="176">
        <v>0.1</v>
      </c>
      <c r="AD208" s="176">
        <v>0.1</v>
      </c>
      <c r="AE208" s="176">
        <v>0.1</v>
      </c>
      <c r="AF208" s="176">
        <v>0.1</v>
      </c>
      <c r="AG208" s="100">
        <v>0.1</v>
      </c>
      <c r="AH208" s="54"/>
      <c r="AI208" s="55"/>
      <c r="AK208" s="56"/>
    </row>
    <row r="209" spans="1:37" x14ac:dyDescent="0.25">
      <c r="A209" s="164" t="s">
        <v>233</v>
      </c>
      <c r="B209" s="176">
        <v>0.09</v>
      </c>
      <c r="C209" s="176">
        <v>0.09</v>
      </c>
      <c r="D209" s="176">
        <v>0.09</v>
      </c>
      <c r="E209" s="176">
        <v>0.09</v>
      </c>
      <c r="F209" s="176">
        <v>0.09</v>
      </c>
      <c r="G209" s="176">
        <v>0.09</v>
      </c>
      <c r="H209" s="176">
        <v>0.09</v>
      </c>
      <c r="I209" s="176">
        <v>0.09</v>
      </c>
      <c r="J209" s="176">
        <v>0.09</v>
      </c>
      <c r="K209" s="176">
        <v>0.09</v>
      </c>
      <c r="L209" s="176">
        <v>0.09</v>
      </c>
      <c r="M209" s="176">
        <v>0.09</v>
      </c>
      <c r="N209" s="176">
        <v>0.09</v>
      </c>
      <c r="O209" s="176">
        <v>0.09</v>
      </c>
      <c r="P209" s="176">
        <v>0.09</v>
      </c>
      <c r="Q209" s="176">
        <v>0.09</v>
      </c>
      <c r="R209" s="176">
        <v>0.09</v>
      </c>
      <c r="S209" s="176">
        <v>0.09</v>
      </c>
      <c r="T209" s="176">
        <v>0.09</v>
      </c>
      <c r="U209" s="176">
        <v>0.09</v>
      </c>
      <c r="V209" s="176">
        <v>0.09</v>
      </c>
      <c r="W209" s="176">
        <v>0.09</v>
      </c>
      <c r="X209" s="176">
        <v>0.09</v>
      </c>
      <c r="Y209" s="176">
        <v>0.09</v>
      </c>
      <c r="Z209" s="176">
        <v>0.09</v>
      </c>
      <c r="AA209" s="176">
        <v>0.09</v>
      </c>
      <c r="AB209" s="176">
        <v>0.09</v>
      </c>
      <c r="AC209" s="176">
        <v>0.09</v>
      </c>
      <c r="AD209" s="176">
        <v>0.09</v>
      </c>
      <c r="AE209" s="176">
        <v>0.09</v>
      </c>
      <c r="AF209" s="176">
        <v>0.09</v>
      </c>
      <c r="AG209" s="100">
        <v>0.09</v>
      </c>
      <c r="AH209" s="54"/>
      <c r="AI209" s="55"/>
      <c r="AK209" s="56"/>
    </row>
    <row r="210" spans="1:37" x14ac:dyDescent="0.25">
      <c r="A210" s="164" t="s">
        <v>234</v>
      </c>
      <c r="B210" s="176">
        <v>0.04</v>
      </c>
      <c r="C210" s="176">
        <v>0.04</v>
      </c>
      <c r="D210" s="176">
        <v>0.04</v>
      </c>
      <c r="E210" s="176">
        <v>0.04</v>
      </c>
      <c r="F210" s="176">
        <v>0.04</v>
      </c>
      <c r="G210" s="176">
        <v>0.04</v>
      </c>
      <c r="H210" s="176">
        <v>0.04</v>
      </c>
      <c r="I210" s="176">
        <v>0.04</v>
      </c>
      <c r="J210" s="176">
        <v>0.04</v>
      </c>
      <c r="K210" s="176">
        <v>0.04</v>
      </c>
      <c r="L210" s="176">
        <v>0.04</v>
      </c>
      <c r="M210" s="176">
        <v>0.04</v>
      </c>
      <c r="N210" s="176">
        <v>0.04</v>
      </c>
      <c r="O210" s="176">
        <v>0.04</v>
      </c>
      <c r="P210" s="176">
        <v>0.04</v>
      </c>
      <c r="Q210" s="176">
        <v>0.04</v>
      </c>
      <c r="R210" s="176">
        <v>0.04</v>
      </c>
      <c r="S210" s="176">
        <v>0.04</v>
      </c>
      <c r="T210" s="176">
        <v>0.04</v>
      </c>
      <c r="U210" s="176">
        <v>0.04</v>
      </c>
      <c r="V210" s="176">
        <v>0.04</v>
      </c>
      <c r="W210" s="176">
        <v>0.04</v>
      </c>
      <c r="X210" s="176">
        <v>0.04</v>
      </c>
      <c r="Y210" s="176">
        <v>0.04</v>
      </c>
      <c r="Z210" s="176">
        <v>0.04</v>
      </c>
      <c r="AA210" s="176">
        <v>0.04</v>
      </c>
      <c r="AB210" s="176">
        <v>0.04</v>
      </c>
      <c r="AC210" s="176">
        <v>0.04</v>
      </c>
      <c r="AD210" s="176">
        <v>0.04</v>
      </c>
      <c r="AE210" s="176">
        <v>0.04</v>
      </c>
      <c r="AF210" s="176">
        <v>0.04</v>
      </c>
      <c r="AG210" s="100">
        <v>0.04</v>
      </c>
      <c r="AH210" s="54"/>
      <c r="AI210" s="55"/>
      <c r="AK210" s="56"/>
    </row>
    <row r="211" spans="1:37" ht="15.75" thickBot="1" x14ac:dyDescent="0.3">
      <c r="A211" s="164" t="s">
        <v>235</v>
      </c>
      <c r="B211" s="177">
        <v>2.3E-2</v>
      </c>
      <c r="C211" s="177">
        <v>2.3E-2</v>
      </c>
      <c r="D211" s="177">
        <v>2.3E-2</v>
      </c>
      <c r="E211" s="177">
        <v>2.3E-2</v>
      </c>
      <c r="F211" s="177">
        <v>2.3E-2</v>
      </c>
      <c r="G211" s="177">
        <v>2.3E-2</v>
      </c>
      <c r="H211" s="177">
        <v>2.3E-2</v>
      </c>
      <c r="I211" s="177">
        <v>2.3E-2</v>
      </c>
      <c r="J211" s="177">
        <v>2.3E-2</v>
      </c>
      <c r="K211" s="177">
        <v>2.3E-2</v>
      </c>
      <c r="L211" s="177">
        <v>2.3E-2</v>
      </c>
      <c r="M211" s="177">
        <v>2.3E-2</v>
      </c>
      <c r="N211" s="177">
        <v>2.3E-2</v>
      </c>
      <c r="O211" s="177">
        <v>2.3E-2</v>
      </c>
      <c r="P211" s="177">
        <v>2.3E-2</v>
      </c>
      <c r="Q211" s="177">
        <v>2.3E-2</v>
      </c>
      <c r="R211" s="177">
        <v>2.3E-2</v>
      </c>
      <c r="S211" s="177">
        <v>2.3E-2</v>
      </c>
      <c r="T211" s="177">
        <v>2.3E-2</v>
      </c>
      <c r="U211" s="177">
        <v>2.3E-2</v>
      </c>
      <c r="V211" s="177">
        <v>2.3E-2</v>
      </c>
      <c r="W211" s="177">
        <v>2.3E-2</v>
      </c>
      <c r="X211" s="177">
        <v>2.3E-2</v>
      </c>
      <c r="Y211" s="177">
        <v>2.3E-2</v>
      </c>
      <c r="Z211" s="177">
        <v>2.3E-2</v>
      </c>
      <c r="AA211" s="177">
        <v>2.3E-2</v>
      </c>
      <c r="AB211" s="177">
        <v>2.3E-2</v>
      </c>
      <c r="AC211" s="177">
        <v>2.3E-2</v>
      </c>
      <c r="AD211" s="177">
        <v>2.3E-2</v>
      </c>
      <c r="AE211" s="177">
        <v>2.3E-2</v>
      </c>
      <c r="AF211" s="177">
        <v>2.3E-2</v>
      </c>
      <c r="AG211" s="100">
        <v>2.3E-2</v>
      </c>
      <c r="AH211" s="54"/>
      <c r="AI211" s="55"/>
      <c r="AK211" s="56"/>
    </row>
    <row r="212" spans="1:37" ht="15.75" thickBot="1" x14ac:dyDescent="0.3">
      <c r="A212" s="165" t="s">
        <v>82</v>
      </c>
      <c r="B212" s="167">
        <f>SUM(B107:B211)</f>
        <v>434.88839999999982</v>
      </c>
      <c r="C212" s="103">
        <f t="shared" ref="C212:AG212" si="29">SUM(C107:C211)</f>
        <v>434.88839999999982</v>
      </c>
      <c r="D212" s="103">
        <f t="shared" si="29"/>
        <v>434.88839999999982</v>
      </c>
      <c r="E212" s="103">
        <f t="shared" si="29"/>
        <v>434.88839999999982</v>
      </c>
      <c r="F212" s="103">
        <f t="shared" si="29"/>
        <v>434.88839999999982</v>
      </c>
      <c r="G212" s="103">
        <f t="shared" si="29"/>
        <v>434.88839999999982</v>
      </c>
      <c r="H212" s="103">
        <f t="shared" si="29"/>
        <v>434.88839999999982</v>
      </c>
      <c r="I212" s="103">
        <f t="shared" si="29"/>
        <v>434.88839999999982</v>
      </c>
      <c r="J212" s="103">
        <f t="shared" si="29"/>
        <v>434.88839999999982</v>
      </c>
      <c r="K212" s="103">
        <f t="shared" si="29"/>
        <v>434.88839999999982</v>
      </c>
      <c r="L212" s="103">
        <f t="shared" si="29"/>
        <v>434.88839999999982</v>
      </c>
      <c r="M212" s="103">
        <f t="shared" si="29"/>
        <v>434.88839999999982</v>
      </c>
      <c r="N212" s="103">
        <f t="shared" si="29"/>
        <v>434.88839999999982</v>
      </c>
      <c r="O212" s="103">
        <f t="shared" si="29"/>
        <v>434.88839999999982</v>
      </c>
      <c r="P212" s="103">
        <f t="shared" si="29"/>
        <v>434.88839999999982</v>
      </c>
      <c r="Q212" s="103">
        <f t="shared" si="29"/>
        <v>434.88839999999982</v>
      </c>
      <c r="R212" s="103">
        <f t="shared" si="29"/>
        <v>434.88839999999982</v>
      </c>
      <c r="S212" s="103">
        <f t="shared" si="29"/>
        <v>434.88839999999982</v>
      </c>
      <c r="T212" s="103">
        <f t="shared" si="29"/>
        <v>434.88839999999982</v>
      </c>
      <c r="U212" s="103">
        <f t="shared" si="29"/>
        <v>434.88839999999982</v>
      </c>
      <c r="V212" s="103">
        <f t="shared" si="29"/>
        <v>434.88839999999982</v>
      </c>
      <c r="W212" s="103">
        <f t="shared" si="29"/>
        <v>434.88839999999982</v>
      </c>
      <c r="X212" s="103">
        <f t="shared" si="29"/>
        <v>434.88839999999982</v>
      </c>
      <c r="Y212" s="103">
        <f t="shared" si="29"/>
        <v>434.88839999999982</v>
      </c>
      <c r="Z212" s="103">
        <f t="shared" si="29"/>
        <v>434.88839999999982</v>
      </c>
      <c r="AA212" s="103">
        <f t="shared" si="29"/>
        <v>434.88839999999982</v>
      </c>
      <c r="AB212" s="103">
        <f t="shared" si="29"/>
        <v>434.88839999999982</v>
      </c>
      <c r="AC212" s="103">
        <f t="shared" si="29"/>
        <v>434.88839999999982</v>
      </c>
      <c r="AD212" s="103">
        <f t="shared" si="29"/>
        <v>434.88839999999982</v>
      </c>
      <c r="AE212" s="103">
        <f t="shared" si="29"/>
        <v>434.88839999999982</v>
      </c>
      <c r="AF212" s="168">
        <f t="shared" si="29"/>
        <v>426.88839999999982</v>
      </c>
      <c r="AG212" s="169">
        <f t="shared" si="29"/>
        <v>434.88839999999982</v>
      </c>
      <c r="AH212" s="54"/>
      <c r="AI212" s="55"/>
      <c r="AK212" s="56"/>
    </row>
    <row r="213" spans="1:37" ht="15.75" thickBot="1" x14ac:dyDescent="0.3">
      <c r="A213" s="28" t="s">
        <v>35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149"/>
      <c r="AH213" s="54"/>
      <c r="AI213" s="55"/>
      <c r="AK213" s="56"/>
    </row>
    <row r="214" spans="1:37" x14ac:dyDescent="0.25">
      <c r="A214" s="170" t="s">
        <v>83</v>
      </c>
      <c r="B214" s="101">
        <f t="shared" ref="B214:B219" si="30">AF214</f>
        <v>0</v>
      </c>
      <c r="C214" s="101">
        <v>0.3</v>
      </c>
      <c r="D214" s="101">
        <f t="shared" ref="D214:P219" si="31">C214</f>
        <v>0.3</v>
      </c>
      <c r="E214" s="101">
        <f t="shared" si="31"/>
        <v>0.3</v>
      </c>
      <c r="F214" s="101">
        <f t="shared" si="31"/>
        <v>0.3</v>
      </c>
      <c r="G214" s="101">
        <f t="shared" si="31"/>
        <v>0.3</v>
      </c>
      <c r="H214" s="101">
        <f t="shared" si="31"/>
        <v>0.3</v>
      </c>
      <c r="I214" s="101">
        <f t="shared" si="31"/>
        <v>0.3</v>
      </c>
      <c r="J214" s="101">
        <f t="shared" si="31"/>
        <v>0.3</v>
      </c>
      <c r="K214" s="101">
        <f t="shared" si="31"/>
        <v>0.3</v>
      </c>
      <c r="L214" s="101">
        <f t="shared" si="31"/>
        <v>0.3</v>
      </c>
      <c r="M214" s="101">
        <f t="shared" si="31"/>
        <v>0.3</v>
      </c>
      <c r="N214" s="101">
        <f t="shared" si="31"/>
        <v>0.3</v>
      </c>
      <c r="O214" s="101">
        <f t="shared" si="31"/>
        <v>0.3</v>
      </c>
      <c r="P214" s="101">
        <f t="shared" si="31"/>
        <v>0.3</v>
      </c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55">
        <v>2.4</v>
      </c>
      <c r="AH214" s="54"/>
      <c r="AI214" s="55"/>
      <c r="AK214" s="56"/>
    </row>
    <row r="215" spans="1:37" x14ac:dyDescent="0.25">
      <c r="A215" s="163" t="s">
        <v>84</v>
      </c>
      <c r="B215" s="97">
        <f t="shared" si="30"/>
        <v>0</v>
      </c>
      <c r="C215" s="97">
        <v>0.4</v>
      </c>
      <c r="D215" s="97">
        <f t="shared" si="31"/>
        <v>0.4</v>
      </c>
      <c r="E215" s="97">
        <f t="shared" si="31"/>
        <v>0.4</v>
      </c>
      <c r="F215" s="97">
        <f t="shared" si="31"/>
        <v>0.4</v>
      </c>
      <c r="G215" s="97">
        <f t="shared" si="31"/>
        <v>0.4</v>
      </c>
      <c r="H215" s="97">
        <f t="shared" si="31"/>
        <v>0.4</v>
      </c>
      <c r="I215" s="97">
        <f t="shared" si="31"/>
        <v>0.4</v>
      </c>
      <c r="J215" s="97">
        <f t="shared" si="31"/>
        <v>0.4</v>
      </c>
      <c r="K215" s="97">
        <f t="shared" si="31"/>
        <v>0.4</v>
      </c>
      <c r="L215" s="97">
        <f t="shared" si="31"/>
        <v>0.4</v>
      </c>
      <c r="M215" s="97">
        <f t="shared" si="31"/>
        <v>0.4</v>
      </c>
      <c r="N215" s="97">
        <f t="shared" si="31"/>
        <v>0.4</v>
      </c>
      <c r="O215" s="97">
        <f t="shared" si="31"/>
        <v>0.4</v>
      </c>
      <c r="P215" s="97">
        <f t="shared" si="31"/>
        <v>0.4</v>
      </c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56">
        <v>2</v>
      </c>
      <c r="AH215" s="54"/>
      <c r="AI215" s="55"/>
      <c r="AK215" s="56"/>
    </row>
    <row r="216" spans="1:37" x14ac:dyDescent="0.25">
      <c r="A216" s="163" t="s">
        <v>85</v>
      </c>
      <c r="B216" s="97">
        <f t="shared" si="30"/>
        <v>0</v>
      </c>
      <c r="C216" s="97">
        <v>1.5</v>
      </c>
      <c r="D216" s="97">
        <f t="shared" si="31"/>
        <v>1.5</v>
      </c>
      <c r="E216" s="97">
        <f t="shared" si="31"/>
        <v>1.5</v>
      </c>
      <c r="F216" s="97">
        <f t="shared" si="31"/>
        <v>1.5</v>
      </c>
      <c r="G216" s="97">
        <f t="shared" si="31"/>
        <v>1.5</v>
      </c>
      <c r="H216" s="97">
        <f t="shared" si="31"/>
        <v>1.5</v>
      </c>
      <c r="I216" s="97">
        <f t="shared" si="31"/>
        <v>1.5</v>
      </c>
      <c r="J216" s="97">
        <f t="shared" si="31"/>
        <v>1.5</v>
      </c>
      <c r="K216" s="97">
        <f t="shared" si="31"/>
        <v>1.5</v>
      </c>
      <c r="L216" s="97">
        <f t="shared" si="31"/>
        <v>1.5</v>
      </c>
      <c r="M216" s="97">
        <f t="shared" si="31"/>
        <v>1.5</v>
      </c>
      <c r="N216" s="97">
        <f t="shared" si="31"/>
        <v>1.5</v>
      </c>
      <c r="O216" s="97">
        <f t="shared" si="31"/>
        <v>1.5</v>
      </c>
      <c r="P216" s="97">
        <f t="shared" si="31"/>
        <v>1.5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1.5</v>
      </c>
      <c r="AH216" s="54"/>
      <c r="AI216" s="55"/>
      <c r="AK216" s="56"/>
    </row>
    <row r="217" spans="1:37" x14ac:dyDescent="0.25">
      <c r="A217" s="163" t="s">
        <v>86</v>
      </c>
      <c r="B217" s="97">
        <f t="shared" si="30"/>
        <v>0</v>
      </c>
      <c r="C217" s="97">
        <v>0.3</v>
      </c>
      <c r="D217" s="97">
        <f t="shared" si="31"/>
        <v>0.3</v>
      </c>
      <c r="E217" s="97">
        <f t="shared" si="31"/>
        <v>0.3</v>
      </c>
      <c r="F217" s="97">
        <f t="shared" si="31"/>
        <v>0.3</v>
      </c>
      <c r="G217" s="97">
        <f t="shared" si="31"/>
        <v>0.3</v>
      </c>
      <c r="H217" s="97">
        <f t="shared" si="31"/>
        <v>0.3</v>
      </c>
      <c r="I217" s="97">
        <f t="shared" si="31"/>
        <v>0.3</v>
      </c>
      <c r="J217" s="97">
        <f t="shared" si="31"/>
        <v>0.3</v>
      </c>
      <c r="K217" s="97">
        <f t="shared" si="31"/>
        <v>0.3</v>
      </c>
      <c r="L217" s="97">
        <f t="shared" si="31"/>
        <v>0.3</v>
      </c>
      <c r="M217" s="97">
        <f t="shared" si="31"/>
        <v>0.3</v>
      </c>
      <c r="N217" s="97">
        <f t="shared" si="31"/>
        <v>0.3</v>
      </c>
      <c r="O217" s="97">
        <f t="shared" si="31"/>
        <v>0.3</v>
      </c>
      <c r="P217" s="97">
        <f t="shared" si="31"/>
        <v>0.3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</v>
      </c>
      <c r="AH217" s="54"/>
      <c r="AI217" s="55"/>
      <c r="AK217" s="56"/>
    </row>
    <row r="218" spans="1:37" x14ac:dyDescent="0.25">
      <c r="A218" s="163" t="s">
        <v>87</v>
      </c>
      <c r="B218" s="97">
        <f t="shared" si="30"/>
        <v>0</v>
      </c>
      <c r="C218" s="97">
        <v>0.4</v>
      </c>
      <c r="D218" s="97">
        <f t="shared" si="31"/>
        <v>0.4</v>
      </c>
      <c r="E218" s="97">
        <f t="shared" si="31"/>
        <v>0.4</v>
      </c>
      <c r="F218" s="97">
        <f t="shared" si="31"/>
        <v>0.4</v>
      </c>
      <c r="G218" s="97">
        <f t="shared" si="31"/>
        <v>0.4</v>
      </c>
      <c r="H218" s="97">
        <f t="shared" si="31"/>
        <v>0.4</v>
      </c>
      <c r="I218" s="97">
        <f t="shared" si="31"/>
        <v>0.4</v>
      </c>
      <c r="J218" s="97">
        <f t="shared" si="31"/>
        <v>0.4</v>
      </c>
      <c r="K218" s="97">
        <f t="shared" si="31"/>
        <v>0.4</v>
      </c>
      <c r="L218" s="97">
        <f t="shared" si="31"/>
        <v>0.4</v>
      </c>
      <c r="M218" s="97">
        <f t="shared" si="31"/>
        <v>0.4</v>
      </c>
      <c r="N218" s="97">
        <f t="shared" si="31"/>
        <v>0.4</v>
      </c>
      <c r="O218" s="97">
        <f t="shared" si="31"/>
        <v>0.4</v>
      </c>
      <c r="P218" s="97">
        <f t="shared" si="31"/>
        <v>0.4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ht="15.75" thickBot="1" x14ac:dyDescent="0.3">
      <c r="A219" s="164" t="s">
        <v>88</v>
      </c>
      <c r="B219" s="102">
        <f t="shared" si="30"/>
        <v>0</v>
      </c>
      <c r="C219" s="102">
        <v>0.64</v>
      </c>
      <c r="D219" s="102">
        <f t="shared" si="31"/>
        <v>0.64</v>
      </c>
      <c r="E219" s="102">
        <f t="shared" si="31"/>
        <v>0.64</v>
      </c>
      <c r="F219" s="102">
        <f t="shared" si="31"/>
        <v>0.64</v>
      </c>
      <c r="G219" s="102">
        <f t="shared" si="31"/>
        <v>0.64</v>
      </c>
      <c r="H219" s="102">
        <f t="shared" si="31"/>
        <v>0.64</v>
      </c>
      <c r="I219" s="102">
        <f t="shared" si="31"/>
        <v>0.64</v>
      </c>
      <c r="J219" s="102">
        <f t="shared" si="31"/>
        <v>0.64</v>
      </c>
      <c r="K219" s="102">
        <f t="shared" si="31"/>
        <v>0.64</v>
      </c>
      <c r="L219" s="102">
        <f t="shared" si="31"/>
        <v>0.64</v>
      </c>
      <c r="M219" s="102">
        <f t="shared" si="31"/>
        <v>0.64</v>
      </c>
      <c r="N219" s="102">
        <f t="shared" si="31"/>
        <v>0.64</v>
      </c>
      <c r="O219" s="102">
        <f t="shared" si="31"/>
        <v>0.64</v>
      </c>
      <c r="P219" s="102">
        <f t="shared" si="31"/>
        <v>0.64</v>
      </c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57">
        <v>0.66</v>
      </c>
      <c r="AH219" s="54"/>
      <c r="AI219" s="55"/>
    </row>
    <row r="220" spans="1:37" ht="15.75" thickBot="1" x14ac:dyDescent="0.3">
      <c r="A220" s="173" t="s">
        <v>35</v>
      </c>
      <c r="B220" s="103">
        <f>SUM(B214:B219)</f>
        <v>0</v>
      </c>
      <c r="C220" s="103">
        <f>SUM(C214:C219)</f>
        <v>3.54</v>
      </c>
      <c r="D220" s="103">
        <f t="shared" ref="D220:L220" si="32">SUM(D214:D219)</f>
        <v>3.54</v>
      </c>
      <c r="E220" s="103">
        <f t="shared" si="32"/>
        <v>3.54</v>
      </c>
      <c r="F220" s="103">
        <f t="shared" si="32"/>
        <v>3.54</v>
      </c>
      <c r="G220" s="103">
        <f t="shared" si="32"/>
        <v>3.54</v>
      </c>
      <c r="H220" s="103">
        <f t="shared" si="32"/>
        <v>3.54</v>
      </c>
      <c r="I220" s="103">
        <f t="shared" si="32"/>
        <v>3.54</v>
      </c>
      <c r="J220" s="103">
        <f t="shared" si="32"/>
        <v>3.54</v>
      </c>
      <c r="K220" s="103">
        <f t="shared" si="32"/>
        <v>3.54</v>
      </c>
      <c r="L220" s="103">
        <f t="shared" si="32"/>
        <v>3.54</v>
      </c>
      <c r="M220" s="103">
        <f>SUM(M214:M219)</f>
        <v>3.54</v>
      </c>
      <c r="N220" s="103">
        <f t="shared" ref="N220:S220" si="33">SUM(N214:N219)</f>
        <v>3.54</v>
      </c>
      <c r="O220" s="103">
        <f t="shared" si="33"/>
        <v>3.54</v>
      </c>
      <c r="P220" s="103">
        <f t="shared" si="33"/>
        <v>3.54</v>
      </c>
      <c r="Q220" s="103">
        <f t="shared" si="33"/>
        <v>0</v>
      </c>
      <c r="R220" s="103">
        <f t="shared" si="33"/>
        <v>0</v>
      </c>
      <c r="S220" s="103">
        <f t="shared" si="33"/>
        <v>0</v>
      </c>
      <c r="T220" s="103">
        <f>SUM(T214:T219)</f>
        <v>0</v>
      </c>
      <c r="U220" s="103">
        <f t="shared" ref="U220:AG220" si="34">SUM(U214:U219)</f>
        <v>0</v>
      </c>
      <c r="V220" s="103">
        <f t="shared" si="34"/>
        <v>0</v>
      </c>
      <c r="W220" s="103">
        <f t="shared" si="34"/>
        <v>0</v>
      </c>
      <c r="X220" s="103">
        <f t="shared" si="34"/>
        <v>0</v>
      </c>
      <c r="Y220" s="103">
        <f t="shared" si="34"/>
        <v>0</v>
      </c>
      <c r="Z220" s="103">
        <f t="shared" si="34"/>
        <v>0</v>
      </c>
      <c r="AA220" s="103">
        <f t="shared" si="34"/>
        <v>0</v>
      </c>
      <c r="AB220" s="103">
        <f t="shared" si="34"/>
        <v>0</v>
      </c>
      <c r="AC220" s="103">
        <f t="shared" si="34"/>
        <v>0</v>
      </c>
      <c r="AD220" s="103">
        <f t="shared" si="34"/>
        <v>0</v>
      </c>
      <c r="AE220" s="103">
        <f t="shared" si="34"/>
        <v>0</v>
      </c>
      <c r="AF220" s="103">
        <f t="shared" si="34"/>
        <v>0</v>
      </c>
      <c r="AG220" s="158">
        <f t="shared" si="34"/>
        <v>8.56</v>
      </c>
      <c r="AH220" s="54"/>
      <c r="AI220" s="55"/>
    </row>
    <row r="221" spans="1:37" ht="15.75" thickBot="1" x14ac:dyDescent="0.3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84"/>
      <c r="AH221" s="47"/>
    </row>
    <row r="222" spans="1:37" x14ac:dyDescent="0.25">
      <c r="A222" s="79" t="s">
        <v>89</v>
      </c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5"/>
      <c r="AG222" s="47"/>
      <c r="AH222" s="54"/>
      <c r="AI222" s="55"/>
    </row>
    <row r="223" spans="1:37" x14ac:dyDescent="0.25">
      <c r="A223" s="106" t="s">
        <v>90</v>
      </c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8"/>
      <c r="AG223" s="109"/>
      <c r="AH223" s="54"/>
      <c r="AI223" s="55"/>
    </row>
    <row r="224" spans="1:37" x14ac:dyDescent="0.25">
      <c r="A224" s="81" t="s">
        <v>91</v>
      </c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1"/>
      <c r="AG224" s="109"/>
      <c r="AH224" s="54"/>
      <c r="AI224" s="55"/>
    </row>
    <row r="225" spans="1:50" x14ac:dyDescent="0.25">
      <c r="A225" s="81" t="s">
        <v>92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ht="15.75" thickBot="1" x14ac:dyDescent="0.3">
      <c r="A226" s="112" t="s">
        <v>93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4"/>
      <c r="AG226" s="109"/>
      <c r="AH226" s="54"/>
      <c r="AI226" s="55"/>
    </row>
    <row r="227" spans="1:50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50" x14ac:dyDescent="0.25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50" x14ac:dyDescent="0.25">
      <c r="A229" s="115" t="s">
        <v>94</v>
      </c>
      <c r="B229" s="116">
        <f>MAX(G79:N79)</f>
        <v>1850.34</v>
      </c>
      <c r="C229" s="117">
        <f>INDEX(G9:N9,1,MATCH(MAX(G79:N79),G79:N79,0))</f>
        <v>0.33333333333333331</v>
      </c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50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118" t="str">
        <f ca="1">MID(CELL("filename",C7),FIND("]",CELL("filename",C7))+1,600)</f>
        <v>1</v>
      </c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50" x14ac:dyDescent="0.25">
      <c r="A231" s="208" t="s">
        <v>95</v>
      </c>
      <c r="B231" s="208"/>
      <c r="C231" s="47"/>
      <c r="D231" s="118" t="str">
        <f ca="1">"Pie Chart of Daily Peak Demand(Inclusive of Export) of Nepal ("&amp;A4&amp;" "&amp;B4&amp;")"</f>
        <v>Pie Chart of Daily Peak Demand(Inclusive of Export) of Nepal (Nepali Date: 2079/02/1)</v>
      </c>
      <c r="E231" s="47"/>
      <c r="F231" s="47"/>
      <c r="G231" s="118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118" t="str">
        <f ca="1">"Daily Load Curve(Excluding of Export) of Nepal ("&amp;A4&amp;" "&amp;B4&amp;")"</f>
        <v>Daily Load Curve(Excluding of Export) of Nepal (Nepali Date: 2079/02/1)</v>
      </c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50" ht="12.75" customHeight="1" thickBot="1" x14ac:dyDescent="0.3">
      <c r="A232" s="119" t="s">
        <v>7</v>
      </c>
      <c r="B232" s="120"/>
      <c r="C232" s="47"/>
      <c r="D232" s="121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50" ht="15.75" thickTop="1" x14ac:dyDescent="0.25">
      <c r="A233" s="119" t="s">
        <v>96</v>
      </c>
      <c r="B233" s="120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122" t="s">
        <v>97</v>
      </c>
      <c r="T233" s="123">
        <v>0</v>
      </c>
      <c r="U233" s="124">
        <v>4.1666666666666664E-2</v>
      </c>
      <c r="V233" s="125">
        <v>8.3333333333333301E-2</v>
      </c>
      <c r="W233" s="125">
        <v>0.125</v>
      </c>
      <c r="X233" s="125">
        <v>0.16666666666666699</v>
      </c>
      <c r="Y233" s="125">
        <v>0.20833333333333301</v>
      </c>
      <c r="Z233" s="125">
        <v>0.22916666666666666</v>
      </c>
      <c r="AA233" s="125">
        <v>0.25</v>
      </c>
      <c r="AB233" s="125">
        <v>0.27083333333333331</v>
      </c>
      <c r="AC233" s="125">
        <v>0.29166666666666669</v>
      </c>
      <c r="AD233" s="125">
        <v>0.3125</v>
      </c>
      <c r="AE233" s="126">
        <v>0.33333333333333331</v>
      </c>
      <c r="AF233" s="126">
        <v>0.375</v>
      </c>
      <c r="AG233" s="126">
        <v>0.41666666666666702</v>
      </c>
      <c r="AH233" s="126">
        <v>0.45833333333333298</v>
      </c>
      <c r="AI233" s="126">
        <v>0.5</v>
      </c>
      <c r="AJ233" s="126">
        <v>0.54166666666666696</v>
      </c>
      <c r="AK233" s="126">
        <v>0.58333333333333304</v>
      </c>
      <c r="AL233" s="126">
        <v>0.625</v>
      </c>
      <c r="AM233" s="126">
        <v>0.66666666666666696</v>
      </c>
      <c r="AN233" s="126">
        <v>0.70833333333333304</v>
      </c>
      <c r="AO233" s="126">
        <v>0.72916666666666663</v>
      </c>
      <c r="AP233" s="126">
        <v>0.75</v>
      </c>
      <c r="AQ233" s="126">
        <v>0.77083333333333337</v>
      </c>
      <c r="AR233" s="126">
        <v>0.79166666666666663</v>
      </c>
      <c r="AS233" s="126">
        <v>0.8125</v>
      </c>
      <c r="AT233" s="125">
        <v>0.83333333333333337</v>
      </c>
      <c r="AU233" s="125">
        <v>0.85416666666666663</v>
      </c>
      <c r="AV233" s="125">
        <v>0.875</v>
      </c>
      <c r="AW233" s="125">
        <v>0.91666666666666696</v>
      </c>
      <c r="AX233" s="125">
        <v>0.95833333333333304</v>
      </c>
    </row>
    <row r="234" spans="1:50" x14ac:dyDescent="0.25">
      <c r="A234" s="119" t="s">
        <v>98</v>
      </c>
      <c r="B234" s="120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 t="s">
        <v>99</v>
      </c>
      <c r="T234" s="127">
        <f t="shared" ref="T234:AX234" si="35">B79</f>
        <v>1853.44</v>
      </c>
      <c r="U234" s="127">
        <f t="shared" si="35"/>
        <v>1827.6399999999999</v>
      </c>
      <c r="V234" s="127">
        <f t="shared" si="35"/>
        <v>1796.74</v>
      </c>
      <c r="W234" s="127">
        <f t="shared" si="35"/>
        <v>1768.74</v>
      </c>
      <c r="X234" s="127">
        <f t="shared" si="35"/>
        <v>1755.9399999999998</v>
      </c>
      <c r="Y234" s="127">
        <f t="shared" si="35"/>
        <v>1732.94</v>
      </c>
      <c r="Z234" s="127">
        <f t="shared" si="35"/>
        <v>1702.54</v>
      </c>
      <c r="AA234" s="127">
        <f t="shared" si="35"/>
        <v>1732.54</v>
      </c>
      <c r="AB234" s="127">
        <f t="shared" si="35"/>
        <v>1718.54</v>
      </c>
      <c r="AC234" s="127">
        <f t="shared" si="35"/>
        <v>1788.1399999999999</v>
      </c>
      <c r="AD234" s="127">
        <f t="shared" si="35"/>
        <v>1783.2400000000002</v>
      </c>
      <c r="AE234" s="127">
        <f t="shared" si="35"/>
        <v>1850.34</v>
      </c>
      <c r="AF234" s="127">
        <f t="shared" si="35"/>
        <v>1836.94</v>
      </c>
      <c r="AG234" s="127">
        <f t="shared" si="35"/>
        <v>1884.84</v>
      </c>
      <c r="AH234" s="127">
        <f t="shared" si="35"/>
        <v>1897.64</v>
      </c>
      <c r="AI234" s="127">
        <f t="shared" si="35"/>
        <v>1920.94</v>
      </c>
      <c r="AJ234" s="127">
        <f t="shared" si="35"/>
        <v>1899.1399999999999</v>
      </c>
      <c r="AK234" s="127">
        <f t="shared" si="35"/>
        <v>1915.64</v>
      </c>
      <c r="AL234" s="127">
        <f t="shared" si="35"/>
        <v>1878.14</v>
      </c>
      <c r="AM234" s="127">
        <f t="shared" si="35"/>
        <v>1857.14</v>
      </c>
      <c r="AN234" s="127">
        <f t="shared" si="35"/>
        <v>1846.1399999999999</v>
      </c>
      <c r="AO234" s="127">
        <f t="shared" si="35"/>
        <v>1836.1399999999999</v>
      </c>
      <c r="AP234" s="127">
        <f t="shared" si="35"/>
        <v>1853.1399999999999</v>
      </c>
      <c r="AQ234" s="127">
        <f t="shared" si="35"/>
        <v>1827.54</v>
      </c>
      <c r="AR234" s="127">
        <f t="shared" si="35"/>
        <v>1820.54</v>
      </c>
      <c r="AS234" s="127">
        <f t="shared" si="35"/>
        <v>1872.3400000000001</v>
      </c>
      <c r="AT234" s="127">
        <f t="shared" si="35"/>
        <v>1885.5400000000002</v>
      </c>
      <c r="AU234" s="127">
        <f t="shared" si="35"/>
        <v>1889.14</v>
      </c>
      <c r="AV234" s="127">
        <f t="shared" si="35"/>
        <v>1894.14</v>
      </c>
      <c r="AW234" s="127">
        <f t="shared" si="35"/>
        <v>1876.3400000000001</v>
      </c>
      <c r="AX234" s="127">
        <f t="shared" si="35"/>
        <v>1882.04</v>
      </c>
    </row>
    <row r="235" spans="1:50" x14ac:dyDescent="0.25">
      <c r="A235" s="119" t="s">
        <v>100</v>
      </c>
      <c r="B235" s="120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</row>
    <row r="236" spans="1:50" x14ac:dyDescent="0.25">
      <c r="A236" s="119" t="s">
        <v>101</v>
      </c>
      <c r="B236" s="120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</row>
    <row r="237" spans="1:50" x14ac:dyDescent="0.25">
      <c r="A237" s="119" t="s">
        <v>102</v>
      </c>
      <c r="B237" s="120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50" x14ac:dyDescent="0.25">
      <c r="A238" s="119" t="s">
        <v>103</v>
      </c>
      <c r="B238" s="128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50" x14ac:dyDescent="0.25">
      <c r="A239" s="119" t="s">
        <v>104</v>
      </c>
      <c r="B239" s="120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50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1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1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1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1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1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</row>
    <row r="246" spans="1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J246"/>
    </row>
    <row r="247" spans="1:36" x14ac:dyDescent="0.25"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J247"/>
    </row>
    <row r="248" spans="1:36" x14ac:dyDescent="0.25"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J248"/>
    </row>
    <row r="249" spans="1:36" x14ac:dyDescent="0.25"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J249"/>
    </row>
    <row r="250" spans="1:36" x14ac:dyDescent="0.25"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J250"/>
    </row>
    <row r="251" spans="1:36" x14ac:dyDescent="0.25"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J251"/>
    </row>
    <row r="252" spans="1:36" x14ac:dyDescent="0.25"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J252"/>
    </row>
    <row r="253" spans="1:36" x14ac:dyDescent="0.25"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J253"/>
    </row>
    <row r="254" spans="1:36" x14ac:dyDescent="0.25"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J254"/>
    </row>
    <row r="255" spans="1:36" x14ac:dyDescent="0.25">
      <c r="A255" s="129" t="s">
        <v>89</v>
      </c>
      <c r="B255" s="130">
        <f t="shared" ref="B255:AE255" si="36">C219</f>
        <v>0.64</v>
      </c>
      <c r="C255" s="130">
        <f t="shared" si="36"/>
        <v>0.64</v>
      </c>
      <c r="D255" s="130">
        <f t="shared" si="36"/>
        <v>0.64</v>
      </c>
      <c r="E255" s="130">
        <f t="shared" si="36"/>
        <v>0.64</v>
      </c>
      <c r="F255" s="130">
        <f t="shared" si="36"/>
        <v>0.64</v>
      </c>
      <c r="G255" s="130">
        <f t="shared" si="36"/>
        <v>0.64</v>
      </c>
      <c r="H255" s="130">
        <f t="shared" si="36"/>
        <v>0.64</v>
      </c>
      <c r="I255" s="130">
        <f t="shared" si="36"/>
        <v>0.64</v>
      </c>
      <c r="J255" s="130">
        <f t="shared" si="36"/>
        <v>0.64</v>
      </c>
      <c r="K255" s="130">
        <f t="shared" si="36"/>
        <v>0.64</v>
      </c>
      <c r="L255" s="130">
        <f t="shared" si="36"/>
        <v>0.64</v>
      </c>
      <c r="M255" s="130">
        <f t="shared" si="36"/>
        <v>0.64</v>
      </c>
      <c r="N255" s="130">
        <f t="shared" si="36"/>
        <v>0.64</v>
      </c>
      <c r="O255" s="130">
        <f t="shared" si="36"/>
        <v>0.64</v>
      </c>
      <c r="P255" s="130">
        <f t="shared" si="36"/>
        <v>0</v>
      </c>
      <c r="Q255" s="130">
        <f t="shared" si="36"/>
        <v>0</v>
      </c>
      <c r="R255" s="130">
        <f t="shared" si="36"/>
        <v>0</v>
      </c>
      <c r="S255" s="130">
        <f t="shared" si="36"/>
        <v>0</v>
      </c>
      <c r="T255" s="130">
        <f t="shared" si="36"/>
        <v>0</v>
      </c>
      <c r="U255" s="130">
        <f t="shared" si="36"/>
        <v>0</v>
      </c>
      <c r="V255" s="130">
        <f t="shared" si="36"/>
        <v>0</v>
      </c>
      <c r="W255" s="130">
        <f t="shared" si="36"/>
        <v>0</v>
      </c>
      <c r="X255" s="130">
        <f t="shared" si="36"/>
        <v>0</v>
      </c>
      <c r="Y255" s="130">
        <f t="shared" si="36"/>
        <v>0</v>
      </c>
      <c r="Z255" s="130">
        <f t="shared" si="36"/>
        <v>0</v>
      </c>
      <c r="AA255" s="130">
        <f t="shared" si="36"/>
        <v>0</v>
      </c>
      <c r="AB255" s="130">
        <f t="shared" si="36"/>
        <v>0</v>
      </c>
      <c r="AC255" s="130">
        <f t="shared" si="36"/>
        <v>0</v>
      </c>
      <c r="AD255" s="130">
        <f t="shared" si="36"/>
        <v>0</v>
      </c>
      <c r="AE255" s="130">
        <f t="shared" si="36"/>
        <v>0</v>
      </c>
      <c r="AF255" s="130">
        <f>B219</f>
        <v>0</v>
      </c>
      <c r="AG255" s="47"/>
      <c r="AH255" s="47"/>
      <c r="AJ255"/>
    </row>
    <row r="256" spans="1:36" x14ac:dyDescent="0.25">
      <c r="A256" s="88" t="str">
        <f>A223</f>
        <v>KGA</v>
      </c>
      <c r="B256" s="88" t="str">
        <f>IF(B223&lt;100,"",B223-520)</f>
        <v/>
      </c>
      <c r="C256" s="88" t="str">
        <f t="shared" ref="C256:AF256" si="37">IF(C223&lt;100,"",C223-520)</f>
        <v/>
      </c>
      <c r="D256" s="88" t="str">
        <f t="shared" si="37"/>
        <v/>
      </c>
      <c r="E256" s="88" t="str">
        <f t="shared" si="37"/>
        <v/>
      </c>
      <c r="F256" s="88" t="str">
        <f t="shared" si="37"/>
        <v/>
      </c>
      <c r="G256" s="88" t="str">
        <f t="shared" si="37"/>
        <v/>
      </c>
      <c r="H256" s="88" t="str">
        <f t="shared" si="37"/>
        <v/>
      </c>
      <c r="I256" s="88" t="str">
        <f t="shared" si="37"/>
        <v/>
      </c>
      <c r="J256" s="88" t="str">
        <f t="shared" si="37"/>
        <v/>
      </c>
      <c r="K256" s="88" t="str">
        <f t="shared" si="37"/>
        <v/>
      </c>
      <c r="L256" s="88" t="str">
        <f t="shared" si="37"/>
        <v/>
      </c>
      <c r="M256" s="88" t="str">
        <f t="shared" si="37"/>
        <v/>
      </c>
      <c r="N256" s="88" t="str">
        <f t="shared" si="37"/>
        <v/>
      </c>
      <c r="O256" s="88" t="str">
        <f t="shared" si="37"/>
        <v/>
      </c>
      <c r="P256" s="88" t="str">
        <f t="shared" si="37"/>
        <v/>
      </c>
      <c r="Q256" s="88" t="str">
        <f t="shared" si="37"/>
        <v/>
      </c>
      <c r="R256" s="88" t="str">
        <f t="shared" si="37"/>
        <v/>
      </c>
      <c r="S256" s="88" t="str">
        <f t="shared" si="37"/>
        <v/>
      </c>
      <c r="T256" s="88" t="str">
        <f t="shared" si="37"/>
        <v/>
      </c>
      <c r="U256" s="88" t="str">
        <f t="shared" si="37"/>
        <v/>
      </c>
      <c r="V256" s="88" t="str">
        <f t="shared" si="37"/>
        <v/>
      </c>
      <c r="W256" s="88" t="str">
        <f t="shared" si="37"/>
        <v/>
      </c>
      <c r="X256" s="88" t="str">
        <f t="shared" si="37"/>
        <v/>
      </c>
      <c r="Y256" s="88" t="str">
        <f t="shared" si="37"/>
        <v/>
      </c>
      <c r="Z256" s="88" t="str">
        <f t="shared" si="37"/>
        <v/>
      </c>
      <c r="AA256" s="88" t="str">
        <f t="shared" si="37"/>
        <v/>
      </c>
      <c r="AB256" s="88" t="str">
        <f t="shared" si="37"/>
        <v/>
      </c>
      <c r="AC256" s="88" t="str">
        <f t="shared" si="37"/>
        <v/>
      </c>
      <c r="AD256" s="88" t="str">
        <f t="shared" si="37"/>
        <v/>
      </c>
      <c r="AE256" s="88" t="str">
        <f t="shared" si="37"/>
        <v/>
      </c>
      <c r="AF256" s="88" t="str">
        <f t="shared" si="37"/>
        <v/>
      </c>
      <c r="AG256" s="47"/>
      <c r="AH256" s="47"/>
      <c r="AJ256"/>
    </row>
    <row r="257" spans="1:36" x14ac:dyDescent="0.25">
      <c r="A257" s="88" t="str">
        <f>A224</f>
        <v>MMRS</v>
      </c>
      <c r="B257" s="88" t="str">
        <f t="shared" ref="B257:AF257" si="38">IF(B224&lt;100,"",B224-620)</f>
        <v/>
      </c>
      <c r="C257" s="88" t="str">
        <f t="shared" si="38"/>
        <v/>
      </c>
      <c r="D257" s="88" t="str">
        <f t="shared" si="38"/>
        <v/>
      </c>
      <c r="E257" s="88" t="str">
        <f t="shared" si="38"/>
        <v/>
      </c>
      <c r="F257" s="88" t="str">
        <f t="shared" si="38"/>
        <v/>
      </c>
      <c r="G257" s="88" t="str">
        <f t="shared" si="38"/>
        <v/>
      </c>
      <c r="H257" s="88" t="str">
        <f t="shared" si="38"/>
        <v/>
      </c>
      <c r="I257" s="88" t="str">
        <f t="shared" si="38"/>
        <v/>
      </c>
      <c r="J257" s="88" t="str">
        <f t="shared" si="38"/>
        <v/>
      </c>
      <c r="K257" s="88" t="str">
        <f t="shared" si="38"/>
        <v/>
      </c>
      <c r="L257" s="88" t="str">
        <f t="shared" si="38"/>
        <v/>
      </c>
      <c r="M257" s="88" t="str">
        <f t="shared" si="38"/>
        <v/>
      </c>
      <c r="N257" s="88" t="str">
        <f t="shared" si="38"/>
        <v/>
      </c>
      <c r="O257" s="88" t="str">
        <f t="shared" si="38"/>
        <v/>
      </c>
      <c r="P257" s="88" t="str">
        <f t="shared" si="38"/>
        <v/>
      </c>
      <c r="Q257" s="88" t="str">
        <f t="shared" si="38"/>
        <v/>
      </c>
      <c r="R257" s="88" t="str">
        <f t="shared" si="38"/>
        <v/>
      </c>
      <c r="S257" s="88" t="str">
        <f t="shared" si="38"/>
        <v/>
      </c>
      <c r="T257" s="88" t="str">
        <f t="shared" si="38"/>
        <v/>
      </c>
      <c r="U257" s="88" t="str">
        <f t="shared" si="38"/>
        <v/>
      </c>
      <c r="V257" s="88" t="str">
        <f t="shared" si="38"/>
        <v/>
      </c>
      <c r="W257" s="88" t="str">
        <f t="shared" si="38"/>
        <v/>
      </c>
      <c r="X257" s="88" t="str">
        <f t="shared" si="38"/>
        <v/>
      </c>
      <c r="Y257" s="88" t="str">
        <f t="shared" si="38"/>
        <v/>
      </c>
      <c r="Z257" s="88" t="str">
        <f t="shared" si="38"/>
        <v/>
      </c>
      <c r="AA257" s="88" t="str">
        <f t="shared" si="38"/>
        <v/>
      </c>
      <c r="AB257" s="88" t="str">
        <f t="shared" si="38"/>
        <v/>
      </c>
      <c r="AC257" s="88" t="str">
        <f t="shared" si="38"/>
        <v/>
      </c>
      <c r="AD257" s="88" t="str">
        <f t="shared" si="38"/>
        <v/>
      </c>
      <c r="AE257" s="88" t="str">
        <f t="shared" si="38"/>
        <v/>
      </c>
      <c r="AF257" s="88" t="str">
        <f t="shared" si="38"/>
        <v/>
      </c>
      <c r="AG257" s="47"/>
      <c r="AH257" s="47"/>
      <c r="AJ257"/>
    </row>
    <row r="258" spans="1:36" x14ac:dyDescent="0.25">
      <c r="A258" s="88" t="str">
        <f>A225</f>
        <v>MRS</v>
      </c>
      <c r="B258" s="88" t="str">
        <f t="shared" ref="B258:AF258" si="39">IF(B225&lt;100,"",B225-330)</f>
        <v/>
      </c>
      <c r="C258" s="88" t="str">
        <f t="shared" si="39"/>
        <v/>
      </c>
      <c r="D258" s="88" t="str">
        <f t="shared" si="39"/>
        <v/>
      </c>
      <c r="E258" s="88" t="str">
        <f t="shared" si="39"/>
        <v/>
      </c>
      <c r="F258" s="88" t="str">
        <f t="shared" si="39"/>
        <v/>
      </c>
      <c r="G258" s="88" t="str">
        <f t="shared" si="39"/>
        <v/>
      </c>
      <c r="H258" s="88" t="str">
        <f t="shared" si="39"/>
        <v/>
      </c>
      <c r="I258" s="88" t="str">
        <f t="shared" si="39"/>
        <v/>
      </c>
      <c r="J258" s="88" t="str">
        <f t="shared" si="39"/>
        <v/>
      </c>
      <c r="K258" s="88" t="str">
        <f t="shared" si="39"/>
        <v/>
      </c>
      <c r="L258" s="88" t="str">
        <f t="shared" si="39"/>
        <v/>
      </c>
      <c r="M258" s="88" t="str">
        <f t="shared" si="39"/>
        <v/>
      </c>
      <c r="N258" s="88" t="str">
        <f t="shared" si="39"/>
        <v/>
      </c>
      <c r="O258" s="88" t="str">
        <f t="shared" si="39"/>
        <v/>
      </c>
      <c r="P258" s="88" t="str">
        <f t="shared" si="39"/>
        <v/>
      </c>
      <c r="Q258" s="88" t="str">
        <f t="shared" si="39"/>
        <v/>
      </c>
      <c r="R258" s="88" t="str">
        <f t="shared" si="39"/>
        <v/>
      </c>
      <c r="S258" s="88" t="str">
        <f t="shared" si="39"/>
        <v/>
      </c>
      <c r="T258" s="88" t="str">
        <f t="shared" si="39"/>
        <v/>
      </c>
      <c r="U258" s="88" t="str">
        <f t="shared" si="39"/>
        <v/>
      </c>
      <c r="V258" s="88" t="str">
        <f t="shared" si="39"/>
        <v/>
      </c>
      <c r="W258" s="88" t="str">
        <f t="shared" si="39"/>
        <v/>
      </c>
      <c r="X258" s="88" t="str">
        <f t="shared" si="39"/>
        <v/>
      </c>
      <c r="Y258" s="88" t="str">
        <f t="shared" si="39"/>
        <v/>
      </c>
      <c r="Z258" s="88" t="str">
        <f t="shared" si="39"/>
        <v/>
      </c>
      <c r="AA258" s="88" t="str">
        <f t="shared" si="39"/>
        <v/>
      </c>
      <c r="AB258" s="88" t="str">
        <f t="shared" si="39"/>
        <v/>
      </c>
      <c r="AC258" s="88" t="str">
        <f t="shared" si="39"/>
        <v/>
      </c>
      <c r="AD258" s="88" t="str">
        <f t="shared" si="39"/>
        <v/>
      </c>
      <c r="AE258" s="88" t="str">
        <f t="shared" si="39"/>
        <v/>
      </c>
      <c r="AF258" s="88" t="str">
        <f t="shared" si="39"/>
        <v/>
      </c>
      <c r="AG258" s="47"/>
      <c r="AH258" s="47"/>
      <c r="AJ258"/>
    </row>
    <row r="259" spans="1:36" x14ac:dyDescent="0.25">
      <c r="A259" s="88" t="str">
        <f>A226</f>
        <v>KL 1</v>
      </c>
      <c r="B259" s="88" t="str">
        <f>IF(B226&lt;100,"",B226-1500)</f>
        <v/>
      </c>
      <c r="C259" s="88" t="str">
        <f t="shared" ref="C259:AF259" si="40">IF(C226&lt;100,"",C226-1500)</f>
        <v/>
      </c>
      <c r="D259" s="88" t="str">
        <f t="shared" si="40"/>
        <v/>
      </c>
      <c r="E259" s="88" t="str">
        <f t="shared" si="40"/>
        <v/>
      </c>
      <c r="F259" s="88" t="str">
        <f t="shared" si="40"/>
        <v/>
      </c>
      <c r="G259" s="88" t="str">
        <f t="shared" si="40"/>
        <v/>
      </c>
      <c r="H259" s="88" t="str">
        <f t="shared" si="40"/>
        <v/>
      </c>
      <c r="I259" s="88" t="str">
        <f t="shared" si="40"/>
        <v/>
      </c>
      <c r="J259" s="88" t="str">
        <f t="shared" si="40"/>
        <v/>
      </c>
      <c r="K259" s="88" t="str">
        <f t="shared" si="40"/>
        <v/>
      </c>
      <c r="L259" s="88" t="str">
        <f t="shared" si="40"/>
        <v/>
      </c>
      <c r="M259" s="88" t="str">
        <f t="shared" si="40"/>
        <v/>
      </c>
      <c r="N259" s="88" t="str">
        <f t="shared" si="40"/>
        <v/>
      </c>
      <c r="O259" s="88" t="str">
        <f t="shared" si="40"/>
        <v/>
      </c>
      <c r="P259" s="88" t="str">
        <f t="shared" si="40"/>
        <v/>
      </c>
      <c r="Q259" s="88" t="str">
        <f t="shared" si="40"/>
        <v/>
      </c>
      <c r="R259" s="88" t="str">
        <f t="shared" si="40"/>
        <v/>
      </c>
      <c r="S259" s="88" t="str">
        <f t="shared" si="40"/>
        <v/>
      </c>
      <c r="T259" s="88" t="str">
        <f t="shared" si="40"/>
        <v/>
      </c>
      <c r="U259" s="88" t="str">
        <f t="shared" si="40"/>
        <v/>
      </c>
      <c r="V259" s="88" t="str">
        <f t="shared" si="40"/>
        <v/>
      </c>
      <c r="W259" s="88" t="str">
        <f t="shared" si="40"/>
        <v/>
      </c>
      <c r="X259" s="88" t="str">
        <f t="shared" si="40"/>
        <v/>
      </c>
      <c r="Y259" s="88" t="str">
        <f t="shared" si="40"/>
        <v/>
      </c>
      <c r="Z259" s="88" t="str">
        <f t="shared" si="40"/>
        <v/>
      </c>
      <c r="AA259" s="88" t="str">
        <f t="shared" si="40"/>
        <v/>
      </c>
      <c r="AB259" s="88" t="str">
        <f t="shared" si="40"/>
        <v/>
      </c>
      <c r="AC259" s="88" t="str">
        <f t="shared" si="40"/>
        <v/>
      </c>
      <c r="AD259" s="88" t="str">
        <f t="shared" si="40"/>
        <v/>
      </c>
      <c r="AE259" s="88" t="str">
        <f t="shared" si="40"/>
        <v/>
      </c>
      <c r="AF259" s="88" t="str">
        <f t="shared" si="40"/>
        <v/>
      </c>
      <c r="AG259" s="47"/>
      <c r="AH259" s="47"/>
      <c r="AJ259"/>
    </row>
    <row r="260" spans="1:36" x14ac:dyDescent="0.25"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J260"/>
    </row>
    <row r="261" spans="1:36" x14ac:dyDescent="0.25"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J261"/>
    </row>
    <row r="262" spans="1:36" x14ac:dyDescent="0.25"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J262"/>
    </row>
    <row r="263" spans="1:36" x14ac:dyDescent="0.25"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J263"/>
    </row>
    <row r="264" spans="1:36" x14ac:dyDescent="0.25"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J264"/>
    </row>
    <row r="265" spans="1:36" x14ac:dyDescent="0.25"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J265"/>
    </row>
    <row r="266" spans="1:36" x14ac:dyDescent="0.25"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J266"/>
    </row>
    <row r="490" spans="36:38" x14ac:dyDescent="0.25">
      <c r="AK490" s="1"/>
    </row>
    <row r="491" spans="36:38" x14ac:dyDescent="0.25">
      <c r="AK491" s="1"/>
      <c r="AL491" s="1"/>
    </row>
    <row r="492" spans="36:38" x14ac:dyDescent="0.25">
      <c r="AJ492"/>
    </row>
  </sheetData>
  <mergeCells count="48">
    <mergeCell ref="A231:B23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D214:AF220 B214:B220 B212:AF212 U233:AF233 B9:AF10 C99:AF105 Y11:AF11">
    <cfRule type="expression" dxfId="7044" priority="233">
      <formula>B$9&gt;=20/24</formula>
    </cfRule>
    <cfRule type="expression" dxfId="7043" priority="234">
      <formula>AND(B$9&gt;=14/24,B$9&lt;20/24)</formula>
    </cfRule>
    <cfRule type="expression" dxfId="7042" priority="235">
      <formula>AND(B$9&gt;=8/24,B$9&lt;14/24)</formula>
    </cfRule>
    <cfRule type="expression" dxfId="7041" priority="236">
      <formula>B$9&lt;8/24</formula>
    </cfRule>
  </conditionalFormatting>
  <conditionalFormatting sqref="AL4:AL6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AB37:AF37">
    <cfRule type="expression" dxfId="7040" priority="228">
      <formula>AB$9&gt;=20/24</formula>
    </cfRule>
    <cfRule type="expression" dxfId="7039" priority="229">
      <formula>AND(AB$9&gt;=14/24,AB$9&lt;20/24)</formula>
    </cfRule>
    <cfRule type="expression" dxfId="7038" priority="230">
      <formula>AND(AB$9&gt;=8/24,AB$9&lt;14/24)</formula>
    </cfRule>
    <cfRule type="expression" dxfId="7037" priority="231">
      <formula>AB$9&lt;8/24</formula>
    </cfRule>
  </conditionalFormatting>
  <conditionalFormatting sqref="AG55 AB37:AF37 C11:D16 E16:N16 B12:B16 J11:Y11 O12:Y16 Z11:AF16 B35:AF35">
    <cfRule type="expression" dxfId="7036" priority="227">
      <formula>B11&gt;$AG11</formula>
    </cfRule>
  </conditionalFormatting>
  <conditionalFormatting sqref="A89:A102 A11:A14 A49:A76 A85:A87 A78:A79 A190:A220 A16:A30 A36:A47 A106:A177 A81:A83 A32:A33">
    <cfRule type="expression" dxfId="7035" priority="226">
      <formula>$AH11=0</formula>
    </cfRule>
  </conditionalFormatting>
  <conditionalFormatting sqref="A103">
    <cfRule type="expression" dxfId="7034" priority="225">
      <formula>$AH103=0</formula>
    </cfRule>
  </conditionalFormatting>
  <conditionalFormatting sqref="AL33">
    <cfRule type="iconSet" priority="224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7033" priority="223">
      <formula>$AH35=0</formula>
    </cfRule>
  </conditionalFormatting>
  <conditionalFormatting sqref="A88">
    <cfRule type="expression" dxfId="7032" priority="222">
      <formula>$AH88=0</formula>
    </cfRule>
  </conditionalFormatting>
  <conditionalFormatting sqref="A15">
    <cfRule type="expression" dxfId="7031" priority="221">
      <formula>$AH15=0</formula>
    </cfRule>
  </conditionalFormatting>
  <conditionalFormatting sqref="A184:A189">
    <cfRule type="expression" dxfId="7030" priority="220">
      <formula>$AH184=0</formula>
    </cfRule>
  </conditionalFormatting>
  <conditionalFormatting sqref="A178:A183">
    <cfRule type="expression" dxfId="7029" priority="219">
      <formula>$AH178=0</formula>
    </cfRule>
  </conditionalFormatting>
  <conditionalFormatting sqref="A48">
    <cfRule type="expression" dxfId="7028" priority="218">
      <formula>$AH48=0</formula>
    </cfRule>
  </conditionalFormatting>
  <conditionalFormatting sqref="A84">
    <cfRule type="expression" dxfId="7027" priority="217">
      <formula>$AH84=0</formula>
    </cfRule>
  </conditionalFormatting>
  <conditionalFormatting sqref="A77">
    <cfRule type="expression" dxfId="7026" priority="216">
      <formula>$AH77=0</formula>
    </cfRule>
  </conditionalFormatting>
  <conditionalFormatting sqref="C89:AF89">
    <cfRule type="expression" dxfId="7025" priority="212">
      <formula>C$9&gt;=20/24</formula>
    </cfRule>
    <cfRule type="expression" dxfId="7024" priority="213">
      <formula>AND(C$9&gt;=14/24,C$9&lt;20/24)</formula>
    </cfRule>
    <cfRule type="expression" dxfId="7023" priority="214">
      <formula>AND(C$9&gt;=8/24,C$9&lt;14/24)</formula>
    </cfRule>
    <cfRule type="expression" dxfId="7022" priority="215">
      <formula>C$9&lt;8/24</formula>
    </cfRule>
  </conditionalFormatting>
  <conditionalFormatting sqref="AL34">
    <cfRule type="iconSet" priority="21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021" priority="239">
      <formula>C$9&gt;=20/24</formula>
    </cfRule>
    <cfRule type="expression" dxfId="7020" priority="240">
      <formula>AND(C$9&gt;=14/24,C$9&lt;20/24)</formula>
    </cfRule>
    <cfRule type="expression" dxfId="7019" priority="241">
      <formula>AND(C$9&gt;=8/24,C$9&lt;14/24)</formula>
    </cfRule>
    <cfRule type="expression" dxfId="7018" priority="242">
      <formula>C$9&lt;8/24</formula>
    </cfRule>
  </conditionalFormatting>
  <conditionalFormatting sqref="A221">
    <cfRule type="expression" dxfId="7017" priority="243">
      <formula>$AH221=0</formula>
    </cfRule>
  </conditionalFormatting>
  <conditionalFormatting sqref="AG233">
    <cfRule type="expression" dxfId="7016" priority="244">
      <formula>B$9&gt;=20/24</formula>
    </cfRule>
    <cfRule type="expression" dxfId="7015" priority="245">
      <formula>AND(B$9&gt;=14/24,B$9&lt;20/24)</formula>
    </cfRule>
    <cfRule type="expression" dxfId="7014" priority="246">
      <formula>AND(B$9&gt;=8/24,B$9&lt;14/24)</formula>
    </cfRule>
    <cfRule type="expression" dxfId="7013" priority="247">
      <formula>B$9&lt;8/24</formula>
    </cfRule>
  </conditionalFormatting>
  <conditionalFormatting sqref="S8">
    <cfRule type="expression" dxfId="7012" priority="207">
      <formula>U$9&gt;=20/24</formula>
    </cfRule>
    <cfRule type="expression" dxfId="7011" priority="208">
      <formula>AND(U$9&gt;=14/24,U$9&lt;20/24)</formula>
    </cfRule>
    <cfRule type="expression" dxfId="7010" priority="209">
      <formula>AND(U$9&gt;=8/24,U$9&lt;14/24)</formula>
    </cfRule>
    <cfRule type="expression" dxfId="7009" priority="210">
      <formula>U$9&lt;8/24</formula>
    </cfRule>
  </conditionalFormatting>
  <conditionalFormatting sqref="AB8">
    <cfRule type="expression" dxfId="7008" priority="203">
      <formula>AD$9&gt;=20/24</formula>
    </cfRule>
    <cfRule type="expression" dxfId="7007" priority="204">
      <formula>AND(AD$9&gt;=14/24,AD$9&lt;20/24)</formula>
    </cfRule>
    <cfRule type="expression" dxfId="7006" priority="205">
      <formula>AND(AD$9&gt;=8/24,AD$9&lt;14/24)</formula>
    </cfRule>
    <cfRule type="expression" dxfId="7005" priority="206">
      <formula>AD$9&lt;8/24</formula>
    </cfRule>
  </conditionalFormatting>
  <conditionalFormatting sqref="AH233:AX233">
    <cfRule type="expression" dxfId="7004" priority="248">
      <formula>AG$9&gt;=20/24</formula>
    </cfRule>
    <cfRule type="expression" dxfId="7003" priority="249">
      <formula>AND(AG$9&gt;=14/24,AG$9&lt;20/24)</formula>
    </cfRule>
    <cfRule type="expression" dxfId="7002" priority="250">
      <formula>AND(AG$9&gt;=8/24,AG$9&lt;14/24)</formula>
    </cfRule>
    <cfRule type="expression" dxfId="7001" priority="251">
      <formula>AG$9&lt;8/24</formula>
    </cfRule>
  </conditionalFormatting>
  <conditionalFormatting sqref="T233">
    <cfRule type="expression" dxfId="7000" priority="252">
      <formula>AX$9&gt;=20/24</formula>
    </cfRule>
    <cfRule type="expression" dxfId="6999" priority="253">
      <formula>AND(AX$9&gt;=14/24,AX$9&lt;20/24)</formula>
    </cfRule>
    <cfRule type="expression" dxfId="6998" priority="254">
      <formula>AND(AX$9&gt;=8/24,AX$9&lt;14/24)</formula>
    </cfRule>
    <cfRule type="expression" dxfId="6997" priority="255">
      <formula>AX$9&lt;8/24</formula>
    </cfRule>
  </conditionalFormatting>
  <conditionalFormatting sqref="A104:A105">
    <cfRule type="expression" dxfId="6996" priority="202">
      <formula>$AH104=0</formula>
    </cfRule>
  </conditionalFormatting>
  <conditionalFormatting sqref="E11:I11 E44:L45 AB44:AF45 C61:AF61">
    <cfRule type="expression" dxfId="6995" priority="198">
      <formula>C$9&gt;=20/24</formula>
    </cfRule>
    <cfRule type="expression" dxfId="6994" priority="199">
      <formula>AND(C$9&gt;=14/24,C$9&lt;20/24)</formula>
    </cfRule>
    <cfRule type="expression" dxfId="6993" priority="200">
      <formula>AND(C$9&gt;=8/24,C$9&lt;14/24)</formula>
    </cfRule>
    <cfRule type="expression" dxfId="6992" priority="201">
      <formula>C$9&lt;8/24</formula>
    </cfRule>
  </conditionalFormatting>
  <conditionalFormatting sqref="E43:L43 AB43:AF43 S43:W43">
    <cfRule type="expression" dxfId="6991" priority="194">
      <formula>E$9&gt;=20/24</formula>
    </cfRule>
    <cfRule type="expression" dxfId="6990" priority="195">
      <formula>AND(E$9&gt;=14/24,E$9&lt;20/24)</formula>
    </cfRule>
    <cfRule type="expression" dxfId="6989" priority="196">
      <formula>AND(E$9&gt;=8/24,E$9&lt;14/24)</formula>
    </cfRule>
    <cfRule type="expression" dxfId="6988" priority="197">
      <formula>E$9&lt;8/24</formula>
    </cfRule>
  </conditionalFormatting>
  <conditionalFormatting sqref="E11:I11 E43:L45 AB43:AF45 S43:W43">
    <cfRule type="expression" dxfId="6987" priority="193">
      <formula>E11&gt;$AG11</formula>
    </cfRule>
  </conditionalFormatting>
  <conditionalFormatting sqref="M11:R11 C36:R36 C86:AF86 C62:AE63 C76:AF76 M68:M70 C71:M71 C66:M67 N66:O71 C65:O65 P65:R71 C64:R64 E12:R14 M37:R37 S11:X14 C57:AF59 S36:AA37 C90:AF96 AB73:AF75 Y12:AF14 S64:AE71 M16:AF16 M18:AF22 M24:AF26 M28:AF30 AB36:AF36 M32:AF32 AF62:AF71">
    <cfRule type="expression" dxfId="6986" priority="189">
      <formula>C$9&gt;=20/24</formula>
    </cfRule>
    <cfRule type="expression" dxfId="6985" priority="190">
      <formula>AND(C$9&gt;=14/24,C$9&lt;20/24)</formula>
    </cfRule>
    <cfRule type="expression" dxfId="6984" priority="191">
      <formula>AND(C$9&gt;=8/24,C$9&lt;14/24)</formula>
    </cfRule>
    <cfRule type="expression" dxfId="6983" priority="192">
      <formula>C$9&lt;8/24</formula>
    </cfRule>
  </conditionalFormatting>
  <conditionalFormatting sqref="M33:AF33">
    <cfRule type="expression" dxfId="6982" priority="185">
      <formula>M$9&gt;=20/24</formula>
    </cfRule>
    <cfRule type="expression" dxfId="6981" priority="186">
      <formula>AND(M$9&gt;=14/24,M$9&lt;20/24)</formula>
    </cfRule>
    <cfRule type="expression" dxfId="6980" priority="187">
      <formula>AND(M$9&gt;=8/24,M$9&lt;14/24)</formula>
    </cfRule>
    <cfRule type="expression" dxfId="6979" priority="188">
      <formula>M$9&lt;8/24</formula>
    </cfRule>
  </conditionalFormatting>
  <conditionalFormatting sqref="E46:G47 F48:G48 E12:N15 H46:L48 M11:X11 C55:AF55 C57:AF59 C36:AA37 AB46:AF47 M18:AF22 AB36:AF36 M32:AF33 M24:AF30">
    <cfRule type="expression" dxfId="6978" priority="184">
      <formula>C11&gt;$AG11</formula>
    </cfRule>
  </conditionalFormatting>
  <conditionalFormatting sqref="M35:AF35">
    <cfRule type="expression" dxfId="6977" priority="180">
      <formula>M$9&gt;=20/24</formula>
    </cfRule>
    <cfRule type="expression" dxfId="6976" priority="181">
      <formula>AND(M$9&gt;=14/24,M$9&lt;20/24)</formula>
    </cfRule>
    <cfRule type="expression" dxfId="6975" priority="182">
      <formula>AND(M$9&gt;=8/24,M$9&lt;14/24)</formula>
    </cfRule>
    <cfRule type="expression" dxfId="6974" priority="183">
      <formula>M$9&lt;8/24</formula>
    </cfRule>
  </conditionalFormatting>
  <conditionalFormatting sqref="E15:AF15">
    <cfRule type="expression" dxfId="6973" priority="176">
      <formula>E$9&gt;=20/24</formula>
    </cfRule>
    <cfRule type="expression" dxfId="6972" priority="177">
      <formula>AND(E$9&gt;=14/24,E$9&lt;20/24)</formula>
    </cfRule>
    <cfRule type="expression" dxfId="6971" priority="178">
      <formula>AND(E$9&gt;=8/24,E$9&lt;14/24)</formula>
    </cfRule>
    <cfRule type="expression" dxfId="6970" priority="179">
      <formula>E$9&lt;8/24</formula>
    </cfRule>
  </conditionalFormatting>
  <conditionalFormatting sqref="M34:AF34">
    <cfRule type="expression" dxfId="6969" priority="172">
      <formula>M$9&gt;=20/24</formula>
    </cfRule>
    <cfRule type="expression" dxfId="6968" priority="173">
      <formula>AND(M$9&gt;=14/24,M$9&lt;20/24)</formula>
    </cfRule>
    <cfRule type="expression" dxfId="6967" priority="174">
      <formula>AND(M$9&gt;=8/24,M$9&lt;14/24)</formula>
    </cfRule>
    <cfRule type="expression" dxfId="6966" priority="175">
      <formula>M$9&lt;8/24</formula>
    </cfRule>
  </conditionalFormatting>
  <conditionalFormatting sqref="M34:AF34">
    <cfRule type="expression" dxfId="6965" priority="171">
      <formula>M34&gt;$AG34</formula>
    </cfRule>
  </conditionalFormatting>
  <conditionalFormatting sqref="AB48:AF49">
    <cfRule type="expression" dxfId="6964" priority="163">
      <formula>AB$9&gt;=20/24</formula>
    </cfRule>
    <cfRule type="expression" dxfId="6963" priority="164">
      <formula>AND(AB$9&gt;=14/24,AB$9&lt;20/24)</formula>
    </cfRule>
    <cfRule type="expression" dxfId="6962" priority="165">
      <formula>AND(AB$9&gt;=8/24,AB$9&lt;14/24)</formula>
    </cfRule>
    <cfRule type="expression" dxfId="6961" priority="166">
      <formula>AB$9&lt;8/24</formula>
    </cfRule>
  </conditionalFormatting>
  <conditionalFormatting sqref="AB48:AF49">
    <cfRule type="expression" dxfId="6960" priority="162">
      <formula>AB48&gt;$AG48</formula>
    </cfRule>
  </conditionalFormatting>
  <conditionalFormatting sqref="M43:R54 S44:W54 X46:AA54 AB50:AF54">
    <cfRule type="expression" dxfId="6959" priority="158">
      <formula>M$9&gt;=20/24</formula>
    </cfRule>
    <cfRule type="expression" dxfId="6958" priority="159">
      <formula>AND(M$9&gt;=14/24,M$9&lt;20/24)</formula>
    </cfRule>
    <cfRule type="expression" dxfId="6957" priority="160">
      <formula>AND(M$9&gt;=8/24,M$9&lt;14/24)</formula>
    </cfRule>
    <cfRule type="expression" dxfId="6956" priority="161">
      <formula>M$9&lt;8/24</formula>
    </cfRule>
  </conditionalFormatting>
  <conditionalFormatting sqref="M43:R54 S44:W54 X46:AA54 AB50:AF54">
    <cfRule type="expression" dxfId="6955" priority="157">
      <formula>M43&gt;$AG43</formula>
    </cfRule>
  </conditionalFormatting>
  <conditionalFormatting sqref="M27:AF27">
    <cfRule type="expression" dxfId="6954" priority="153">
      <formula>M$9&gt;=20/24</formula>
    </cfRule>
    <cfRule type="expression" dxfId="6953" priority="154">
      <formula>AND(M$9&gt;=14/24,M$9&lt;20/24)</formula>
    </cfRule>
    <cfRule type="expression" dxfId="6952" priority="155">
      <formula>AND(M$9&gt;=8/24,M$9&lt;14/24)</formula>
    </cfRule>
    <cfRule type="expression" dxfId="6951" priority="156">
      <formula>M$9&lt;8/24</formula>
    </cfRule>
  </conditionalFormatting>
  <conditionalFormatting sqref="C11:D14 C16:L16 C18:L22 C24:L30 C32:L32 C17:AF17 C23:AF23">
    <cfRule type="expression" dxfId="6950" priority="149">
      <formula>C$9&gt;=20/24</formula>
    </cfRule>
    <cfRule type="expression" dxfId="6949" priority="150">
      <formula>AND(C$9&gt;=14/24,C$9&lt;20/24)</formula>
    </cfRule>
    <cfRule type="expression" dxfId="6948" priority="151">
      <formula>AND(C$9&gt;=8/24,C$9&lt;14/24)</formula>
    </cfRule>
    <cfRule type="expression" dxfId="6947" priority="152">
      <formula>C$9&lt;8/24</formula>
    </cfRule>
  </conditionalFormatting>
  <conditionalFormatting sqref="C33:L33">
    <cfRule type="expression" dxfId="6946" priority="145">
      <formula>C$9&gt;=20/24</formula>
    </cfRule>
    <cfRule type="expression" dxfId="6945" priority="146">
      <formula>AND(C$9&gt;=14/24,C$9&lt;20/24)</formula>
    </cfRule>
    <cfRule type="expression" dxfId="6944" priority="147">
      <formula>AND(C$9&gt;=8/24,C$9&lt;14/24)</formula>
    </cfRule>
    <cfRule type="expression" dxfId="6943" priority="148">
      <formula>C$9&lt;8/24</formula>
    </cfRule>
  </conditionalFormatting>
  <conditionalFormatting sqref="C18:L22 C24:L30 C32:L33 C17:AF17 C23:AF23">
    <cfRule type="expression" dxfId="6942" priority="144">
      <formula>C17&gt;$AG17</formula>
    </cfRule>
  </conditionalFormatting>
  <conditionalFormatting sqref="C35:L35">
    <cfRule type="expression" dxfId="6941" priority="140">
      <formula>C$9&gt;=20/24</formula>
    </cfRule>
    <cfRule type="expression" dxfId="6940" priority="141">
      <formula>AND(C$9&gt;=14/24,C$9&lt;20/24)</formula>
    </cfRule>
    <cfRule type="expression" dxfId="6939" priority="142">
      <formula>AND(C$9&gt;=8/24,C$9&lt;14/24)</formula>
    </cfRule>
    <cfRule type="expression" dxfId="6938" priority="143">
      <formula>C$9&lt;8/24</formula>
    </cfRule>
  </conditionalFormatting>
  <conditionalFormatting sqref="C15:D15">
    <cfRule type="expression" dxfId="6937" priority="136">
      <formula>C$9&gt;=20/24</formula>
    </cfRule>
    <cfRule type="expression" dxfId="6936" priority="137">
      <formula>AND(C$9&gt;=14/24,C$9&lt;20/24)</formula>
    </cfRule>
    <cfRule type="expression" dxfId="6935" priority="138">
      <formula>AND(C$9&gt;=8/24,C$9&lt;14/24)</formula>
    </cfRule>
    <cfRule type="expression" dxfId="6934" priority="139">
      <formula>C$9&lt;8/24</formula>
    </cfRule>
  </conditionalFormatting>
  <conditionalFormatting sqref="C34:L34">
    <cfRule type="expression" dxfId="6933" priority="132">
      <formula>C$9&gt;=20/24</formula>
    </cfRule>
    <cfRule type="expression" dxfId="6932" priority="133">
      <formula>AND(C$9&gt;=14/24,C$9&lt;20/24)</formula>
    </cfRule>
    <cfRule type="expression" dxfId="6931" priority="134">
      <formula>AND(C$9&gt;=8/24,C$9&lt;14/24)</formula>
    </cfRule>
    <cfRule type="expression" dxfId="6930" priority="135">
      <formula>C$9&lt;8/24</formula>
    </cfRule>
  </conditionalFormatting>
  <conditionalFormatting sqref="C34:L34">
    <cfRule type="expression" dxfId="6929" priority="131">
      <formula>C34&gt;$AG34</formula>
    </cfRule>
  </conditionalFormatting>
  <conditionalFormatting sqref="C44:D45">
    <cfRule type="expression" dxfId="6928" priority="127">
      <formula>C$9&gt;=20/24</formula>
    </cfRule>
    <cfRule type="expression" dxfId="6927" priority="128">
      <formula>AND(C$9&gt;=14/24,C$9&lt;20/24)</formula>
    </cfRule>
    <cfRule type="expression" dxfId="6926" priority="129">
      <formula>AND(C$9&gt;=8/24,C$9&lt;14/24)</formula>
    </cfRule>
    <cfRule type="expression" dxfId="6925" priority="130">
      <formula>C$9&lt;8/24</formula>
    </cfRule>
  </conditionalFormatting>
  <conditionalFormatting sqref="C43:D43">
    <cfRule type="expression" dxfId="6924" priority="123">
      <formula>C$9&gt;=20/24</formula>
    </cfRule>
    <cfRule type="expression" dxfId="6923" priority="124">
      <formula>AND(C$9&gt;=14/24,C$9&lt;20/24)</formula>
    </cfRule>
    <cfRule type="expression" dxfId="6922" priority="125">
      <formula>AND(C$9&gt;=8/24,C$9&lt;14/24)</formula>
    </cfRule>
    <cfRule type="expression" dxfId="6921" priority="126">
      <formula>C$9&lt;8/24</formula>
    </cfRule>
  </conditionalFormatting>
  <conditionalFormatting sqref="C43:D45">
    <cfRule type="expression" dxfId="6920" priority="122">
      <formula>C43&gt;$AG43</formula>
    </cfRule>
  </conditionalFormatting>
  <conditionalFormatting sqref="C68:L70">
    <cfRule type="expression" dxfId="6919" priority="118">
      <formula>C$9&gt;=20/24</formula>
    </cfRule>
    <cfRule type="expression" dxfId="6918" priority="119">
      <formula>AND(C$9&gt;=14/24,C$9&lt;20/24)</formula>
    </cfRule>
    <cfRule type="expression" dxfId="6917" priority="120">
      <formula>AND(C$9&gt;=8/24,C$9&lt;14/24)</formula>
    </cfRule>
    <cfRule type="expression" dxfId="6916" priority="121">
      <formula>C$9&lt;8/24</formula>
    </cfRule>
  </conditionalFormatting>
  <conditionalFormatting sqref="C46:D47">
    <cfRule type="expression" dxfId="6915" priority="117">
      <formula>C46&gt;$AG46</formula>
    </cfRule>
  </conditionalFormatting>
  <conditionalFormatting sqref="C48:E54 F49:L54">
    <cfRule type="expression" dxfId="6914" priority="113">
      <formula>C$9&gt;=20/24</formula>
    </cfRule>
    <cfRule type="expression" dxfId="6913" priority="114">
      <formula>AND(C$9&gt;=14/24,C$9&lt;20/24)</formula>
    </cfRule>
    <cfRule type="expression" dxfId="6912" priority="115">
      <formula>AND(C$9&gt;=8/24,C$9&lt;14/24)</formula>
    </cfRule>
    <cfRule type="expression" dxfId="6911" priority="116">
      <formula>C$9&lt;8/24</formula>
    </cfRule>
  </conditionalFormatting>
  <conditionalFormatting sqref="C48:E54 F49:L54">
    <cfRule type="expression" dxfId="6910" priority="112">
      <formula>C48&gt;$AG48</formula>
    </cfRule>
  </conditionalFormatting>
  <conditionalFormatting sqref="X44:AA45">
    <cfRule type="expression" dxfId="6909" priority="108">
      <formula>X$9&gt;=20/24</formula>
    </cfRule>
    <cfRule type="expression" dxfId="6908" priority="109">
      <formula>AND(X$9&gt;=14/24,X$9&lt;20/24)</formula>
    </cfRule>
    <cfRule type="expression" dxfId="6907" priority="110">
      <formula>AND(X$9&gt;=8/24,X$9&lt;14/24)</formula>
    </cfRule>
    <cfRule type="expression" dxfId="6906" priority="111">
      <formula>X$9&lt;8/24</formula>
    </cfRule>
  </conditionalFormatting>
  <conditionalFormatting sqref="X43:AA43">
    <cfRule type="expression" dxfId="6905" priority="104">
      <formula>X$9&gt;=20/24</formula>
    </cfRule>
    <cfRule type="expression" dxfId="6904" priority="105">
      <formula>AND(X$9&gt;=14/24,X$9&lt;20/24)</formula>
    </cfRule>
    <cfRule type="expression" dxfId="6903" priority="106">
      <formula>AND(X$9&gt;=8/24,X$9&lt;14/24)</formula>
    </cfRule>
    <cfRule type="expression" dxfId="6902" priority="107">
      <formula>X$9&lt;8/24</formula>
    </cfRule>
  </conditionalFormatting>
  <conditionalFormatting sqref="X43:AA45">
    <cfRule type="expression" dxfId="6901" priority="103">
      <formula>X43&gt;$AG43</formula>
    </cfRule>
  </conditionalFormatting>
  <conditionalFormatting sqref="B99:B105 B11 B78:AF78 B87:AF87">
    <cfRule type="expression" dxfId="6900" priority="99">
      <formula>B$9&gt;=20/24</formula>
    </cfRule>
    <cfRule type="expression" dxfId="6899" priority="100">
      <formula>AND(B$9&gt;=14/24,B$9&lt;20/24)</formula>
    </cfRule>
    <cfRule type="expression" dxfId="6898" priority="101">
      <formula>AND(B$9&gt;=8/24,B$9&lt;14/24)</formula>
    </cfRule>
    <cfRule type="expression" dxfId="6897" priority="102">
      <formula>B$9&lt;8/24</formula>
    </cfRule>
  </conditionalFormatting>
  <conditionalFormatting sqref="B37">
    <cfRule type="expression" dxfId="6896" priority="95">
      <formula>B$9&gt;=20/24</formula>
    </cfRule>
    <cfRule type="expression" dxfId="6895" priority="96">
      <formula>AND(B$9&gt;=14/24,B$9&lt;20/24)</formula>
    </cfRule>
    <cfRule type="expression" dxfId="6894" priority="97">
      <formula>AND(B$9&gt;=8/24,B$9&lt;14/24)</formula>
    </cfRule>
    <cfRule type="expression" dxfId="6893" priority="98">
      <formula>B$9&lt;8/24</formula>
    </cfRule>
  </conditionalFormatting>
  <conditionalFormatting sqref="B37 B11">
    <cfRule type="expression" dxfId="6892" priority="94">
      <formula>B11&gt;$AG11</formula>
    </cfRule>
  </conditionalFormatting>
  <conditionalFormatting sqref="B89">
    <cfRule type="expression" dxfId="6891" priority="90">
      <formula>B$9&gt;=20/24</formula>
    </cfRule>
    <cfRule type="expression" dxfId="6890" priority="91">
      <formula>AND(B$9&gt;=14/24,B$9&lt;20/24)</formula>
    </cfRule>
    <cfRule type="expression" dxfId="6889" priority="92">
      <formula>AND(B$9&gt;=8/24,B$9&lt;14/24)</formula>
    </cfRule>
    <cfRule type="expression" dxfId="6888" priority="93">
      <formula>B$9&lt;8/24</formula>
    </cfRule>
  </conditionalFormatting>
  <conditionalFormatting sqref="B44:B45 B36 B61">
    <cfRule type="expression" dxfId="6887" priority="86">
      <formula>B$9&gt;=20/24</formula>
    </cfRule>
    <cfRule type="expression" dxfId="6886" priority="87">
      <formula>AND(B$9&gt;=14/24,B$9&lt;20/24)</formula>
    </cfRule>
    <cfRule type="expression" dxfId="6885" priority="88">
      <formula>AND(B$9&gt;=8/24,B$9&lt;14/24)</formula>
    </cfRule>
    <cfRule type="expression" dxfId="6884" priority="89">
      <formula>B$9&lt;8/24</formula>
    </cfRule>
  </conditionalFormatting>
  <conditionalFormatting sqref="B43">
    <cfRule type="expression" dxfId="6883" priority="82">
      <formula>B$9&gt;=20/24</formula>
    </cfRule>
    <cfRule type="expression" dxfId="6882" priority="83">
      <formula>AND(B$9&gt;=14/24,B$9&lt;20/24)</formula>
    </cfRule>
    <cfRule type="expression" dxfId="6881" priority="84">
      <formula>AND(B$9&gt;=8/24,B$9&lt;14/24)</formula>
    </cfRule>
    <cfRule type="expression" dxfId="6880" priority="85">
      <formula>B$9&lt;8/24</formula>
    </cfRule>
  </conditionalFormatting>
  <conditionalFormatting sqref="B43:B45 B36">
    <cfRule type="expression" dxfId="6879" priority="81">
      <formula>B36&gt;$AG36</formula>
    </cfRule>
  </conditionalFormatting>
  <conditionalFormatting sqref="B90:B96 B12:B14 B16 B28:B30 B18:B22 B24:B26 B57:B60 B62:B71 B73:B77 B79:AF79 B86 C60:AG60 C77:AG77 B88:AF88 B32 C73:AA75">
    <cfRule type="expression" dxfId="6878" priority="77">
      <formula>B$9&gt;=20/24</formula>
    </cfRule>
    <cfRule type="expression" dxfId="6877" priority="78">
      <formula>AND(B$9&gt;=14/24,B$9&lt;20/24)</formula>
    </cfRule>
    <cfRule type="expression" dxfId="6876" priority="79">
      <formula>AND(B$9&gt;=8/24,B$9&lt;14/24)</formula>
    </cfRule>
    <cfRule type="expression" dxfId="6875" priority="80">
      <formula>B$9&lt;8/24</formula>
    </cfRule>
  </conditionalFormatting>
  <conditionalFormatting sqref="B33">
    <cfRule type="expression" dxfId="6874" priority="73">
      <formula>B$9&gt;=20/24</formula>
    </cfRule>
    <cfRule type="expression" dxfId="6873" priority="74">
      <formula>AND(B$9&gt;=14/24,B$9&lt;20/24)</formula>
    </cfRule>
    <cfRule type="expression" dxfId="6872" priority="75">
      <formula>AND(B$9&gt;=8/24,B$9&lt;14/24)</formula>
    </cfRule>
    <cfRule type="expression" dxfId="6871" priority="76">
      <formula>B$9&lt;8/24</formula>
    </cfRule>
  </conditionalFormatting>
  <conditionalFormatting sqref="B46:B47 B18:B22 B24:B30 B55:B60 C56:AG56 C60:AG60 B32:B33 B38:AG38">
    <cfRule type="expression" dxfId="6870" priority="72">
      <formula>B18&gt;$AG18</formula>
    </cfRule>
  </conditionalFormatting>
  <conditionalFormatting sqref="B35">
    <cfRule type="expression" dxfId="6869" priority="68">
      <formula>B$9&gt;=20/24</formula>
    </cfRule>
    <cfRule type="expression" dxfId="6868" priority="69">
      <formula>AND(B$9&gt;=14/24,B$9&lt;20/24)</formula>
    </cfRule>
    <cfRule type="expression" dxfId="6867" priority="70">
      <formula>AND(B$9&gt;=8/24,B$9&lt;14/24)</formula>
    </cfRule>
    <cfRule type="expression" dxfId="6866" priority="71">
      <formula>B$9&lt;8/24</formula>
    </cfRule>
  </conditionalFormatting>
  <conditionalFormatting sqref="B15">
    <cfRule type="expression" dxfId="6865" priority="64">
      <formula>B$9&gt;=20/24</formula>
    </cfRule>
    <cfRule type="expression" dxfId="6864" priority="65">
      <formula>AND(B$9&gt;=14/24,B$9&lt;20/24)</formula>
    </cfRule>
    <cfRule type="expression" dxfId="6863" priority="66">
      <formula>AND(B$9&gt;=8/24,B$9&lt;14/24)</formula>
    </cfRule>
    <cfRule type="expression" dxfId="6862" priority="67">
      <formula>B$9&lt;8/24</formula>
    </cfRule>
  </conditionalFormatting>
  <conditionalFormatting sqref="B34">
    <cfRule type="expression" dxfId="6861" priority="60">
      <formula>B$9&gt;=20/24</formula>
    </cfRule>
    <cfRule type="expression" dxfId="6860" priority="61">
      <formula>AND(B$9&gt;=14/24,B$9&lt;20/24)</formula>
    </cfRule>
    <cfRule type="expression" dxfId="6859" priority="62">
      <formula>AND(B$9&gt;=8/24,B$9&lt;14/24)</formula>
    </cfRule>
    <cfRule type="expression" dxfId="6858" priority="63">
      <formula>B$9&lt;8/24</formula>
    </cfRule>
  </conditionalFormatting>
  <conditionalFormatting sqref="B34">
    <cfRule type="expression" dxfId="6857" priority="59">
      <formula>B34&gt;$AG34</formula>
    </cfRule>
  </conditionalFormatting>
  <conditionalFormatting sqref="B48:B54">
    <cfRule type="expression" dxfId="6856" priority="55">
      <formula>B$9&gt;=20/24</formula>
    </cfRule>
    <cfRule type="expression" dxfId="6855" priority="56">
      <formula>AND(B$9&gt;=14/24,B$9&lt;20/24)</formula>
    </cfRule>
    <cfRule type="expression" dxfId="6854" priority="57">
      <formula>AND(B$9&gt;=8/24,B$9&lt;14/24)</formula>
    </cfRule>
    <cfRule type="expression" dxfId="6853" priority="58">
      <formula>B$9&lt;8/24</formula>
    </cfRule>
  </conditionalFormatting>
  <conditionalFormatting sqref="B48:B54">
    <cfRule type="expression" dxfId="6852" priority="54">
      <formula>B48&gt;$AG48</formula>
    </cfRule>
  </conditionalFormatting>
  <conditionalFormatting sqref="B27">
    <cfRule type="expression" dxfId="6851" priority="50">
      <formula>B$9&gt;=20/24</formula>
    </cfRule>
    <cfRule type="expression" dxfId="6850" priority="51">
      <formula>AND(B$9&gt;=14/24,B$9&lt;20/24)</formula>
    </cfRule>
    <cfRule type="expression" dxfId="6849" priority="52">
      <formula>AND(B$9&gt;=8/24,B$9&lt;14/24)</formula>
    </cfRule>
    <cfRule type="expression" dxfId="6848" priority="53">
      <formula>B$9&lt;8/24</formula>
    </cfRule>
  </conditionalFormatting>
  <conditionalFormatting sqref="B17 B23">
    <cfRule type="expression" dxfId="6847" priority="46">
      <formula>B$9&gt;=20/24</formula>
    </cfRule>
    <cfRule type="expression" dxfId="6846" priority="47">
      <formula>AND(B$9&gt;=14/24,B$9&lt;20/24)</formula>
    </cfRule>
    <cfRule type="expression" dxfId="6845" priority="48">
      <formula>AND(B$9&gt;=8/24,B$9&lt;14/24)</formula>
    </cfRule>
    <cfRule type="expression" dxfId="6844" priority="49">
      <formula>B$9&lt;8/24</formula>
    </cfRule>
  </conditionalFormatting>
  <conditionalFormatting sqref="B17 B23">
    <cfRule type="expression" dxfId="6843" priority="45">
      <formula>B17&gt;$AG17</formula>
    </cfRule>
  </conditionalFormatting>
  <conditionalFormatting sqref="A34">
    <cfRule type="expression" dxfId="6842" priority="44">
      <formula>$AH34=0</formula>
    </cfRule>
  </conditionalFormatting>
  <conditionalFormatting sqref="B72:AF72">
    <cfRule type="expression" dxfId="6841" priority="40">
      <formula>B$9&gt;=20/24</formula>
    </cfRule>
    <cfRule type="expression" dxfId="6840" priority="41">
      <formula>AND(B$9&gt;=14/24,B$9&lt;20/24)</formula>
    </cfRule>
    <cfRule type="expression" dxfId="6839" priority="42">
      <formula>AND(B$9&gt;=8/24,B$9&lt;14/24)</formula>
    </cfRule>
    <cfRule type="expression" dxfId="6838" priority="43">
      <formula>B$9&lt;8/24</formula>
    </cfRule>
  </conditionalFormatting>
  <conditionalFormatting sqref="B81:AF85">
    <cfRule type="expression" dxfId="6837" priority="36">
      <formula>B$9&gt;=20/24</formula>
    </cfRule>
    <cfRule type="expression" dxfId="6836" priority="37">
      <formula>AND(B$9&gt;=14/24,B$9&lt;20/24)</formula>
    </cfRule>
    <cfRule type="expression" dxfId="6835" priority="38">
      <formula>AND(B$9&gt;=8/24,B$9&lt;14/24)</formula>
    </cfRule>
    <cfRule type="expression" dxfId="6834" priority="39">
      <formula>B$9&lt;8/24</formula>
    </cfRule>
  </conditionalFormatting>
  <conditionalFormatting sqref="AL35 AL7:AL30 AL32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C39:AF41">
    <cfRule type="expression" dxfId="6833" priority="32">
      <formula>C$9&gt;=20/24</formula>
    </cfRule>
    <cfRule type="expression" dxfId="6832" priority="33">
      <formula>AND(C$9&gt;=14/24,C$9&lt;20/24)</formula>
    </cfRule>
    <cfRule type="expression" dxfId="6831" priority="34">
      <formula>AND(C$9&gt;=8/24,C$9&lt;14/24)</formula>
    </cfRule>
    <cfRule type="expression" dxfId="6830" priority="35">
      <formula>C$9&lt;8/24</formula>
    </cfRule>
  </conditionalFormatting>
  <conditionalFormatting sqref="C39:AF41">
    <cfRule type="expression" dxfId="6829" priority="31">
      <formula>C39&gt;$AG39</formula>
    </cfRule>
  </conditionalFormatting>
  <conditionalFormatting sqref="B39:B42 C42:AG42">
    <cfRule type="expression" dxfId="6828" priority="27">
      <formula>B$9&gt;=20/24</formula>
    </cfRule>
    <cfRule type="expression" dxfId="6827" priority="28">
      <formula>AND(B$9&gt;=14/24,B$9&lt;20/24)</formula>
    </cfRule>
    <cfRule type="expression" dxfId="6826" priority="29">
      <formula>AND(B$9&gt;=8/24,B$9&lt;14/24)</formula>
    </cfRule>
    <cfRule type="expression" dxfId="6825" priority="30">
      <formula>B$9&lt;8/24</formula>
    </cfRule>
  </conditionalFormatting>
  <conditionalFormatting sqref="B39:B42 C42:AG42">
    <cfRule type="expression" dxfId="6824" priority="26">
      <formula>B39&gt;$AG39</formula>
    </cfRule>
  </conditionalFormatting>
  <conditionalFormatting sqref="C97:AF97">
    <cfRule type="expression" dxfId="6823" priority="22">
      <formula>C$9&gt;=20/24</formula>
    </cfRule>
    <cfRule type="expression" dxfId="6822" priority="23">
      <formula>AND(C$9&gt;=14/24,C$9&lt;20/24)</formula>
    </cfRule>
    <cfRule type="expression" dxfId="6821" priority="24">
      <formula>AND(C$9&gt;=8/24,C$9&lt;14/24)</formula>
    </cfRule>
    <cfRule type="expression" dxfId="6820" priority="25">
      <formula>C$9&lt;8/24</formula>
    </cfRule>
  </conditionalFormatting>
  <conditionalFormatting sqref="B97">
    <cfRule type="expression" dxfId="6819" priority="18">
      <formula>B$9&gt;=20/24</formula>
    </cfRule>
    <cfRule type="expression" dxfId="6818" priority="19">
      <formula>AND(B$9&gt;=14/24,B$9&lt;20/24)</formula>
    </cfRule>
    <cfRule type="expression" dxfId="6817" priority="20">
      <formula>AND(B$9&gt;=8/24,B$9&lt;14/24)</formula>
    </cfRule>
    <cfRule type="expression" dxfId="6816" priority="21">
      <formula>B$9&lt;8/24</formula>
    </cfRule>
  </conditionalFormatting>
  <conditionalFormatting sqref="A80">
    <cfRule type="expression" dxfId="6815" priority="17">
      <formula>$AH80=0</formula>
    </cfRule>
  </conditionalFormatting>
  <conditionalFormatting sqref="B80:AF80">
    <cfRule type="expression" dxfId="6814" priority="13">
      <formula>B$9&gt;=20/24</formula>
    </cfRule>
    <cfRule type="expression" dxfId="6813" priority="14">
      <formula>AND(B$9&gt;=14/24,B$9&lt;20/24)</formula>
    </cfRule>
    <cfRule type="expression" dxfId="6812" priority="15">
      <formula>AND(B$9&gt;=8/24,B$9&lt;14/24)</formula>
    </cfRule>
    <cfRule type="expression" dxfId="6811" priority="16">
      <formula>B$9&lt;8/24</formula>
    </cfRule>
  </conditionalFormatting>
  <conditionalFormatting sqref="A31">
    <cfRule type="expression" dxfId="6810" priority="11">
      <formula>$AH31=0</formula>
    </cfRule>
  </conditionalFormatting>
  <conditionalFormatting sqref="AL31">
    <cfRule type="iconSet" priority="12">
      <iconSet iconSet="3TrafficLights2" reverse="1">
        <cfvo type="percent" val="0"/>
        <cfvo type="num" val="1"/>
        <cfvo type="num" val="1"/>
      </iconSet>
    </cfRule>
  </conditionalFormatting>
  <conditionalFormatting sqref="B31:AF31">
    <cfRule type="expression" dxfId="6809" priority="2">
      <formula>B$9&gt;=20/24</formula>
    </cfRule>
    <cfRule type="expression" dxfId="6808" priority="3">
      <formula>AND(B$9&gt;=14/24,B$9&lt;20/24)</formula>
    </cfRule>
    <cfRule type="expression" dxfId="6807" priority="4">
      <formula>AND(B$9&gt;=8/24,B$9&lt;14/24)</formula>
    </cfRule>
    <cfRule type="expression" dxfId="6806" priority="5">
      <formula>B$9&lt;8/24</formula>
    </cfRule>
  </conditionalFormatting>
  <conditionalFormatting sqref="B31:AF31">
    <cfRule type="expression" dxfId="6805" priority="1">
      <formula>B31&gt;$AG31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2"/>
  <sheetViews>
    <sheetView zoomScale="90" zoomScaleNormal="90" workbookViewId="0">
      <pane xSplit="1" ySplit="10" topLeftCell="B41" activePane="bottomRight" state="frozen"/>
      <selection activeCell="AF88" sqref="AF88"/>
      <selection pane="topRight" activeCell="AF88" sqref="AF88"/>
      <selection pane="bottomLeft" activeCell="AF88" sqref="AF88"/>
      <selection pane="bottomRight" activeCell="A91" sqref="A91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2079/02/2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("&amp;ROUND(B237,0)&amp;" MW)"&amp;"    IPP   = "&amp;ROUND(B232,0)&amp;" MW     NEA RoR = "&amp;ROUND(B233,0)&amp;" MWImport   = "&amp;ROUND(B235,0)&amp;" MW      KL1+KL2+K3 = "&amp;ROUND(B234,0) &amp;" MW    EXPORT = "&amp;ROUND(B236,0)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50.4</v>
      </c>
      <c r="C5" s="32">
        <f t="shared" si="0"/>
        <v>51.7</v>
      </c>
      <c r="D5" s="32">
        <f t="shared" si="0"/>
        <v>44.5</v>
      </c>
      <c r="E5" s="32">
        <f t="shared" si="0"/>
        <v>40.299999999999997</v>
      </c>
      <c r="F5" s="32">
        <f t="shared" si="0"/>
        <v>35.700000000000003</v>
      </c>
      <c r="G5" s="32">
        <f t="shared" si="0"/>
        <v>39.6</v>
      </c>
      <c r="H5" s="32">
        <f t="shared" si="0"/>
        <v>27</v>
      </c>
      <c r="I5" s="32">
        <f t="shared" si="0"/>
        <v>58.6</v>
      </c>
      <c r="J5" s="32">
        <f t="shared" si="0"/>
        <v>57</v>
      </c>
      <c r="K5" s="32">
        <f t="shared" si="0"/>
        <v>53</v>
      </c>
      <c r="L5" s="32">
        <f t="shared" si="0"/>
        <v>44</v>
      </c>
      <c r="M5" s="32">
        <f t="shared" si="0"/>
        <v>52.3</v>
      </c>
      <c r="N5" s="32">
        <f t="shared" si="0"/>
        <v>73.900000000000006</v>
      </c>
      <c r="O5" s="32">
        <f t="shared" si="0"/>
        <v>77.3</v>
      </c>
      <c r="P5" s="32">
        <f t="shared" si="0"/>
        <v>78.7</v>
      </c>
      <c r="Q5" s="32">
        <f t="shared" si="0"/>
        <v>73</v>
      </c>
      <c r="R5" s="32">
        <f t="shared" si="0"/>
        <v>67.3</v>
      </c>
      <c r="S5" s="32">
        <f t="shared" si="0"/>
        <v>69</v>
      </c>
      <c r="T5" s="32">
        <f t="shared" si="0"/>
        <v>65.2</v>
      </c>
      <c r="U5" s="32">
        <f t="shared" si="0"/>
        <v>69</v>
      </c>
      <c r="V5" s="32">
        <f t="shared" si="0"/>
        <v>60.6</v>
      </c>
      <c r="W5" s="32">
        <f t="shared" si="0"/>
        <v>53.5</v>
      </c>
      <c r="X5" s="32">
        <f t="shared" si="0"/>
        <v>53.3</v>
      </c>
      <c r="Y5" s="32">
        <f t="shared" si="0"/>
        <v>43.1</v>
      </c>
      <c r="Z5" s="32">
        <f t="shared" si="0"/>
        <v>53.5</v>
      </c>
      <c r="AA5" s="32">
        <f t="shared" si="0"/>
        <v>73</v>
      </c>
      <c r="AB5" s="32">
        <f t="shared" si="0"/>
        <v>72</v>
      </c>
      <c r="AC5" s="32">
        <f t="shared" si="0"/>
        <v>76</v>
      </c>
      <c r="AD5" s="32">
        <f t="shared" si="0"/>
        <v>58</v>
      </c>
      <c r="AE5" s="32">
        <f t="shared" si="0"/>
        <v>50</v>
      </c>
      <c r="AF5" s="32">
        <f>B72</f>
        <v>55.2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"&amp;ROUND(B237,0)&amp;"MW at "&amp;TRUNC(B238*24,0)&amp;":"&amp;ROUND((B238*24-TRUNC(B238*24,0))*60,0)&amp;"hr at "&amp;ROUND(B239,1)&amp;"Hz     "&amp;A229&amp;" "&amp;ROUND(B229,0)&amp;"MW at "&amp;TRUNC(C229*24,0)&amp;":"&amp;ROUND((C229*24-TRUNC(C229*24,0))*6,0)&amp;"0hr"</f>
        <v>Evening Peak 0MW at 0:0hr at 0Hz     Morning Peak 1804MW at 4:60hr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Load=1746</v>
      </c>
      <c r="B7" s="37">
        <f>B79</f>
        <v>1862.5400000000002</v>
      </c>
      <c r="C7" s="37">
        <f t="shared" ref="C7:AF7" si="1">C79</f>
        <v>1856.74</v>
      </c>
      <c r="D7" s="37">
        <f t="shared" si="1"/>
        <v>1823.5400000000002</v>
      </c>
      <c r="E7" s="37">
        <f t="shared" si="1"/>
        <v>1835.2400000000002</v>
      </c>
      <c r="F7" s="37">
        <f t="shared" si="1"/>
        <v>1831.1399999999996</v>
      </c>
      <c r="G7" s="37">
        <f t="shared" si="1"/>
        <v>1803.5400000000002</v>
      </c>
      <c r="H7" s="37">
        <f t="shared" si="1"/>
        <v>1796.04</v>
      </c>
      <c r="I7" s="37">
        <f t="shared" si="1"/>
        <v>1759.1399999999999</v>
      </c>
      <c r="J7" s="37">
        <f t="shared" si="1"/>
        <v>1790.1399999999999</v>
      </c>
      <c r="K7" s="37">
        <f t="shared" si="1"/>
        <v>1778.74</v>
      </c>
      <c r="L7" s="37">
        <f t="shared" si="1"/>
        <v>1772.74</v>
      </c>
      <c r="M7" s="37">
        <f t="shared" si="1"/>
        <v>1786.3400000000001</v>
      </c>
      <c r="N7" s="37">
        <f t="shared" si="1"/>
        <v>1746.44</v>
      </c>
      <c r="O7" s="37">
        <f t="shared" si="1"/>
        <v>1888.2400000000002</v>
      </c>
      <c r="P7" s="37">
        <f t="shared" si="1"/>
        <v>1844.84</v>
      </c>
      <c r="Q7" s="37">
        <f t="shared" si="1"/>
        <v>1856.5400000000002</v>
      </c>
      <c r="R7" s="37">
        <f t="shared" si="1"/>
        <v>1878.84</v>
      </c>
      <c r="S7" s="37">
        <f t="shared" si="1"/>
        <v>1852.54</v>
      </c>
      <c r="T7" s="37">
        <f t="shared" si="1"/>
        <v>1836.54</v>
      </c>
      <c r="U7" s="37">
        <f t="shared" si="1"/>
        <v>1797.64</v>
      </c>
      <c r="V7" s="37">
        <f t="shared" si="1"/>
        <v>1815.44</v>
      </c>
      <c r="W7" s="37">
        <f t="shared" si="1"/>
        <v>1849.24</v>
      </c>
      <c r="X7" s="37">
        <f t="shared" si="1"/>
        <v>1842.54</v>
      </c>
      <c r="Y7" s="37">
        <f t="shared" si="1"/>
        <v>1831.34</v>
      </c>
      <c r="Z7" s="37">
        <f t="shared" si="1"/>
        <v>1821.1399999999999</v>
      </c>
      <c r="AA7" s="37">
        <f t="shared" si="1"/>
        <v>1883.3400000000001</v>
      </c>
      <c r="AB7" s="37">
        <f t="shared" si="1"/>
        <v>1867.44</v>
      </c>
      <c r="AC7" s="37">
        <f t="shared" si="1"/>
        <v>1883.1399999999999</v>
      </c>
      <c r="AD7" s="37">
        <f t="shared" si="1"/>
        <v>1861.54</v>
      </c>
      <c r="AE7" s="37">
        <f t="shared" si="1"/>
        <v>1849.54</v>
      </c>
      <c r="AF7" s="37">
        <f t="shared" si="1"/>
        <v>1828.7400000000002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0">
        <v>54.4</v>
      </c>
      <c r="C11" s="49">
        <v>54.3</v>
      </c>
      <c r="D11" s="49">
        <v>54.3</v>
      </c>
      <c r="E11" s="50">
        <v>54.3</v>
      </c>
      <c r="F11" s="50">
        <v>54.2</v>
      </c>
      <c r="G11" s="50">
        <v>54.2</v>
      </c>
      <c r="H11" s="50">
        <v>54.2</v>
      </c>
      <c r="I11" s="50">
        <v>54.2</v>
      </c>
      <c r="J11" s="50">
        <v>54.2</v>
      </c>
      <c r="K11" s="50">
        <v>54.2</v>
      </c>
      <c r="L11" s="50">
        <v>54.2</v>
      </c>
      <c r="M11" s="50">
        <v>54.3</v>
      </c>
      <c r="N11" s="50">
        <v>54.3</v>
      </c>
      <c r="O11" s="50">
        <v>54.3</v>
      </c>
      <c r="P11" s="50">
        <v>54.3</v>
      </c>
      <c r="Q11" s="50">
        <v>54.3</v>
      </c>
      <c r="R11" s="50">
        <v>54.3</v>
      </c>
      <c r="S11" s="50">
        <v>54.3</v>
      </c>
      <c r="T11" s="50">
        <v>54.3</v>
      </c>
      <c r="U11" s="50">
        <v>54.3</v>
      </c>
      <c r="V11" s="50">
        <v>54.3</v>
      </c>
      <c r="W11" s="50">
        <v>54.3</v>
      </c>
      <c r="X11" s="50">
        <v>54.3</v>
      </c>
      <c r="Y11" s="50">
        <v>54.3</v>
      </c>
      <c r="Z11" s="50">
        <v>54.3</v>
      </c>
      <c r="AA11" s="50">
        <v>54.3</v>
      </c>
      <c r="AB11" s="50">
        <v>54.3</v>
      </c>
      <c r="AC11" s="50">
        <v>54.3</v>
      </c>
      <c r="AD11" s="50">
        <v>54.3</v>
      </c>
      <c r="AE11" s="50">
        <v>54.3</v>
      </c>
      <c r="AF11" s="50">
        <v>54.3</v>
      </c>
      <c r="AG11" s="133">
        <v>52.4</v>
      </c>
      <c r="AH11" s="54">
        <f>MAX(B11:AF11)</f>
        <v>54.4</v>
      </c>
      <c r="AI11" s="55">
        <f>MIN(B11:AF11)</f>
        <v>54.2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50.7</v>
      </c>
      <c r="C12" s="50">
        <v>50.4</v>
      </c>
      <c r="D12" s="50">
        <v>50.1</v>
      </c>
      <c r="E12" s="50">
        <v>50.2</v>
      </c>
      <c r="F12" s="50">
        <v>50.4</v>
      </c>
      <c r="G12" s="50">
        <v>50.4</v>
      </c>
      <c r="H12" s="50">
        <v>50.4</v>
      </c>
      <c r="I12" s="50">
        <v>50.4</v>
      </c>
      <c r="J12" s="50">
        <v>50.4</v>
      </c>
      <c r="K12" s="50">
        <v>50.4</v>
      </c>
      <c r="L12" s="50">
        <v>50.4</v>
      </c>
      <c r="M12" s="50">
        <v>50.4</v>
      </c>
      <c r="N12" s="50">
        <v>50.4</v>
      </c>
      <c r="O12" s="50">
        <v>50.4</v>
      </c>
      <c r="P12" s="50">
        <v>50.4</v>
      </c>
      <c r="Q12" s="50">
        <v>50.2</v>
      </c>
      <c r="R12" s="50">
        <v>50.2</v>
      </c>
      <c r="S12" s="50">
        <v>50.2</v>
      </c>
      <c r="T12" s="50">
        <v>50.2</v>
      </c>
      <c r="U12" s="50">
        <v>50.2</v>
      </c>
      <c r="V12" s="50">
        <v>50.2</v>
      </c>
      <c r="W12" s="50">
        <v>50.2</v>
      </c>
      <c r="X12" s="50">
        <v>50.2</v>
      </c>
      <c r="Y12" s="50">
        <v>50.2</v>
      </c>
      <c r="Z12" s="50">
        <v>50.2</v>
      </c>
      <c r="AA12" s="50">
        <v>50.2</v>
      </c>
      <c r="AB12" s="50">
        <v>50.2</v>
      </c>
      <c r="AC12" s="50">
        <v>50.2</v>
      </c>
      <c r="AD12" s="50">
        <v>50.2</v>
      </c>
      <c r="AE12" s="50">
        <v>50.2</v>
      </c>
      <c r="AF12" s="50">
        <v>50.2</v>
      </c>
      <c r="AG12" s="134">
        <v>50</v>
      </c>
      <c r="AH12" s="54">
        <f t="shared" ref="AH12:AH79" si="2">MAX(B12:AF12)</f>
        <v>50.7</v>
      </c>
      <c r="AI12" s="55">
        <f t="shared" ref="AI12:AI79" si="3">MIN(B12:AF12)</f>
        <v>50.1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46</v>
      </c>
      <c r="C13" s="50">
        <v>46</v>
      </c>
      <c r="D13" s="50">
        <v>46</v>
      </c>
      <c r="E13" s="50">
        <v>46</v>
      </c>
      <c r="F13" s="50">
        <v>46</v>
      </c>
      <c r="G13" s="50">
        <v>46</v>
      </c>
      <c r="H13" s="50">
        <v>46</v>
      </c>
      <c r="I13" s="50">
        <v>46</v>
      </c>
      <c r="J13" s="50">
        <v>46</v>
      </c>
      <c r="K13" s="50">
        <v>46</v>
      </c>
      <c r="L13" s="50">
        <v>46</v>
      </c>
      <c r="M13" s="50">
        <v>46</v>
      </c>
      <c r="N13" s="50">
        <v>46</v>
      </c>
      <c r="O13" s="50">
        <v>46</v>
      </c>
      <c r="P13" s="50">
        <v>46</v>
      </c>
      <c r="Q13" s="50">
        <v>46</v>
      </c>
      <c r="R13" s="50">
        <v>46</v>
      </c>
      <c r="S13" s="50">
        <v>46</v>
      </c>
      <c r="T13" s="50">
        <v>46</v>
      </c>
      <c r="U13" s="50">
        <v>46</v>
      </c>
      <c r="V13" s="50">
        <v>46</v>
      </c>
      <c r="W13" s="50">
        <v>46</v>
      </c>
      <c r="X13" s="50">
        <v>46</v>
      </c>
      <c r="Y13" s="50">
        <v>46</v>
      </c>
      <c r="Z13" s="50">
        <v>46</v>
      </c>
      <c r="AA13" s="50">
        <v>46</v>
      </c>
      <c r="AB13" s="50">
        <v>46</v>
      </c>
      <c r="AC13" s="50">
        <v>46</v>
      </c>
      <c r="AD13" s="50">
        <v>46</v>
      </c>
      <c r="AE13" s="50">
        <v>46</v>
      </c>
      <c r="AF13" s="50">
        <v>46</v>
      </c>
      <c r="AG13" s="134">
        <v>45</v>
      </c>
      <c r="AH13" s="54">
        <f t="shared" si="2"/>
        <v>46</v>
      </c>
      <c r="AI13" s="55">
        <f t="shared" si="3"/>
        <v>46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41</v>
      </c>
      <c r="C14" s="50">
        <v>41</v>
      </c>
      <c r="D14" s="50">
        <v>41</v>
      </c>
      <c r="E14" s="50">
        <v>41</v>
      </c>
      <c r="F14" s="50">
        <v>41</v>
      </c>
      <c r="G14" s="50">
        <v>41</v>
      </c>
      <c r="H14" s="50">
        <v>30</v>
      </c>
      <c r="I14" s="50">
        <v>30</v>
      </c>
      <c r="J14" s="50">
        <v>30</v>
      </c>
      <c r="K14" s="50">
        <v>30</v>
      </c>
      <c r="L14" s="50">
        <v>30</v>
      </c>
      <c r="M14" s="50">
        <v>30</v>
      </c>
      <c r="N14" s="50">
        <v>28</v>
      </c>
      <c r="O14" s="50">
        <v>28</v>
      </c>
      <c r="P14" s="50">
        <v>28</v>
      </c>
      <c r="Q14" s="50">
        <v>28</v>
      </c>
      <c r="R14" s="50">
        <v>28</v>
      </c>
      <c r="S14" s="50">
        <v>28</v>
      </c>
      <c r="T14" s="50">
        <v>28</v>
      </c>
      <c r="U14" s="50">
        <v>28</v>
      </c>
      <c r="V14" s="50">
        <v>28</v>
      </c>
      <c r="W14" s="50">
        <v>28</v>
      </c>
      <c r="X14" s="50">
        <v>28</v>
      </c>
      <c r="Y14" s="50">
        <v>28</v>
      </c>
      <c r="Z14" s="50">
        <v>28</v>
      </c>
      <c r="AA14" s="50">
        <v>28</v>
      </c>
      <c r="AB14" s="50">
        <v>28</v>
      </c>
      <c r="AC14" s="50">
        <v>28</v>
      </c>
      <c r="AD14" s="50">
        <v>28</v>
      </c>
      <c r="AE14" s="50">
        <v>28</v>
      </c>
      <c r="AF14" s="50">
        <v>28</v>
      </c>
      <c r="AG14" s="134">
        <v>42</v>
      </c>
      <c r="AH14" s="54">
        <f t="shared" si="2"/>
        <v>41</v>
      </c>
      <c r="AI14" s="55">
        <f t="shared" si="3"/>
        <v>28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30</v>
      </c>
      <c r="C15" s="50">
        <v>30</v>
      </c>
      <c r="D15" s="50">
        <v>20</v>
      </c>
      <c r="E15" s="50">
        <v>30</v>
      </c>
      <c r="F15" s="50">
        <v>30</v>
      </c>
      <c r="G15" s="50">
        <v>20</v>
      </c>
      <c r="H15" s="50">
        <v>20</v>
      </c>
      <c r="I15" s="50">
        <v>0</v>
      </c>
      <c r="J15" s="50">
        <v>0</v>
      </c>
      <c r="K15" s="50">
        <v>0</v>
      </c>
      <c r="L15" s="50">
        <v>0</v>
      </c>
      <c r="M15" s="50">
        <v>15</v>
      </c>
      <c r="N15" s="50">
        <v>0</v>
      </c>
      <c r="O15" s="50">
        <v>30</v>
      </c>
      <c r="P15" s="50">
        <v>30</v>
      </c>
      <c r="Q15" s="50">
        <v>30</v>
      </c>
      <c r="R15" s="50">
        <v>30</v>
      </c>
      <c r="S15" s="50">
        <v>30</v>
      </c>
      <c r="T15" s="50">
        <v>30</v>
      </c>
      <c r="U15" s="50">
        <v>30</v>
      </c>
      <c r="V15" s="50">
        <v>30</v>
      </c>
      <c r="W15" s="50">
        <v>30</v>
      </c>
      <c r="X15" s="50">
        <v>30</v>
      </c>
      <c r="Y15" s="50">
        <v>30</v>
      </c>
      <c r="Z15" s="50">
        <v>30</v>
      </c>
      <c r="AA15" s="50">
        <v>30</v>
      </c>
      <c r="AB15" s="50">
        <v>30</v>
      </c>
      <c r="AC15" s="50">
        <v>30</v>
      </c>
      <c r="AD15" s="50">
        <v>30</v>
      </c>
      <c r="AE15" s="50">
        <v>30</v>
      </c>
      <c r="AF15" s="50">
        <v>30</v>
      </c>
      <c r="AG15" s="135">
        <v>30</v>
      </c>
      <c r="AH15" s="54">
        <f t="shared" si="2"/>
        <v>30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26.2</v>
      </c>
      <c r="C16" s="50">
        <v>26.1</v>
      </c>
      <c r="D16" s="50">
        <v>26.1</v>
      </c>
      <c r="E16" s="50">
        <v>26</v>
      </c>
      <c r="F16" s="50">
        <v>26.2</v>
      </c>
      <c r="G16" s="50">
        <v>26.2</v>
      </c>
      <c r="H16" s="50">
        <v>26.2</v>
      </c>
      <c r="I16" s="50">
        <v>26.2</v>
      </c>
      <c r="J16" s="50">
        <v>26.2</v>
      </c>
      <c r="K16" s="50">
        <v>26.2</v>
      </c>
      <c r="L16" s="50">
        <v>26.2</v>
      </c>
      <c r="M16" s="50">
        <v>26.2</v>
      </c>
      <c r="N16" s="50">
        <v>0</v>
      </c>
      <c r="O16" s="50">
        <v>26.2</v>
      </c>
      <c r="P16" s="50">
        <v>26.2</v>
      </c>
      <c r="Q16" s="50">
        <v>26.1</v>
      </c>
      <c r="R16" s="50">
        <v>26.1</v>
      </c>
      <c r="S16" s="50">
        <v>26.1</v>
      </c>
      <c r="T16" s="50">
        <v>26.1</v>
      </c>
      <c r="U16" s="50">
        <v>26.1</v>
      </c>
      <c r="V16" s="50">
        <v>26.1</v>
      </c>
      <c r="W16" s="50">
        <v>26.1</v>
      </c>
      <c r="X16" s="50">
        <v>26.1</v>
      </c>
      <c r="Y16" s="50">
        <v>26.1</v>
      </c>
      <c r="Z16" s="50">
        <v>26.1</v>
      </c>
      <c r="AA16" s="50">
        <v>26.1</v>
      </c>
      <c r="AB16" s="50">
        <v>26.1</v>
      </c>
      <c r="AC16" s="50">
        <v>26.1</v>
      </c>
      <c r="AD16" s="50">
        <v>26.1</v>
      </c>
      <c r="AE16" s="50">
        <v>26.1</v>
      </c>
      <c r="AF16" s="50">
        <v>26.1</v>
      </c>
      <c r="AG16" s="134">
        <v>25</v>
      </c>
      <c r="AH16" s="54">
        <f t="shared" si="2"/>
        <v>26.2</v>
      </c>
      <c r="AI16" s="55">
        <f t="shared" si="3"/>
        <v>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0</v>
      </c>
      <c r="S17" s="50">
        <v>25</v>
      </c>
      <c r="T17" s="50">
        <v>12.5</v>
      </c>
      <c r="U17" s="50">
        <v>12.5</v>
      </c>
      <c r="V17" s="50">
        <v>12.5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25</v>
      </c>
      <c r="D18" s="50">
        <v>25</v>
      </c>
      <c r="E18" s="50">
        <v>25</v>
      </c>
      <c r="F18" s="50">
        <v>25</v>
      </c>
      <c r="G18" s="50">
        <v>25</v>
      </c>
      <c r="H18" s="50">
        <v>25</v>
      </c>
      <c r="I18" s="50">
        <v>25</v>
      </c>
      <c r="J18" s="50">
        <v>25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25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32.9</v>
      </c>
      <c r="C19" s="50">
        <v>32.9</v>
      </c>
      <c r="D19" s="50">
        <v>32.9</v>
      </c>
      <c r="E19" s="50">
        <v>32.9</v>
      </c>
      <c r="F19" s="50">
        <v>32.9</v>
      </c>
      <c r="G19" s="50">
        <v>25.2</v>
      </c>
      <c r="H19" s="50">
        <v>25.2</v>
      </c>
      <c r="I19" s="50">
        <v>25.2</v>
      </c>
      <c r="J19" s="50">
        <v>25.2</v>
      </c>
      <c r="K19" s="50">
        <v>25.2</v>
      </c>
      <c r="L19" s="50">
        <v>25.2</v>
      </c>
      <c r="M19" s="50">
        <v>25.4</v>
      </c>
      <c r="N19" s="50">
        <v>25.4</v>
      </c>
      <c r="O19" s="50">
        <v>32.5</v>
      </c>
      <c r="P19" s="50">
        <v>32.5</v>
      </c>
      <c r="Q19" s="50">
        <v>32.5</v>
      </c>
      <c r="R19" s="50">
        <v>32.5</v>
      </c>
      <c r="S19" s="50">
        <v>32.5</v>
      </c>
      <c r="T19" s="50">
        <v>32.5</v>
      </c>
      <c r="U19" s="50">
        <v>32.5</v>
      </c>
      <c r="V19" s="50">
        <v>32.5</v>
      </c>
      <c r="W19" s="50">
        <v>32.5</v>
      </c>
      <c r="X19" s="50">
        <v>32.5</v>
      </c>
      <c r="Y19" s="50">
        <v>32.5</v>
      </c>
      <c r="Z19" s="50">
        <v>32.5</v>
      </c>
      <c r="AA19" s="50">
        <v>32.5</v>
      </c>
      <c r="AB19" s="50">
        <v>32.5</v>
      </c>
      <c r="AC19" s="50">
        <v>32.5</v>
      </c>
      <c r="AD19" s="50">
        <v>32.5</v>
      </c>
      <c r="AE19" s="50">
        <v>32.5</v>
      </c>
      <c r="AF19" s="50">
        <v>32.5</v>
      </c>
      <c r="AG19" s="134">
        <v>24.2</v>
      </c>
      <c r="AH19" s="54">
        <f t="shared" si="2"/>
        <v>32.9</v>
      </c>
      <c r="AI19" s="55">
        <f t="shared" si="3"/>
        <v>25.2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23.3</v>
      </c>
      <c r="C20" s="50">
        <v>23.5</v>
      </c>
      <c r="D20" s="50">
        <v>23.5</v>
      </c>
      <c r="E20" s="50">
        <v>23.5</v>
      </c>
      <c r="F20" s="50">
        <v>23.5</v>
      </c>
      <c r="G20" s="50">
        <v>23.5</v>
      </c>
      <c r="H20" s="50">
        <v>23.5</v>
      </c>
      <c r="I20" s="50">
        <v>23.5</v>
      </c>
      <c r="J20" s="50">
        <v>23.5</v>
      </c>
      <c r="K20" s="50">
        <v>23.5</v>
      </c>
      <c r="L20" s="50">
        <v>23.5</v>
      </c>
      <c r="M20" s="50">
        <v>23.6</v>
      </c>
      <c r="N20" s="50">
        <v>23.6</v>
      </c>
      <c r="O20" s="50">
        <v>23.6</v>
      </c>
      <c r="P20" s="50">
        <v>23.6</v>
      </c>
      <c r="Q20" s="50">
        <v>23.6</v>
      </c>
      <c r="R20" s="50">
        <v>23.6</v>
      </c>
      <c r="S20" s="50">
        <v>23.6</v>
      </c>
      <c r="T20" s="50">
        <v>23.6</v>
      </c>
      <c r="U20" s="50">
        <v>23.6</v>
      </c>
      <c r="V20" s="50">
        <v>23.6</v>
      </c>
      <c r="W20" s="50">
        <v>23.6</v>
      </c>
      <c r="X20" s="50">
        <v>23.6</v>
      </c>
      <c r="Y20" s="50">
        <v>23.6</v>
      </c>
      <c r="Z20" s="50">
        <v>23.6</v>
      </c>
      <c r="AA20" s="50">
        <v>23.6</v>
      </c>
      <c r="AB20" s="50">
        <v>23.6</v>
      </c>
      <c r="AC20" s="50">
        <v>23.6</v>
      </c>
      <c r="AD20" s="50">
        <v>23.6</v>
      </c>
      <c r="AE20" s="50">
        <v>23.6</v>
      </c>
      <c r="AF20" s="50">
        <v>23.6</v>
      </c>
      <c r="AG20" s="134">
        <v>23.5</v>
      </c>
      <c r="AH20" s="54">
        <f t="shared" si="2"/>
        <v>23.6</v>
      </c>
      <c r="AI20" s="55">
        <f t="shared" si="3"/>
        <v>23.3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21</v>
      </c>
      <c r="C21" s="50">
        <v>21</v>
      </c>
      <c r="D21" s="50">
        <v>21</v>
      </c>
      <c r="E21" s="50">
        <v>21</v>
      </c>
      <c r="F21" s="50">
        <v>21</v>
      </c>
      <c r="G21" s="50">
        <v>21</v>
      </c>
      <c r="H21" s="50">
        <v>21</v>
      </c>
      <c r="I21" s="50">
        <v>21</v>
      </c>
      <c r="J21" s="50">
        <v>21</v>
      </c>
      <c r="K21" s="50">
        <v>21</v>
      </c>
      <c r="L21" s="50">
        <v>21</v>
      </c>
      <c r="M21" s="50">
        <v>10</v>
      </c>
      <c r="N21" s="50">
        <v>10</v>
      </c>
      <c r="O21" s="50">
        <v>10</v>
      </c>
      <c r="P21" s="50">
        <v>10</v>
      </c>
      <c r="Q21" s="50">
        <v>21</v>
      </c>
      <c r="R21" s="50">
        <v>21</v>
      </c>
      <c r="S21" s="50">
        <v>21</v>
      </c>
      <c r="T21" s="50">
        <v>21</v>
      </c>
      <c r="U21" s="50">
        <v>21</v>
      </c>
      <c r="V21" s="50">
        <v>21</v>
      </c>
      <c r="W21" s="50">
        <v>21</v>
      </c>
      <c r="X21" s="50">
        <v>21</v>
      </c>
      <c r="Y21" s="50">
        <v>21</v>
      </c>
      <c r="Z21" s="50">
        <v>21</v>
      </c>
      <c r="AA21" s="50">
        <v>21</v>
      </c>
      <c r="AB21" s="50">
        <v>21</v>
      </c>
      <c r="AC21" s="50">
        <v>21</v>
      </c>
      <c r="AD21" s="50">
        <v>21</v>
      </c>
      <c r="AE21" s="50">
        <v>21</v>
      </c>
      <c r="AF21" s="50">
        <v>21</v>
      </c>
      <c r="AG21" s="134">
        <v>22.2</v>
      </c>
      <c r="AH21" s="54">
        <f t="shared" si="2"/>
        <v>21</v>
      </c>
      <c r="AI21" s="55">
        <f t="shared" si="3"/>
        <v>10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16</v>
      </c>
      <c r="C22" s="50">
        <v>16</v>
      </c>
      <c r="D22" s="50">
        <v>16</v>
      </c>
      <c r="E22" s="50">
        <v>16</v>
      </c>
      <c r="F22" s="50">
        <v>16</v>
      </c>
      <c r="G22" s="50">
        <v>16</v>
      </c>
      <c r="H22" s="50">
        <v>16</v>
      </c>
      <c r="I22" s="50">
        <v>16</v>
      </c>
      <c r="J22" s="50">
        <v>16</v>
      </c>
      <c r="K22" s="50">
        <v>16</v>
      </c>
      <c r="L22" s="50">
        <v>16</v>
      </c>
      <c r="M22" s="50">
        <v>16</v>
      </c>
      <c r="N22" s="50">
        <v>16</v>
      </c>
      <c r="O22" s="50">
        <v>16</v>
      </c>
      <c r="P22" s="50">
        <v>16</v>
      </c>
      <c r="Q22" s="50">
        <v>16</v>
      </c>
      <c r="R22" s="50">
        <v>16</v>
      </c>
      <c r="S22" s="50">
        <v>16</v>
      </c>
      <c r="T22" s="50">
        <v>16</v>
      </c>
      <c r="U22" s="50">
        <v>16</v>
      </c>
      <c r="V22" s="50">
        <v>16</v>
      </c>
      <c r="W22" s="50">
        <v>16</v>
      </c>
      <c r="X22" s="50">
        <v>16</v>
      </c>
      <c r="Y22" s="50">
        <v>16</v>
      </c>
      <c r="Z22" s="50">
        <v>16</v>
      </c>
      <c r="AA22" s="50">
        <v>16</v>
      </c>
      <c r="AB22" s="50">
        <v>16</v>
      </c>
      <c r="AC22" s="50">
        <v>16</v>
      </c>
      <c r="AD22" s="50">
        <v>16</v>
      </c>
      <c r="AE22" s="50">
        <v>16</v>
      </c>
      <c r="AF22" s="50">
        <v>16</v>
      </c>
      <c r="AG22" s="134">
        <v>22.1</v>
      </c>
      <c r="AH22" s="54">
        <f t="shared" si="2"/>
        <v>16</v>
      </c>
      <c r="AI22" s="55">
        <f t="shared" si="3"/>
        <v>16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239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22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22</v>
      </c>
      <c r="AI24" s="55">
        <f t="shared" si="3"/>
        <v>22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10</v>
      </c>
      <c r="C25" s="50">
        <v>10</v>
      </c>
      <c r="D25" s="50">
        <v>10</v>
      </c>
      <c r="E25" s="50">
        <v>10</v>
      </c>
      <c r="F25" s="50">
        <v>10</v>
      </c>
      <c r="G25" s="50">
        <v>5</v>
      </c>
      <c r="H25" s="50">
        <v>5</v>
      </c>
      <c r="I25" s="50">
        <v>0</v>
      </c>
      <c r="J25" s="50">
        <v>0</v>
      </c>
      <c r="K25" s="50">
        <v>0</v>
      </c>
      <c r="L25" s="50">
        <v>0</v>
      </c>
      <c r="M25" s="50">
        <v>5</v>
      </c>
      <c r="N25" s="50">
        <v>0</v>
      </c>
      <c r="O25" s="50">
        <v>5</v>
      </c>
      <c r="P25" s="50">
        <v>10</v>
      </c>
      <c r="Q25" s="50">
        <v>10</v>
      </c>
      <c r="R25" s="50">
        <v>10</v>
      </c>
      <c r="S25" s="50">
        <v>10</v>
      </c>
      <c r="T25" s="50">
        <v>10</v>
      </c>
      <c r="U25" s="50">
        <v>10</v>
      </c>
      <c r="V25" s="50">
        <v>10</v>
      </c>
      <c r="W25" s="50">
        <v>10</v>
      </c>
      <c r="X25" s="50">
        <v>10</v>
      </c>
      <c r="Y25" s="50">
        <v>10</v>
      </c>
      <c r="Z25" s="50">
        <v>10</v>
      </c>
      <c r="AA25" s="50">
        <v>10</v>
      </c>
      <c r="AB25" s="50">
        <v>10</v>
      </c>
      <c r="AC25" s="50">
        <v>10</v>
      </c>
      <c r="AD25" s="50">
        <v>10</v>
      </c>
      <c r="AE25" s="50">
        <v>10</v>
      </c>
      <c r="AF25" s="50">
        <v>10</v>
      </c>
      <c r="AG25" s="134">
        <v>20</v>
      </c>
      <c r="AH25" s="54">
        <f t="shared" si="2"/>
        <v>10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14</v>
      </c>
      <c r="C26" s="50">
        <v>14</v>
      </c>
      <c r="D26" s="50">
        <v>14</v>
      </c>
      <c r="E26" s="50">
        <v>14</v>
      </c>
      <c r="F26" s="50">
        <v>14</v>
      </c>
      <c r="G26" s="50">
        <v>14</v>
      </c>
      <c r="H26" s="50">
        <v>14</v>
      </c>
      <c r="I26" s="50">
        <v>14</v>
      </c>
      <c r="J26" s="50">
        <v>14</v>
      </c>
      <c r="K26" s="50">
        <v>14</v>
      </c>
      <c r="L26" s="50">
        <v>14</v>
      </c>
      <c r="M26" s="50">
        <v>14</v>
      </c>
      <c r="N26" s="50">
        <v>14</v>
      </c>
      <c r="O26" s="50">
        <v>14</v>
      </c>
      <c r="P26" s="50">
        <v>14</v>
      </c>
      <c r="Q26" s="50">
        <v>14</v>
      </c>
      <c r="R26" s="50">
        <v>14</v>
      </c>
      <c r="S26" s="50">
        <v>14</v>
      </c>
      <c r="T26" s="50">
        <v>14</v>
      </c>
      <c r="U26" s="50">
        <v>14</v>
      </c>
      <c r="V26" s="50">
        <v>14</v>
      </c>
      <c r="W26" s="50">
        <v>14</v>
      </c>
      <c r="X26" s="50">
        <v>14</v>
      </c>
      <c r="Y26" s="50">
        <v>14</v>
      </c>
      <c r="Z26" s="50">
        <v>14</v>
      </c>
      <c r="AA26" s="50">
        <v>14</v>
      </c>
      <c r="AB26" s="50">
        <v>14</v>
      </c>
      <c r="AC26" s="50">
        <v>14</v>
      </c>
      <c r="AD26" s="50">
        <v>14</v>
      </c>
      <c r="AE26" s="50">
        <v>14</v>
      </c>
      <c r="AF26" s="50">
        <v>14</v>
      </c>
      <c r="AG26" s="134">
        <v>14.9</v>
      </c>
      <c r="AH26" s="54">
        <f t="shared" si="2"/>
        <v>14</v>
      </c>
      <c r="AI26" s="55">
        <f t="shared" si="3"/>
        <v>14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0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134">
        <v>13.6</v>
      </c>
      <c r="AH27" s="54">
        <f t="shared" si="2"/>
        <v>0</v>
      </c>
      <c r="AI27" s="55">
        <f t="shared" si="3"/>
        <v>0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236</v>
      </c>
      <c r="B28" s="50">
        <v>13</v>
      </c>
      <c r="C28" s="50">
        <v>13</v>
      </c>
      <c r="D28" s="50">
        <v>13</v>
      </c>
      <c r="E28" s="50">
        <v>13</v>
      </c>
      <c r="F28" s="50">
        <v>13</v>
      </c>
      <c r="G28" s="50">
        <v>13</v>
      </c>
      <c r="H28" s="50">
        <v>13</v>
      </c>
      <c r="I28" s="50">
        <v>13</v>
      </c>
      <c r="J28" s="50">
        <v>13</v>
      </c>
      <c r="K28" s="50">
        <v>13</v>
      </c>
      <c r="L28" s="50">
        <v>13</v>
      </c>
      <c r="M28" s="50">
        <v>13</v>
      </c>
      <c r="N28" s="50">
        <v>13</v>
      </c>
      <c r="O28" s="50">
        <v>13</v>
      </c>
      <c r="P28" s="50">
        <v>13</v>
      </c>
      <c r="Q28" s="50">
        <v>13</v>
      </c>
      <c r="R28" s="50">
        <v>13</v>
      </c>
      <c r="S28" s="50">
        <v>13</v>
      </c>
      <c r="T28" s="50">
        <v>13</v>
      </c>
      <c r="U28" s="50">
        <v>13</v>
      </c>
      <c r="V28" s="50">
        <v>13</v>
      </c>
      <c r="W28" s="50">
        <v>13</v>
      </c>
      <c r="X28" s="50">
        <v>13</v>
      </c>
      <c r="Y28" s="50">
        <v>13</v>
      </c>
      <c r="Z28" s="50">
        <v>13</v>
      </c>
      <c r="AA28" s="50">
        <v>13</v>
      </c>
      <c r="AB28" s="50">
        <v>13</v>
      </c>
      <c r="AC28" s="50">
        <v>13</v>
      </c>
      <c r="AD28" s="50">
        <v>13</v>
      </c>
      <c r="AE28" s="50">
        <v>13</v>
      </c>
      <c r="AF28" s="50">
        <v>13</v>
      </c>
      <c r="AG28" s="134">
        <v>13</v>
      </c>
      <c r="AH28" s="54">
        <f t="shared" si="2"/>
        <v>13</v>
      </c>
      <c r="AI28" s="55">
        <f t="shared" si="3"/>
        <v>13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12</v>
      </c>
      <c r="C29" s="50">
        <v>12</v>
      </c>
      <c r="D29" s="50">
        <v>12</v>
      </c>
      <c r="E29" s="50">
        <v>12</v>
      </c>
      <c r="F29" s="50">
        <v>12</v>
      </c>
      <c r="G29" s="50">
        <v>12</v>
      </c>
      <c r="H29" s="50">
        <v>12</v>
      </c>
      <c r="I29" s="50">
        <v>12</v>
      </c>
      <c r="J29" s="50">
        <v>12</v>
      </c>
      <c r="K29" s="50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134">
        <v>12</v>
      </c>
      <c r="AH29" s="54">
        <f>MAX(B29:AF29)</f>
        <v>12</v>
      </c>
      <c r="AI29" s="55">
        <f>MIN(B29:AF29)</f>
        <v>12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241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>
        <v>8</v>
      </c>
      <c r="T30" s="50">
        <v>8</v>
      </c>
      <c r="U30" s="50">
        <v>8</v>
      </c>
      <c r="V30" s="50">
        <v>8</v>
      </c>
      <c r="W30" s="50">
        <v>8</v>
      </c>
      <c r="X30" s="50">
        <v>8</v>
      </c>
      <c r="Y30" s="50">
        <v>8</v>
      </c>
      <c r="Z30" s="50">
        <v>8</v>
      </c>
      <c r="AA30" s="50">
        <v>8</v>
      </c>
      <c r="AB30" s="50">
        <v>8</v>
      </c>
      <c r="AC30" s="50">
        <v>8</v>
      </c>
      <c r="AD30" s="50">
        <v>8</v>
      </c>
      <c r="AE30" s="50">
        <v>8</v>
      </c>
      <c r="AF30" s="50">
        <v>8</v>
      </c>
      <c r="AG30" s="134">
        <v>12</v>
      </c>
      <c r="AH30" s="54">
        <f t="shared" si="2"/>
        <v>8</v>
      </c>
      <c r="AI30" s="55">
        <f t="shared" si="3"/>
        <v>8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9</v>
      </c>
      <c r="C31" s="50">
        <v>9</v>
      </c>
      <c r="D31" s="50">
        <v>9</v>
      </c>
      <c r="E31" s="50">
        <v>9</v>
      </c>
      <c r="F31" s="50">
        <v>9</v>
      </c>
      <c r="G31" s="50">
        <v>9</v>
      </c>
      <c r="H31" s="50">
        <v>9</v>
      </c>
      <c r="I31" s="50">
        <v>9</v>
      </c>
      <c r="J31" s="50">
        <v>9</v>
      </c>
      <c r="K31" s="50">
        <v>9</v>
      </c>
      <c r="L31" s="50">
        <v>9</v>
      </c>
      <c r="M31" s="50">
        <v>9</v>
      </c>
      <c r="N31" s="50">
        <v>9</v>
      </c>
      <c r="O31" s="50">
        <v>9</v>
      </c>
      <c r="P31" s="50">
        <v>9</v>
      </c>
      <c r="Q31" s="50">
        <v>9</v>
      </c>
      <c r="R31" s="50">
        <v>9</v>
      </c>
      <c r="S31" s="50">
        <v>9</v>
      </c>
      <c r="T31" s="50">
        <v>9</v>
      </c>
      <c r="U31" s="50">
        <v>9</v>
      </c>
      <c r="V31" s="50">
        <v>9</v>
      </c>
      <c r="W31" s="50">
        <v>9</v>
      </c>
      <c r="X31" s="50">
        <v>9</v>
      </c>
      <c r="Y31" s="50">
        <v>9</v>
      </c>
      <c r="Z31" s="50">
        <v>9</v>
      </c>
      <c r="AA31" s="50">
        <v>9</v>
      </c>
      <c r="AB31" s="50">
        <v>9</v>
      </c>
      <c r="AC31" s="50">
        <v>9</v>
      </c>
      <c r="AD31" s="50">
        <v>9</v>
      </c>
      <c r="AE31" s="50">
        <v>9</v>
      </c>
      <c r="AF31" s="50">
        <v>9</v>
      </c>
      <c r="AG31" s="178">
        <v>22</v>
      </c>
      <c r="AH31" s="54">
        <f>MAX(B31:AF31)</f>
        <v>9</v>
      </c>
      <c r="AI31" s="55">
        <f>MIN(B31:AF31)</f>
        <v>9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11</v>
      </c>
      <c r="C32" s="50">
        <v>11</v>
      </c>
      <c r="D32" s="50">
        <v>11</v>
      </c>
      <c r="E32" s="50">
        <v>11</v>
      </c>
      <c r="F32" s="50">
        <v>11</v>
      </c>
      <c r="G32" s="50">
        <v>11</v>
      </c>
      <c r="H32" s="50">
        <v>11</v>
      </c>
      <c r="I32" s="50">
        <v>11</v>
      </c>
      <c r="J32" s="50">
        <v>11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135">
        <v>11.88</v>
      </c>
      <c r="AH32" s="54">
        <f t="shared" si="2"/>
        <v>11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11</v>
      </c>
      <c r="D33" s="50">
        <v>11</v>
      </c>
      <c r="E33" s="50">
        <v>11</v>
      </c>
      <c r="F33" s="50">
        <v>11</v>
      </c>
      <c r="G33" s="50">
        <v>11</v>
      </c>
      <c r="H33" s="50">
        <v>11</v>
      </c>
      <c r="I33" s="50">
        <v>11</v>
      </c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11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9</v>
      </c>
      <c r="C34" s="50">
        <v>9</v>
      </c>
      <c r="D34" s="50">
        <v>9</v>
      </c>
      <c r="E34" s="50">
        <v>9</v>
      </c>
      <c r="F34" s="50">
        <v>9</v>
      </c>
      <c r="G34" s="50">
        <v>9</v>
      </c>
      <c r="H34" s="50">
        <v>9</v>
      </c>
      <c r="I34" s="50">
        <v>9</v>
      </c>
      <c r="J34" s="50">
        <v>9</v>
      </c>
      <c r="K34" s="50">
        <v>9</v>
      </c>
      <c r="L34" s="50">
        <v>9</v>
      </c>
      <c r="M34" s="50">
        <v>9</v>
      </c>
      <c r="N34" s="50">
        <v>9</v>
      </c>
      <c r="O34" s="50">
        <v>9</v>
      </c>
      <c r="P34" s="50">
        <v>9</v>
      </c>
      <c r="Q34" s="50">
        <v>9</v>
      </c>
      <c r="R34" s="50">
        <v>9</v>
      </c>
      <c r="S34" s="50">
        <v>9</v>
      </c>
      <c r="T34" s="50">
        <v>9</v>
      </c>
      <c r="U34" s="50">
        <v>9</v>
      </c>
      <c r="V34" s="50">
        <v>9</v>
      </c>
      <c r="W34" s="50">
        <v>9</v>
      </c>
      <c r="X34" s="50">
        <v>9</v>
      </c>
      <c r="Y34" s="50">
        <v>9</v>
      </c>
      <c r="Z34" s="50">
        <v>9</v>
      </c>
      <c r="AA34" s="50">
        <v>9</v>
      </c>
      <c r="AB34" s="50">
        <v>9</v>
      </c>
      <c r="AC34" s="50">
        <v>9</v>
      </c>
      <c r="AD34" s="50">
        <v>9</v>
      </c>
      <c r="AE34" s="50">
        <v>9</v>
      </c>
      <c r="AF34" s="50">
        <v>9</v>
      </c>
      <c r="AG34" s="136">
        <v>10</v>
      </c>
      <c r="AH34" s="54">
        <f t="shared" si="2"/>
        <v>9</v>
      </c>
      <c r="AI34" s="55">
        <f t="shared" si="3"/>
        <v>9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4</v>
      </c>
      <c r="N35" s="50">
        <v>4</v>
      </c>
      <c r="O35" s="50">
        <v>4</v>
      </c>
      <c r="P35" s="50">
        <v>4</v>
      </c>
      <c r="Q35" s="50">
        <v>4</v>
      </c>
      <c r="R35" s="50">
        <v>4</v>
      </c>
      <c r="S35" s="50">
        <v>4</v>
      </c>
      <c r="T35" s="50">
        <v>4</v>
      </c>
      <c r="U35" s="50">
        <v>4</v>
      </c>
      <c r="V35" s="50">
        <v>4</v>
      </c>
      <c r="W35" s="50">
        <v>4</v>
      </c>
      <c r="X35" s="50">
        <v>4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136">
        <v>10</v>
      </c>
      <c r="AH35" s="54">
        <f t="shared" si="2"/>
        <v>4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300</v>
      </c>
      <c r="C36" s="62">
        <v>300</v>
      </c>
      <c r="D36" s="62">
        <v>300</v>
      </c>
      <c r="E36" s="62">
        <v>300</v>
      </c>
      <c r="F36" s="62">
        <v>300</v>
      </c>
      <c r="G36" s="62">
        <v>300</v>
      </c>
      <c r="H36" s="62">
        <v>300</v>
      </c>
      <c r="I36" s="62">
        <v>300</v>
      </c>
      <c r="J36" s="62">
        <v>300</v>
      </c>
      <c r="K36" s="62">
        <v>300</v>
      </c>
      <c r="L36" s="62">
        <v>300</v>
      </c>
      <c r="M36" s="62">
        <v>300</v>
      </c>
      <c r="N36" s="62">
        <v>300</v>
      </c>
      <c r="O36" s="62">
        <v>300</v>
      </c>
      <c r="P36" s="62">
        <v>300</v>
      </c>
      <c r="Q36" s="62">
        <v>300</v>
      </c>
      <c r="R36" s="62">
        <v>300</v>
      </c>
      <c r="S36" s="62">
        <v>300</v>
      </c>
      <c r="T36" s="62">
        <v>300</v>
      </c>
      <c r="U36" s="62">
        <v>300</v>
      </c>
      <c r="V36" s="62">
        <v>300</v>
      </c>
      <c r="W36" s="62">
        <v>300</v>
      </c>
      <c r="X36" s="62">
        <v>300</v>
      </c>
      <c r="Y36" s="62">
        <v>301</v>
      </c>
      <c r="Z36" s="62">
        <v>301</v>
      </c>
      <c r="AA36" s="62">
        <v>301</v>
      </c>
      <c r="AB36" s="62">
        <v>301</v>
      </c>
      <c r="AC36" s="62">
        <v>301</v>
      </c>
      <c r="AD36" s="62">
        <v>301</v>
      </c>
      <c r="AE36" s="62">
        <v>301</v>
      </c>
      <c r="AF36" s="62">
        <v>301</v>
      </c>
      <c r="AG36" s="136">
        <v>85</v>
      </c>
      <c r="AH36" s="54">
        <f t="shared" si="2"/>
        <v>301</v>
      </c>
      <c r="AI36" s="55">
        <f t="shared" si="3"/>
        <v>300</v>
      </c>
      <c r="AK36" s="56"/>
    </row>
    <row r="37" spans="1:88" ht="15.75" thickBot="1" x14ac:dyDescent="0.3">
      <c r="A37" s="63" t="s">
        <v>21</v>
      </c>
      <c r="B37" s="64">
        <f>95.6+66.5</f>
        <v>162.1</v>
      </c>
      <c r="C37" s="62">
        <f>95.8+65.9</f>
        <v>161.69999999999999</v>
      </c>
      <c r="D37" s="62">
        <f>96.5+66.2</f>
        <v>162.69999999999999</v>
      </c>
      <c r="E37" s="62">
        <f>96.4+66.6</f>
        <v>163</v>
      </c>
      <c r="F37" s="62">
        <f>96.6+65.9</f>
        <v>162.5</v>
      </c>
      <c r="G37" s="62">
        <f>96.5+66.2</f>
        <v>162.69999999999999</v>
      </c>
      <c r="H37" s="62">
        <f>96.2+66</f>
        <v>162.19999999999999</v>
      </c>
      <c r="I37" s="62">
        <f>95.6+64.8</f>
        <v>160.39999999999998</v>
      </c>
      <c r="J37" s="62">
        <f>94.9+64.7</f>
        <v>159.60000000000002</v>
      </c>
      <c r="K37" s="62">
        <f>94.7+63.4</f>
        <v>158.1</v>
      </c>
      <c r="L37" s="62">
        <f>95.1+63</f>
        <v>158.1</v>
      </c>
      <c r="M37" s="62">
        <f>61.6+94.7</f>
        <v>156.30000000000001</v>
      </c>
      <c r="N37" s="62">
        <f>59.8+96.6</f>
        <v>156.39999999999998</v>
      </c>
      <c r="O37" s="62">
        <f>59.9+97</f>
        <v>156.9</v>
      </c>
      <c r="P37" s="62">
        <f>60.3+97</f>
        <v>157.30000000000001</v>
      </c>
      <c r="Q37" s="62">
        <f>60.1+93.2</f>
        <v>153.30000000000001</v>
      </c>
      <c r="R37" s="62">
        <f>60.1+93.2</f>
        <v>153.30000000000001</v>
      </c>
      <c r="S37" s="62">
        <f t="shared" ref="S37:Z37" si="4">56.4+97</f>
        <v>153.4</v>
      </c>
      <c r="T37" s="62">
        <f t="shared" si="4"/>
        <v>153.4</v>
      </c>
      <c r="U37" s="62">
        <f t="shared" si="4"/>
        <v>153.4</v>
      </c>
      <c r="V37" s="62">
        <f t="shared" si="4"/>
        <v>153.4</v>
      </c>
      <c r="W37" s="62">
        <f t="shared" si="4"/>
        <v>153.4</v>
      </c>
      <c r="X37" s="62">
        <f t="shared" si="4"/>
        <v>153.4</v>
      </c>
      <c r="Y37" s="62">
        <f t="shared" si="4"/>
        <v>153.4</v>
      </c>
      <c r="Z37" s="62">
        <f t="shared" si="4"/>
        <v>153.4</v>
      </c>
      <c r="AA37" s="62">
        <f t="shared" ref="AA37:AF37" si="5">63+98.5</f>
        <v>161.5</v>
      </c>
      <c r="AB37" s="62">
        <f t="shared" si="5"/>
        <v>161.5</v>
      </c>
      <c r="AC37" s="62">
        <f t="shared" si="5"/>
        <v>161.5</v>
      </c>
      <c r="AD37" s="62">
        <f t="shared" si="5"/>
        <v>161.5</v>
      </c>
      <c r="AE37" s="62">
        <f t="shared" si="5"/>
        <v>161.5</v>
      </c>
      <c r="AF37" s="62">
        <f t="shared" si="5"/>
        <v>161.5</v>
      </c>
      <c r="AG37" s="136">
        <v>240</v>
      </c>
      <c r="AH37" s="54">
        <f t="shared" si="2"/>
        <v>163</v>
      </c>
      <c r="AI37" s="55">
        <f t="shared" si="3"/>
        <v>153.30000000000001</v>
      </c>
      <c r="AK37" s="56"/>
    </row>
    <row r="38" spans="1:88" ht="15.75" thickBot="1" x14ac:dyDescent="0.3">
      <c r="A38" s="131" t="s">
        <v>22</v>
      </c>
      <c r="B38" s="66">
        <f t="shared" ref="B38:AF38" si="6">SUM(B11:B36)</f>
        <v>824.5</v>
      </c>
      <c r="C38" s="66">
        <f t="shared" si="6"/>
        <v>824.19999999999993</v>
      </c>
      <c r="D38" s="66">
        <f t="shared" si="6"/>
        <v>813.9</v>
      </c>
      <c r="E38" s="66">
        <f t="shared" si="6"/>
        <v>823.9</v>
      </c>
      <c r="F38" s="66">
        <f t="shared" si="6"/>
        <v>824.19999999999993</v>
      </c>
      <c r="G38" s="66">
        <f t="shared" si="6"/>
        <v>801.5</v>
      </c>
      <c r="H38" s="66">
        <f t="shared" si="6"/>
        <v>790.5</v>
      </c>
      <c r="I38" s="66">
        <f t="shared" si="6"/>
        <v>765.5</v>
      </c>
      <c r="J38" s="66">
        <f t="shared" si="6"/>
        <v>765.5</v>
      </c>
      <c r="K38" s="66">
        <f t="shared" si="6"/>
        <v>754.5</v>
      </c>
      <c r="L38" s="66">
        <f t="shared" si="6"/>
        <v>754.5</v>
      </c>
      <c r="M38" s="66">
        <f t="shared" si="6"/>
        <v>767.9</v>
      </c>
      <c r="N38" s="66">
        <f t="shared" si="6"/>
        <v>719.7</v>
      </c>
      <c r="O38" s="66">
        <f t="shared" si="6"/>
        <v>788</v>
      </c>
      <c r="P38" s="66">
        <f t="shared" si="6"/>
        <v>793</v>
      </c>
      <c r="Q38" s="66">
        <f t="shared" si="6"/>
        <v>803.7</v>
      </c>
      <c r="R38" s="66">
        <f t="shared" si="6"/>
        <v>778.7</v>
      </c>
      <c r="S38" s="66">
        <f t="shared" si="6"/>
        <v>811.7</v>
      </c>
      <c r="T38" s="66">
        <f t="shared" si="6"/>
        <v>799.2</v>
      </c>
      <c r="U38" s="66">
        <f t="shared" si="6"/>
        <v>799.2</v>
      </c>
      <c r="V38" s="66">
        <f t="shared" si="6"/>
        <v>799.2</v>
      </c>
      <c r="W38" s="66">
        <f t="shared" si="6"/>
        <v>811.7</v>
      </c>
      <c r="X38" s="66">
        <f t="shared" si="6"/>
        <v>811.7</v>
      </c>
      <c r="Y38" s="66">
        <f t="shared" si="6"/>
        <v>808.7</v>
      </c>
      <c r="Z38" s="66">
        <f t="shared" si="6"/>
        <v>808.7</v>
      </c>
      <c r="AA38" s="66">
        <f t="shared" si="6"/>
        <v>808.7</v>
      </c>
      <c r="AB38" s="66">
        <f t="shared" si="6"/>
        <v>808.7</v>
      </c>
      <c r="AC38" s="66">
        <f t="shared" si="6"/>
        <v>808.7</v>
      </c>
      <c r="AD38" s="66">
        <f t="shared" si="6"/>
        <v>808.7</v>
      </c>
      <c r="AE38" s="66">
        <f t="shared" si="6"/>
        <v>808.7</v>
      </c>
      <c r="AF38" s="66">
        <f t="shared" si="6"/>
        <v>808.7</v>
      </c>
      <c r="AG38" s="143">
        <f t="shared" ref="AG38" si="7">SUM(AG11:AG36)</f>
        <v>665.78</v>
      </c>
      <c r="AH38" s="54">
        <f t="shared" si="2"/>
        <v>824.5</v>
      </c>
      <c r="AI38" s="55">
        <f t="shared" si="3"/>
        <v>719.7</v>
      </c>
      <c r="AK38" s="56"/>
    </row>
    <row r="39" spans="1:88" x14ac:dyDescent="0.25">
      <c r="A39" s="159" t="s">
        <v>130</v>
      </c>
      <c r="B39" s="50">
        <v>456</v>
      </c>
      <c r="C39" s="50">
        <v>456</v>
      </c>
      <c r="D39" s="50">
        <v>456</v>
      </c>
      <c r="E39" s="50">
        <v>456</v>
      </c>
      <c r="F39" s="50">
        <v>456</v>
      </c>
      <c r="G39" s="50">
        <v>456</v>
      </c>
      <c r="H39" s="50">
        <v>456</v>
      </c>
      <c r="I39" s="50">
        <v>456</v>
      </c>
      <c r="J39" s="50">
        <v>456</v>
      </c>
      <c r="K39" s="50">
        <v>456</v>
      </c>
      <c r="L39" s="50">
        <v>456</v>
      </c>
      <c r="M39" s="50">
        <v>456</v>
      </c>
      <c r="N39" s="50">
        <v>456</v>
      </c>
      <c r="O39" s="50">
        <v>456</v>
      </c>
      <c r="P39" s="50">
        <v>456</v>
      </c>
      <c r="Q39" s="50">
        <v>456</v>
      </c>
      <c r="R39" s="50">
        <v>456</v>
      </c>
      <c r="S39" s="50">
        <v>456</v>
      </c>
      <c r="T39" s="50">
        <v>456</v>
      </c>
      <c r="U39" s="50">
        <v>456</v>
      </c>
      <c r="V39" s="50">
        <v>456</v>
      </c>
      <c r="W39" s="50">
        <v>456</v>
      </c>
      <c r="X39" s="50">
        <v>456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456</v>
      </c>
      <c r="AF39" s="50">
        <v>456</v>
      </c>
      <c r="AG39" s="135">
        <v>456</v>
      </c>
      <c r="AH39" s="54">
        <f t="shared" si="2"/>
        <v>456</v>
      </c>
      <c r="AI39" s="55">
        <f t="shared" si="3"/>
        <v>456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f t="shared" ref="B42:AF42" si="8">SUM(B39:B41)</f>
        <v>538</v>
      </c>
      <c r="C42" s="66">
        <f t="shared" si="8"/>
        <v>538</v>
      </c>
      <c r="D42" s="66">
        <f t="shared" si="8"/>
        <v>538</v>
      </c>
      <c r="E42" s="66">
        <f t="shared" si="8"/>
        <v>538</v>
      </c>
      <c r="F42" s="66">
        <f t="shared" si="8"/>
        <v>538</v>
      </c>
      <c r="G42" s="66">
        <f t="shared" si="8"/>
        <v>538</v>
      </c>
      <c r="H42" s="66">
        <f t="shared" si="8"/>
        <v>538</v>
      </c>
      <c r="I42" s="66">
        <f t="shared" si="8"/>
        <v>538</v>
      </c>
      <c r="J42" s="66">
        <f t="shared" si="8"/>
        <v>538</v>
      </c>
      <c r="K42" s="66">
        <f t="shared" si="8"/>
        <v>538</v>
      </c>
      <c r="L42" s="66">
        <f t="shared" si="8"/>
        <v>538</v>
      </c>
      <c r="M42" s="66">
        <f t="shared" si="8"/>
        <v>538</v>
      </c>
      <c r="N42" s="66">
        <f t="shared" si="8"/>
        <v>538</v>
      </c>
      <c r="O42" s="66">
        <f t="shared" si="8"/>
        <v>538</v>
      </c>
      <c r="P42" s="66">
        <f t="shared" si="8"/>
        <v>538</v>
      </c>
      <c r="Q42" s="66">
        <f t="shared" si="8"/>
        <v>538</v>
      </c>
      <c r="R42" s="66">
        <f t="shared" si="8"/>
        <v>538</v>
      </c>
      <c r="S42" s="66">
        <f t="shared" si="8"/>
        <v>538</v>
      </c>
      <c r="T42" s="66">
        <f t="shared" si="8"/>
        <v>538</v>
      </c>
      <c r="U42" s="66">
        <f t="shared" si="8"/>
        <v>538</v>
      </c>
      <c r="V42" s="66">
        <f t="shared" si="8"/>
        <v>538</v>
      </c>
      <c r="W42" s="66">
        <f t="shared" si="8"/>
        <v>538</v>
      </c>
      <c r="X42" s="66">
        <f t="shared" si="8"/>
        <v>538</v>
      </c>
      <c r="Y42" s="66">
        <f t="shared" si="8"/>
        <v>538</v>
      </c>
      <c r="Z42" s="66">
        <f t="shared" si="8"/>
        <v>538</v>
      </c>
      <c r="AA42" s="66">
        <f t="shared" si="8"/>
        <v>538</v>
      </c>
      <c r="AB42" s="66">
        <f t="shared" si="8"/>
        <v>538</v>
      </c>
      <c r="AC42" s="66">
        <f t="shared" si="8"/>
        <v>538</v>
      </c>
      <c r="AD42" s="66">
        <f t="shared" si="8"/>
        <v>538</v>
      </c>
      <c r="AE42" s="66">
        <f t="shared" si="8"/>
        <v>538</v>
      </c>
      <c r="AF42" s="66">
        <f t="shared" si="8"/>
        <v>538</v>
      </c>
      <c r="AG42" s="143">
        <f t="shared" ref="AG42" si="9">SUM(AG39:AG41)</f>
        <v>538.1</v>
      </c>
      <c r="AH42" s="54">
        <f t="shared" si="2"/>
        <v>538</v>
      </c>
      <c r="AI42" s="55">
        <f t="shared" si="3"/>
        <v>538</v>
      </c>
      <c r="AK42" s="56"/>
    </row>
    <row r="43" spans="1:88" x14ac:dyDescent="0.25">
      <c r="A43" s="57" t="s">
        <v>23</v>
      </c>
      <c r="B43" s="50">
        <v>143.19999999999999</v>
      </c>
      <c r="C43" s="50">
        <v>143.5</v>
      </c>
      <c r="D43" s="50">
        <v>143.6</v>
      </c>
      <c r="E43" s="50">
        <v>143.6</v>
      </c>
      <c r="F43" s="50">
        <v>143.9</v>
      </c>
      <c r="G43" s="50">
        <v>143.69999999999999</v>
      </c>
      <c r="H43" s="50">
        <v>143.9</v>
      </c>
      <c r="I43" s="50">
        <v>143.6</v>
      </c>
      <c r="J43" s="50">
        <v>143.4</v>
      </c>
      <c r="K43" s="50">
        <v>143.30000000000001</v>
      </c>
      <c r="L43" s="50">
        <v>143</v>
      </c>
      <c r="M43" s="50">
        <v>143</v>
      </c>
      <c r="N43" s="50">
        <v>143</v>
      </c>
      <c r="O43" s="50">
        <v>143</v>
      </c>
      <c r="P43" s="50">
        <v>143.19999999999999</v>
      </c>
      <c r="Q43" s="50">
        <v>143.19999999999999</v>
      </c>
      <c r="R43" s="50">
        <v>144</v>
      </c>
      <c r="S43" s="50">
        <v>144</v>
      </c>
      <c r="T43" s="50">
        <v>144</v>
      </c>
      <c r="U43" s="50">
        <v>144</v>
      </c>
      <c r="V43" s="50">
        <v>144</v>
      </c>
      <c r="W43" s="50">
        <v>144</v>
      </c>
      <c r="X43" s="50">
        <v>144</v>
      </c>
      <c r="Y43" s="50">
        <v>144</v>
      </c>
      <c r="Z43" s="50">
        <v>144</v>
      </c>
      <c r="AA43" s="50">
        <v>144</v>
      </c>
      <c r="AB43" s="50">
        <v>144</v>
      </c>
      <c r="AC43" s="50">
        <v>144</v>
      </c>
      <c r="AD43" s="50">
        <v>144</v>
      </c>
      <c r="AE43" s="50">
        <v>144</v>
      </c>
      <c r="AF43" s="50">
        <v>144</v>
      </c>
      <c r="AG43" s="135">
        <v>144</v>
      </c>
      <c r="AH43" s="54">
        <f t="shared" si="2"/>
        <v>144</v>
      </c>
      <c r="AI43" s="55">
        <f t="shared" si="3"/>
        <v>143</v>
      </c>
      <c r="AK43" s="56"/>
    </row>
    <row r="44" spans="1:88" x14ac:dyDescent="0.25">
      <c r="A44" s="60" t="s">
        <v>24</v>
      </c>
      <c r="B44" s="48">
        <v>70</v>
      </c>
      <c r="C44" s="48">
        <v>70</v>
      </c>
      <c r="D44" s="48">
        <v>70.2</v>
      </c>
      <c r="E44" s="48">
        <v>70.5</v>
      </c>
      <c r="F44" s="48">
        <v>70.8</v>
      </c>
      <c r="G44" s="48">
        <v>71.2</v>
      </c>
      <c r="H44" s="48">
        <v>70.7</v>
      </c>
      <c r="I44" s="48">
        <v>70.8</v>
      </c>
      <c r="J44" s="48">
        <v>71.099999999999994</v>
      </c>
      <c r="K44" s="48">
        <v>72.2</v>
      </c>
      <c r="L44" s="48">
        <v>70.599999999999994</v>
      </c>
      <c r="M44" s="48">
        <v>71.8</v>
      </c>
      <c r="N44" s="48">
        <v>71.8</v>
      </c>
      <c r="O44" s="48">
        <v>71.8</v>
      </c>
      <c r="P44" s="50">
        <v>71.900000000000006</v>
      </c>
      <c r="Q44" s="50">
        <v>71.900000000000006</v>
      </c>
      <c r="R44" s="50">
        <v>73.2</v>
      </c>
      <c r="S44" s="50">
        <v>73.2</v>
      </c>
      <c r="T44" s="50">
        <v>73.2</v>
      </c>
      <c r="U44" s="50">
        <v>73.2</v>
      </c>
      <c r="V44" s="50">
        <v>73.2</v>
      </c>
      <c r="W44" s="50">
        <v>73.2</v>
      </c>
      <c r="X44" s="50">
        <v>73.2</v>
      </c>
      <c r="Y44" s="50">
        <v>73.2</v>
      </c>
      <c r="Z44" s="50">
        <v>73.2</v>
      </c>
      <c r="AA44" s="50">
        <v>73.2</v>
      </c>
      <c r="AB44" s="50">
        <v>73.2</v>
      </c>
      <c r="AC44" s="50">
        <v>73.2</v>
      </c>
      <c r="AD44" s="50">
        <v>73.2</v>
      </c>
      <c r="AE44" s="50">
        <v>73.2</v>
      </c>
      <c r="AF44" s="50">
        <v>73.2</v>
      </c>
      <c r="AG44" s="136">
        <v>70</v>
      </c>
      <c r="AH44" s="54">
        <f t="shared" si="2"/>
        <v>73.2</v>
      </c>
      <c r="AI44" s="55">
        <f t="shared" si="3"/>
        <v>70</v>
      </c>
      <c r="AK44" s="56"/>
    </row>
    <row r="45" spans="1:88" x14ac:dyDescent="0.25">
      <c r="A45" s="60" t="s">
        <v>25</v>
      </c>
      <c r="B45" s="48">
        <v>64.400000000000006</v>
      </c>
      <c r="C45" s="48">
        <v>63.9</v>
      </c>
      <c r="D45" s="48">
        <v>64.3</v>
      </c>
      <c r="E45" s="48">
        <v>63.5</v>
      </c>
      <c r="F45" s="48">
        <v>63.2</v>
      </c>
      <c r="G45" s="48">
        <v>63</v>
      </c>
      <c r="H45" s="48">
        <v>63.1</v>
      </c>
      <c r="I45" s="48">
        <v>64.2</v>
      </c>
      <c r="J45" s="48">
        <v>63.8</v>
      </c>
      <c r="K45" s="48">
        <v>64</v>
      </c>
      <c r="L45" s="48">
        <v>63.6</v>
      </c>
      <c r="M45" s="48">
        <v>63.6</v>
      </c>
      <c r="N45" s="48">
        <v>63.6</v>
      </c>
      <c r="O45" s="48">
        <v>63.6</v>
      </c>
      <c r="P45" s="50">
        <v>64</v>
      </c>
      <c r="Q45" s="50">
        <v>64</v>
      </c>
      <c r="R45" s="50">
        <v>64</v>
      </c>
      <c r="S45" s="50">
        <v>64</v>
      </c>
      <c r="T45" s="50">
        <v>64</v>
      </c>
      <c r="U45" s="50">
        <v>64</v>
      </c>
      <c r="V45" s="50">
        <v>64</v>
      </c>
      <c r="W45" s="50">
        <v>64</v>
      </c>
      <c r="X45" s="50">
        <v>64.400000000000006</v>
      </c>
      <c r="Y45" s="50">
        <v>64.400000000000006</v>
      </c>
      <c r="Z45" s="50">
        <v>64.400000000000006</v>
      </c>
      <c r="AA45" s="50">
        <v>64.400000000000006</v>
      </c>
      <c r="AB45" s="50">
        <v>45</v>
      </c>
      <c r="AC45" s="50">
        <v>64.400000000000006</v>
      </c>
      <c r="AD45" s="50">
        <v>64.400000000000006</v>
      </c>
      <c r="AE45" s="50">
        <v>64.400000000000006</v>
      </c>
      <c r="AF45" s="50">
        <v>64.400000000000006</v>
      </c>
      <c r="AG45" s="136">
        <v>69</v>
      </c>
      <c r="AH45" s="54">
        <f t="shared" si="2"/>
        <v>64.400000000000006</v>
      </c>
      <c r="AI45" s="55">
        <f t="shared" si="3"/>
        <v>45</v>
      </c>
      <c r="AK45" s="56"/>
    </row>
    <row r="46" spans="1:88" x14ac:dyDescent="0.25">
      <c r="A46" s="60" t="s">
        <v>26</v>
      </c>
      <c r="B46" s="62">
        <v>60.7</v>
      </c>
      <c r="C46" s="62">
        <v>60.7</v>
      </c>
      <c r="D46" s="62">
        <v>60.7</v>
      </c>
      <c r="E46" s="62">
        <v>60.7</v>
      </c>
      <c r="F46" s="62">
        <v>60.7</v>
      </c>
      <c r="G46" s="62">
        <v>60.7</v>
      </c>
      <c r="H46" s="62">
        <v>60.7</v>
      </c>
      <c r="I46" s="62">
        <v>60.7</v>
      </c>
      <c r="J46" s="62">
        <v>60.4</v>
      </c>
      <c r="K46" s="62">
        <v>60.4</v>
      </c>
      <c r="L46" s="62">
        <v>60.7</v>
      </c>
      <c r="M46" s="62">
        <v>60.7</v>
      </c>
      <c r="N46" s="62">
        <v>60.7</v>
      </c>
      <c r="O46" s="62">
        <v>60.7</v>
      </c>
      <c r="P46" s="50">
        <v>30.2</v>
      </c>
      <c r="Q46" s="50">
        <v>30.2</v>
      </c>
      <c r="R46" s="50">
        <v>30.2</v>
      </c>
      <c r="S46" s="50">
        <v>30.2</v>
      </c>
      <c r="T46" s="50">
        <v>36.5</v>
      </c>
      <c r="U46" s="50">
        <v>36.5</v>
      </c>
      <c r="V46" s="50">
        <v>36.5</v>
      </c>
      <c r="W46" s="50">
        <v>60</v>
      </c>
      <c r="X46" s="50">
        <v>60</v>
      </c>
      <c r="Y46" s="50">
        <v>60</v>
      </c>
      <c r="Z46" s="50">
        <v>60</v>
      </c>
      <c r="AA46" s="50">
        <v>60</v>
      </c>
      <c r="AB46" s="50">
        <v>44</v>
      </c>
      <c r="AC46" s="50">
        <v>44</v>
      </c>
      <c r="AD46" s="50">
        <v>44</v>
      </c>
      <c r="AE46" s="50">
        <v>44</v>
      </c>
      <c r="AF46" s="50">
        <v>44</v>
      </c>
      <c r="AG46" s="136">
        <v>60</v>
      </c>
      <c r="AH46" s="54">
        <f t="shared" si="2"/>
        <v>60.7</v>
      </c>
      <c r="AI46" s="55">
        <f t="shared" si="3"/>
        <v>30.2</v>
      </c>
      <c r="AK46" s="56"/>
    </row>
    <row r="47" spans="1:88" x14ac:dyDescent="0.25">
      <c r="A47" s="60" t="s">
        <v>27</v>
      </c>
      <c r="B47" s="62">
        <v>28.8</v>
      </c>
      <c r="C47" s="62">
        <v>28.8</v>
      </c>
      <c r="D47" s="62">
        <v>28.8</v>
      </c>
      <c r="E47" s="62">
        <v>28.8</v>
      </c>
      <c r="F47" s="62">
        <v>28.7</v>
      </c>
      <c r="G47" s="62">
        <v>28.7</v>
      </c>
      <c r="H47" s="62">
        <v>28.8</v>
      </c>
      <c r="I47" s="62">
        <v>28.6</v>
      </c>
      <c r="J47" s="62">
        <v>28.6</v>
      </c>
      <c r="K47" s="62">
        <v>28.6</v>
      </c>
      <c r="L47" s="62">
        <v>28.6</v>
      </c>
      <c r="M47" s="62">
        <v>28.6</v>
      </c>
      <c r="N47" s="62">
        <v>28.6</v>
      </c>
      <c r="O47" s="62">
        <v>28.6</v>
      </c>
      <c r="P47" s="50">
        <v>28.8</v>
      </c>
      <c r="Q47" s="50">
        <v>28.8</v>
      </c>
      <c r="R47" s="50">
        <v>28.8</v>
      </c>
      <c r="S47" s="50">
        <v>28.8</v>
      </c>
      <c r="T47" s="50">
        <v>28.8</v>
      </c>
      <c r="U47" s="50">
        <v>15</v>
      </c>
      <c r="V47" s="50">
        <v>29</v>
      </c>
      <c r="W47" s="50">
        <v>29</v>
      </c>
      <c r="X47" s="50">
        <v>29</v>
      </c>
      <c r="Y47" s="50">
        <v>29</v>
      </c>
      <c r="Z47" s="50">
        <v>29</v>
      </c>
      <c r="AA47" s="50">
        <v>29</v>
      </c>
      <c r="AB47" s="50">
        <v>29</v>
      </c>
      <c r="AC47" s="50">
        <v>29</v>
      </c>
      <c r="AD47" s="50">
        <v>29</v>
      </c>
      <c r="AE47" s="50">
        <v>29</v>
      </c>
      <c r="AF47" s="50">
        <v>29</v>
      </c>
      <c r="AG47" s="136">
        <v>30</v>
      </c>
      <c r="AH47" s="54">
        <f t="shared" si="2"/>
        <v>29</v>
      </c>
      <c r="AI47" s="55">
        <f t="shared" si="3"/>
        <v>15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62">
        <v>0</v>
      </c>
      <c r="G48" s="62">
        <v>0</v>
      </c>
      <c r="H48" s="62">
        <v>0</v>
      </c>
      <c r="I48" s="62">
        <v>0</v>
      </c>
      <c r="J48" s="62">
        <v>0</v>
      </c>
      <c r="K48" s="62">
        <v>0</v>
      </c>
      <c r="L48" s="62">
        <v>0</v>
      </c>
      <c r="M48" s="62">
        <v>8</v>
      </c>
      <c r="N48" s="62">
        <v>8</v>
      </c>
      <c r="O48" s="62">
        <v>8</v>
      </c>
      <c r="P48" s="50">
        <v>8</v>
      </c>
      <c r="Q48" s="50">
        <v>8</v>
      </c>
      <c r="R48" s="50">
        <v>8</v>
      </c>
      <c r="S48" s="50">
        <v>8</v>
      </c>
      <c r="T48" s="50">
        <v>8</v>
      </c>
      <c r="U48" s="50">
        <v>8</v>
      </c>
      <c r="V48" s="50">
        <v>8</v>
      </c>
      <c r="W48" s="50">
        <v>8</v>
      </c>
      <c r="X48" s="50">
        <v>8</v>
      </c>
      <c r="Y48" s="50">
        <v>0</v>
      </c>
      <c r="Z48" s="50">
        <v>0</v>
      </c>
      <c r="AA48" s="50">
        <v>0</v>
      </c>
      <c r="AB48" s="50">
        <v>0</v>
      </c>
      <c r="AC48" s="50">
        <v>0</v>
      </c>
      <c r="AD48" s="50">
        <v>0</v>
      </c>
      <c r="AE48" s="50">
        <v>0</v>
      </c>
      <c r="AF48" s="50">
        <v>0</v>
      </c>
      <c r="AG48" s="136">
        <v>25</v>
      </c>
      <c r="AH48" s="54">
        <f t="shared" si="2"/>
        <v>8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15.8</v>
      </c>
      <c r="C49" s="48">
        <v>15.8</v>
      </c>
      <c r="D49" s="48">
        <v>15.8</v>
      </c>
      <c r="E49" s="48">
        <v>15.8</v>
      </c>
      <c r="F49" s="48">
        <v>16</v>
      </c>
      <c r="G49" s="48">
        <v>15.8</v>
      </c>
      <c r="H49" s="48">
        <v>15.8</v>
      </c>
      <c r="I49" s="48">
        <v>15.8</v>
      </c>
      <c r="J49" s="48">
        <v>15.8</v>
      </c>
      <c r="K49" s="48">
        <v>15.8</v>
      </c>
      <c r="L49" s="48">
        <v>15.8</v>
      </c>
      <c r="M49" s="48">
        <v>15.8</v>
      </c>
      <c r="N49" s="48">
        <v>15.8</v>
      </c>
      <c r="O49" s="48">
        <v>15.8</v>
      </c>
      <c r="P49" s="50">
        <v>14</v>
      </c>
      <c r="Q49" s="50">
        <v>14</v>
      </c>
      <c r="R49" s="50">
        <v>14</v>
      </c>
      <c r="S49" s="50">
        <v>14</v>
      </c>
      <c r="T49" s="50">
        <v>14</v>
      </c>
      <c r="U49" s="50">
        <v>16.3</v>
      </c>
      <c r="V49" s="50">
        <v>16.3</v>
      </c>
      <c r="W49" s="50">
        <v>16.3</v>
      </c>
      <c r="X49" s="50">
        <v>16.3</v>
      </c>
      <c r="Y49" s="50">
        <v>16.3</v>
      </c>
      <c r="Z49" s="50">
        <v>16.3</v>
      </c>
      <c r="AA49" s="50">
        <v>16.3</v>
      </c>
      <c r="AB49" s="50">
        <v>16.3</v>
      </c>
      <c r="AC49" s="50">
        <v>16.3</v>
      </c>
      <c r="AD49" s="50">
        <v>16.3</v>
      </c>
      <c r="AE49" s="50">
        <v>16.3</v>
      </c>
      <c r="AF49" s="50">
        <v>16.3</v>
      </c>
      <c r="AG49" s="136">
        <v>24</v>
      </c>
      <c r="AH49" s="54">
        <f t="shared" si="2"/>
        <v>16.3</v>
      </c>
      <c r="AI49" s="55">
        <f t="shared" si="3"/>
        <v>14</v>
      </c>
      <c r="AK49" s="56"/>
    </row>
    <row r="50" spans="1:41" x14ac:dyDescent="0.25">
      <c r="A50" s="60" t="s">
        <v>30</v>
      </c>
      <c r="B50" s="48">
        <v>3</v>
      </c>
      <c r="C50" s="48">
        <v>3</v>
      </c>
      <c r="D50" s="48">
        <v>3</v>
      </c>
      <c r="E50" s="48">
        <v>3</v>
      </c>
      <c r="F50" s="48">
        <v>3</v>
      </c>
      <c r="G50" s="48">
        <v>3</v>
      </c>
      <c r="H50" s="48">
        <v>3</v>
      </c>
      <c r="I50" s="48">
        <v>3</v>
      </c>
      <c r="J50" s="48">
        <v>3</v>
      </c>
      <c r="K50" s="48">
        <v>3</v>
      </c>
      <c r="L50" s="48">
        <v>3</v>
      </c>
      <c r="M50" s="48">
        <v>3</v>
      </c>
      <c r="N50" s="48">
        <v>3</v>
      </c>
      <c r="O50" s="48">
        <v>3</v>
      </c>
      <c r="P50" s="50">
        <v>0</v>
      </c>
      <c r="Q50" s="50">
        <v>0</v>
      </c>
      <c r="R50" s="50">
        <v>0</v>
      </c>
      <c r="S50" s="50">
        <v>2.5</v>
      </c>
      <c r="T50" s="50">
        <v>2.5</v>
      </c>
      <c r="U50" s="50">
        <v>2.5</v>
      </c>
      <c r="V50" s="50">
        <v>2.5</v>
      </c>
      <c r="W50" s="50">
        <v>2.5</v>
      </c>
      <c r="X50" s="50">
        <v>2.5</v>
      </c>
      <c r="Y50" s="50">
        <v>2.5</v>
      </c>
      <c r="Z50" s="50">
        <v>2.5</v>
      </c>
      <c r="AA50" s="50">
        <v>2.5</v>
      </c>
      <c r="AB50" s="50">
        <v>2.5</v>
      </c>
      <c r="AC50" s="50">
        <v>2.5</v>
      </c>
      <c r="AD50" s="50">
        <v>2.5</v>
      </c>
      <c r="AE50" s="50">
        <v>2.5</v>
      </c>
      <c r="AF50" s="50">
        <v>2.5</v>
      </c>
      <c r="AG50" s="136">
        <v>15</v>
      </c>
      <c r="AH50" s="54">
        <f t="shared" si="2"/>
        <v>3</v>
      </c>
      <c r="AI50" s="55">
        <f t="shared" si="3"/>
        <v>0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12.6</v>
      </c>
      <c r="C51" s="48">
        <v>12.6</v>
      </c>
      <c r="D51" s="48">
        <v>13.1</v>
      </c>
      <c r="E51" s="48">
        <v>13.1</v>
      </c>
      <c r="F51" s="48">
        <v>12.9</v>
      </c>
      <c r="G51" s="48">
        <v>12.8</v>
      </c>
      <c r="H51" s="48">
        <v>12.7</v>
      </c>
      <c r="I51" s="48">
        <v>12.7</v>
      </c>
      <c r="J51" s="48">
        <v>12.7</v>
      </c>
      <c r="K51" s="48">
        <v>12.7</v>
      </c>
      <c r="L51" s="48">
        <v>12.7</v>
      </c>
      <c r="M51" s="48">
        <v>12.7</v>
      </c>
      <c r="N51" s="48">
        <v>12.7</v>
      </c>
      <c r="O51" s="48">
        <v>12.7</v>
      </c>
      <c r="P51" s="50">
        <v>12.1</v>
      </c>
      <c r="Q51" s="50">
        <v>12.1</v>
      </c>
      <c r="R51" s="50">
        <v>12.1</v>
      </c>
      <c r="S51" s="50">
        <v>12.1</v>
      </c>
      <c r="T51" s="50">
        <v>12.1</v>
      </c>
      <c r="U51" s="50">
        <v>12.1</v>
      </c>
      <c r="V51" s="50">
        <v>12.1</v>
      </c>
      <c r="W51" s="50">
        <v>12.1</v>
      </c>
      <c r="X51" s="50">
        <v>12.1</v>
      </c>
      <c r="Y51" s="50">
        <v>12.1</v>
      </c>
      <c r="Z51" s="50">
        <v>12.1</v>
      </c>
      <c r="AA51" s="50">
        <v>12.1</v>
      </c>
      <c r="AB51" s="50">
        <v>12.1</v>
      </c>
      <c r="AC51" s="50">
        <v>12.1</v>
      </c>
      <c r="AD51" s="50">
        <v>12.1</v>
      </c>
      <c r="AE51" s="50">
        <v>12.1</v>
      </c>
      <c r="AF51" s="50">
        <v>12.1</v>
      </c>
      <c r="AG51" s="136">
        <v>14.1</v>
      </c>
      <c r="AH51" s="54">
        <f t="shared" si="2"/>
        <v>13.1</v>
      </c>
      <c r="AI51" s="55">
        <f t="shared" si="3"/>
        <v>12.1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13.5</v>
      </c>
      <c r="C52" s="48">
        <v>13</v>
      </c>
      <c r="D52" s="48">
        <v>4.3</v>
      </c>
      <c r="E52" s="48">
        <v>13.7</v>
      </c>
      <c r="F52" s="48">
        <v>13.7</v>
      </c>
      <c r="G52" s="48">
        <v>13.6</v>
      </c>
      <c r="H52" s="48">
        <v>13.4</v>
      </c>
      <c r="I52" s="48">
        <v>13.4</v>
      </c>
      <c r="J52" s="48">
        <v>13.4</v>
      </c>
      <c r="K52" s="48">
        <v>13.4</v>
      </c>
      <c r="L52" s="48">
        <v>13.4</v>
      </c>
      <c r="M52" s="48">
        <v>13.4</v>
      </c>
      <c r="N52" s="48">
        <v>13.4</v>
      </c>
      <c r="O52" s="48">
        <v>13.4</v>
      </c>
      <c r="P52" s="50">
        <v>13.9</v>
      </c>
      <c r="Q52" s="50">
        <v>13.9</v>
      </c>
      <c r="R52" s="50">
        <v>13.9</v>
      </c>
      <c r="S52" s="50">
        <v>13.9</v>
      </c>
      <c r="T52" s="50">
        <v>13.9</v>
      </c>
      <c r="U52" s="50">
        <v>13.9</v>
      </c>
      <c r="V52" s="50">
        <v>13.9</v>
      </c>
      <c r="W52" s="50">
        <v>13.9</v>
      </c>
      <c r="X52" s="50">
        <v>13.9</v>
      </c>
      <c r="Y52" s="50">
        <v>13.9</v>
      </c>
      <c r="Z52" s="50">
        <v>13.9</v>
      </c>
      <c r="AA52" s="50">
        <v>13.9</v>
      </c>
      <c r="AB52" s="50">
        <v>13.9</v>
      </c>
      <c r="AC52" s="50">
        <v>13.9</v>
      </c>
      <c r="AD52" s="50">
        <v>13.9</v>
      </c>
      <c r="AE52" s="50">
        <v>13.9</v>
      </c>
      <c r="AF52" s="50">
        <v>13.9</v>
      </c>
      <c r="AG52" s="136">
        <v>14</v>
      </c>
      <c r="AH52" s="54">
        <f t="shared" si="2"/>
        <v>13.9</v>
      </c>
      <c r="AI52" s="55">
        <f t="shared" si="3"/>
        <v>4.3</v>
      </c>
      <c r="AK52" s="56"/>
    </row>
    <row r="53" spans="1:41" x14ac:dyDescent="0.25">
      <c r="A53" s="60" t="s">
        <v>33</v>
      </c>
      <c r="B53" s="48">
        <v>6.4</v>
      </c>
      <c r="C53" s="48">
        <v>6.4</v>
      </c>
      <c r="D53" s="48">
        <v>6.4</v>
      </c>
      <c r="E53" s="48">
        <v>6.4</v>
      </c>
      <c r="F53" s="48">
        <v>6</v>
      </c>
      <c r="G53" s="48">
        <v>6.1</v>
      </c>
      <c r="H53" s="48">
        <v>6.1</v>
      </c>
      <c r="I53" s="48">
        <v>6.1</v>
      </c>
      <c r="J53" s="48">
        <v>6.1</v>
      </c>
      <c r="K53" s="48">
        <v>6.1</v>
      </c>
      <c r="L53" s="48">
        <v>6.1</v>
      </c>
      <c r="M53" s="48">
        <v>6.1</v>
      </c>
      <c r="N53" s="48">
        <v>6.1</v>
      </c>
      <c r="O53" s="48">
        <v>6.1</v>
      </c>
      <c r="P53" s="50">
        <v>6.1</v>
      </c>
      <c r="Q53" s="50">
        <v>6.1</v>
      </c>
      <c r="R53" s="50">
        <v>6.1</v>
      </c>
      <c r="S53" s="50">
        <v>6.1</v>
      </c>
      <c r="T53" s="50">
        <v>6.1</v>
      </c>
      <c r="U53" s="50">
        <v>0</v>
      </c>
      <c r="V53" s="50">
        <v>0</v>
      </c>
      <c r="W53" s="50">
        <v>6.2</v>
      </c>
      <c r="X53" s="50">
        <v>6.2</v>
      </c>
      <c r="Y53" s="50">
        <v>6.2</v>
      </c>
      <c r="Z53" s="50">
        <v>6.2</v>
      </c>
      <c r="AA53" s="50">
        <v>6.2</v>
      </c>
      <c r="AB53" s="50">
        <v>6.2</v>
      </c>
      <c r="AC53" s="50">
        <v>6.2</v>
      </c>
      <c r="AD53" s="50">
        <v>6.2</v>
      </c>
      <c r="AE53" s="50">
        <v>6.2</v>
      </c>
      <c r="AF53" s="50">
        <v>6.2</v>
      </c>
      <c r="AG53" s="136">
        <v>10.050000000000001</v>
      </c>
      <c r="AH53" s="54">
        <f t="shared" si="2"/>
        <v>6.4</v>
      </c>
      <c r="AI53" s="55">
        <f t="shared" si="3"/>
        <v>0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48">
        <v>6.2</v>
      </c>
      <c r="N54" s="48">
        <v>6.2</v>
      </c>
      <c r="O54" s="48">
        <v>6.2</v>
      </c>
      <c r="P54" s="50">
        <v>6.2</v>
      </c>
      <c r="Q54" s="50">
        <v>6.2</v>
      </c>
      <c r="R54" s="50">
        <v>6.2</v>
      </c>
      <c r="S54" s="50">
        <v>6.2</v>
      </c>
      <c r="T54" s="50">
        <v>6.2</v>
      </c>
      <c r="U54" s="50">
        <v>6.2</v>
      </c>
      <c r="V54" s="50">
        <v>6.2</v>
      </c>
      <c r="W54" s="50">
        <v>6.2</v>
      </c>
      <c r="X54" s="50">
        <v>6.2</v>
      </c>
      <c r="Y54" s="50">
        <v>6.2</v>
      </c>
      <c r="Z54" s="50">
        <v>6.2</v>
      </c>
      <c r="AA54" s="50">
        <v>6.2</v>
      </c>
      <c r="AB54" s="50">
        <v>6.2</v>
      </c>
      <c r="AC54" s="50">
        <v>6.2</v>
      </c>
      <c r="AD54" s="50">
        <v>6.2</v>
      </c>
      <c r="AE54" s="50">
        <v>6.2</v>
      </c>
      <c r="AF54" s="50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10">AG220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 t="shared" ref="B56:AF56" si="11">SUM(B43:B55)</f>
        <v>428.14000000000004</v>
      </c>
      <c r="C56" s="66">
        <f t="shared" si="11"/>
        <v>427.44</v>
      </c>
      <c r="D56" s="66">
        <f t="shared" si="11"/>
        <v>419.94000000000005</v>
      </c>
      <c r="E56" s="66">
        <f t="shared" si="11"/>
        <v>428.84000000000003</v>
      </c>
      <c r="F56" s="66">
        <f t="shared" si="11"/>
        <v>428.63999999999993</v>
      </c>
      <c r="G56" s="66">
        <f t="shared" si="11"/>
        <v>428.34000000000003</v>
      </c>
      <c r="H56" s="66">
        <f t="shared" si="11"/>
        <v>427.94000000000005</v>
      </c>
      <c r="I56" s="66">
        <f t="shared" si="11"/>
        <v>428.64</v>
      </c>
      <c r="J56" s="66">
        <f t="shared" si="11"/>
        <v>428.04</v>
      </c>
      <c r="K56" s="66">
        <f t="shared" si="11"/>
        <v>429.24</v>
      </c>
      <c r="L56" s="66">
        <f t="shared" si="11"/>
        <v>427.24</v>
      </c>
      <c r="M56" s="66">
        <f t="shared" si="11"/>
        <v>436.44000000000005</v>
      </c>
      <c r="N56" s="66">
        <f t="shared" si="11"/>
        <v>436.44000000000005</v>
      </c>
      <c r="O56" s="66">
        <f t="shared" si="11"/>
        <v>436.44000000000005</v>
      </c>
      <c r="P56" s="66">
        <f t="shared" si="11"/>
        <v>401.94000000000005</v>
      </c>
      <c r="Q56" s="66">
        <f t="shared" si="11"/>
        <v>401.94000000000005</v>
      </c>
      <c r="R56" s="66">
        <f t="shared" si="11"/>
        <v>404.04</v>
      </c>
      <c r="S56" s="66">
        <f t="shared" si="11"/>
        <v>406.54</v>
      </c>
      <c r="T56" s="66">
        <f t="shared" si="11"/>
        <v>412.84000000000003</v>
      </c>
      <c r="U56" s="66">
        <f t="shared" si="11"/>
        <v>395.24</v>
      </c>
      <c r="V56" s="66">
        <f t="shared" si="11"/>
        <v>409.24</v>
      </c>
      <c r="W56" s="66">
        <f t="shared" si="11"/>
        <v>438.94</v>
      </c>
      <c r="X56" s="66">
        <f t="shared" si="11"/>
        <v>439.34000000000003</v>
      </c>
      <c r="Y56" s="66">
        <f t="shared" si="11"/>
        <v>431.34000000000003</v>
      </c>
      <c r="Z56" s="66">
        <f t="shared" si="11"/>
        <v>431.34000000000003</v>
      </c>
      <c r="AA56" s="66">
        <f t="shared" si="11"/>
        <v>431.34000000000003</v>
      </c>
      <c r="AB56" s="66">
        <f t="shared" si="11"/>
        <v>395.94</v>
      </c>
      <c r="AC56" s="66">
        <f t="shared" si="11"/>
        <v>415.34000000000003</v>
      </c>
      <c r="AD56" s="66">
        <f t="shared" si="11"/>
        <v>415.34000000000003</v>
      </c>
      <c r="AE56" s="66">
        <f t="shared" si="11"/>
        <v>415.34000000000003</v>
      </c>
      <c r="AF56" s="66">
        <f t="shared" si="11"/>
        <v>415.34000000000003</v>
      </c>
      <c r="AG56" s="143">
        <f t="shared" ref="AG56" si="12">SUM(AG43:AG55)</f>
        <v>489.91</v>
      </c>
      <c r="AH56" s="54">
        <f t="shared" si="2"/>
        <v>439.34000000000003</v>
      </c>
      <c r="AI56" s="55">
        <f t="shared" si="3"/>
        <v>395.24</v>
      </c>
      <c r="AK56" s="56"/>
    </row>
    <row r="57" spans="1:41" x14ac:dyDescent="0.25">
      <c r="A57" s="57" t="s">
        <v>37</v>
      </c>
      <c r="B57" s="50">
        <v>10</v>
      </c>
      <c r="C57" s="50">
        <v>10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50">
        <v>29.8</v>
      </c>
      <c r="P57" s="50">
        <v>20</v>
      </c>
      <c r="Q57" s="50">
        <v>20.3</v>
      </c>
      <c r="R57" s="50">
        <v>50.4</v>
      </c>
      <c r="S57" s="50">
        <v>10.199999999999999</v>
      </c>
      <c r="T57" s="50">
        <v>10.3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29.8</v>
      </c>
      <c r="AB57" s="50">
        <v>29.8</v>
      </c>
      <c r="AC57" s="50">
        <v>30</v>
      </c>
      <c r="AD57" s="50">
        <v>14</v>
      </c>
      <c r="AE57" s="50">
        <v>20</v>
      </c>
      <c r="AF57" s="50">
        <v>10</v>
      </c>
      <c r="AG57" s="135">
        <v>60</v>
      </c>
      <c r="AH57" s="54">
        <f t="shared" si="2"/>
        <v>50.4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4.9000000000000004</v>
      </c>
      <c r="C58" s="48">
        <v>4.9000000000000004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16.2</v>
      </c>
      <c r="P58" s="48">
        <v>10.7</v>
      </c>
      <c r="Q58" s="48">
        <v>10.199999999999999</v>
      </c>
      <c r="R58" s="48">
        <v>25.4</v>
      </c>
      <c r="S58" s="48">
        <v>13.8</v>
      </c>
      <c r="T58" s="48">
        <v>5.3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16.100000000000001</v>
      </c>
      <c r="AB58" s="48">
        <v>16.100000000000001</v>
      </c>
      <c r="AC58" s="48">
        <v>14</v>
      </c>
      <c r="AD58" s="48">
        <v>7</v>
      </c>
      <c r="AE58" s="48">
        <v>7</v>
      </c>
      <c r="AF58" s="48">
        <v>5</v>
      </c>
      <c r="AG58" s="136">
        <v>32</v>
      </c>
      <c r="AH58" s="54">
        <f t="shared" si="2"/>
        <v>25.4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1.8</v>
      </c>
      <c r="C59" s="70">
        <v>1.8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70">
        <v>5.9</v>
      </c>
      <c r="P59" s="70">
        <v>3.9</v>
      </c>
      <c r="Q59" s="70">
        <v>3.7</v>
      </c>
      <c r="R59" s="70">
        <v>9.3000000000000007</v>
      </c>
      <c r="S59" s="70">
        <v>5</v>
      </c>
      <c r="T59" s="70">
        <v>1.9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70">
        <v>5.9</v>
      </c>
      <c r="AB59" s="70">
        <v>5.9</v>
      </c>
      <c r="AC59" s="70">
        <v>5.0999999999999996</v>
      </c>
      <c r="AD59" s="70">
        <v>2.5</v>
      </c>
      <c r="AE59" s="70">
        <v>2.5</v>
      </c>
      <c r="AF59" s="70">
        <v>1.7</v>
      </c>
      <c r="AG59" s="137">
        <v>14</v>
      </c>
      <c r="AH59" s="54">
        <f t="shared" si="2"/>
        <v>9.3000000000000007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 t="shared" ref="B60:AF60" si="13">SUM(B57:B59)</f>
        <v>16.7</v>
      </c>
      <c r="C60" s="66">
        <f t="shared" si="13"/>
        <v>16.7</v>
      </c>
      <c r="D60" s="66">
        <f t="shared" si="13"/>
        <v>0</v>
      </c>
      <c r="E60" s="66">
        <f t="shared" si="13"/>
        <v>0</v>
      </c>
      <c r="F60" s="66">
        <f t="shared" si="13"/>
        <v>0</v>
      </c>
      <c r="G60" s="66">
        <f t="shared" si="13"/>
        <v>0</v>
      </c>
      <c r="H60" s="66">
        <f t="shared" si="13"/>
        <v>0</v>
      </c>
      <c r="I60" s="66">
        <f t="shared" si="13"/>
        <v>0</v>
      </c>
      <c r="J60" s="66">
        <f t="shared" si="13"/>
        <v>0</v>
      </c>
      <c r="K60" s="66">
        <f t="shared" si="13"/>
        <v>0</v>
      </c>
      <c r="L60" s="66">
        <f t="shared" si="13"/>
        <v>0</v>
      </c>
      <c r="M60" s="66">
        <f t="shared" si="13"/>
        <v>0</v>
      </c>
      <c r="N60" s="66">
        <f t="shared" si="13"/>
        <v>0</v>
      </c>
      <c r="O60" s="66">
        <f t="shared" si="13"/>
        <v>51.9</v>
      </c>
      <c r="P60" s="66">
        <f t="shared" si="13"/>
        <v>34.6</v>
      </c>
      <c r="Q60" s="66">
        <f t="shared" si="13"/>
        <v>34.200000000000003</v>
      </c>
      <c r="R60" s="66">
        <f t="shared" si="13"/>
        <v>85.1</v>
      </c>
      <c r="S60" s="66">
        <f t="shared" si="13"/>
        <v>29</v>
      </c>
      <c r="T60" s="66">
        <f t="shared" si="13"/>
        <v>17.5</v>
      </c>
      <c r="U60" s="66">
        <f t="shared" si="13"/>
        <v>0</v>
      </c>
      <c r="V60" s="66">
        <f t="shared" si="13"/>
        <v>0</v>
      </c>
      <c r="W60" s="66">
        <f t="shared" si="13"/>
        <v>0</v>
      </c>
      <c r="X60" s="66">
        <f t="shared" si="13"/>
        <v>0</v>
      </c>
      <c r="Y60" s="66">
        <f t="shared" si="13"/>
        <v>0</v>
      </c>
      <c r="Z60" s="66">
        <f t="shared" si="13"/>
        <v>0</v>
      </c>
      <c r="AA60" s="66">
        <f t="shared" si="13"/>
        <v>51.800000000000004</v>
      </c>
      <c r="AB60" s="66">
        <f t="shared" si="13"/>
        <v>51.800000000000004</v>
      </c>
      <c r="AC60" s="66">
        <f t="shared" si="13"/>
        <v>49.1</v>
      </c>
      <c r="AD60" s="66">
        <f t="shared" si="13"/>
        <v>23.5</v>
      </c>
      <c r="AE60" s="66">
        <f t="shared" si="13"/>
        <v>29.5</v>
      </c>
      <c r="AF60" s="66">
        <f t="shared" si="13"/>
        <v>16.7</v>
      </c>
      <c r="AG60" s="143">
        <f t="shared" ref="AG60" si="14">SUM(AG57:AG59)</f>
        <v>106</v>
      </c>
      <c r="AH60" s="54">
        <f t="shared" si="2"/>
        <v>85.1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40.200000000000003</v>
      </c>
      <c r="C61" s="50">
        <v>35.4</v>
      </c>
      <c r="D61" s="50">
        <v>35.700000000000003</v>
      </c>
      <c r="E61" s="50">
        <v>39.5</v>
      </c>
      <c r="F61" s="50">
        <v>35.299999999999997</v>
      </c>
      <c r="G61" s="50">
        <v>35.700000000000003</v>
      </c>
      <c r="H61" s="50">
        <v>34.6</v>
      </c>
      <c r="I61" s="50">
        <v>22</v>
      </c>
      <c r="J61" s="50">
        <v>53.6</v>
      </c>
      <c r="K61" s="50">
        <v>52</v>
      </c>
      <c r="L61" s="50">
        <v>48</v>
      </c>
      <c r="M61" s="50">
        <v>39</v>
      </c>
      <c r="N61" s="50">
        <v>47.3</v>
      </c>
      <c r="O61" s="50">
        <v>68.900000000000006</v>
      </c>
      <c r="P61" s="50">
        <v>72.3</v>
      </c>
      <c r="Q61" s="50">
        <v>73.7</v>
      </c>
      <c r="R61" s="50">
        <v>68</v>
      </c>
      <c r="S61" s="50">
        <v>62.3</v>
      </c>
      <c r="T61" s="50">
        <v>64</v>
      </c>
      <c r="U61" s="50">
        <v>60.2</v>
      </c>
      <c r="V61" s="50">
        <v>64</v>
      </c>
      <c r="W61" s="50">
        <v>55.6</v>
      </c>
      <c r="X61" s="50">
        <v>48.5</v>
      </c>
      <c r="Y61" s="50">
        <v>48.3</v>
      </c>
      <c r="Z61" s="50">
        <v>38.1</v>
      </c>
      <c r="AA61" s="50">
        <v>48.5</v>
      </c>
      <c r="AB61" s="50">
        <v>68</v>
      </c>
      <c r="AC61" s="50">
        <v>67</v>
      </c>
      <c r="AD61" s="50">
        <v>71</v>
      </c>
      <c r="AE61" s="50">
        <v>53</v>
      </c>
      <c r="AF61" s="50">
        <v>45</v>
      </c>
      <c r="AG61" s="135"/>
      <c r="AH61" s="54">
        <f t="shared" si="2"/>
        <v>73.7</v>
      </c>
      <c r="AI61" s="55">
        <f t="shared" si="3"/>
        <v>22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-360</v>
      </c>
      <c r="C63" s="48">
        <v>-338.1</v>
      </c>
      <c r="D63" s="48">
        <v>-340</v>
      </c>
      <c r="E63" s="48">
        <v>-365.1</v>
      </c>
      <c r="F63" s="48">
        <v>-369</v>
      </c>
      <c r="G63" s="48">
        <v>-393</v>
      </c>
      <c r="H63" s="48">
        <v>-376.3</v>
      </c>
      <c r="I63" s="48">
        <v>-320</v>
      </c>
      <c r="J63" s="48">
        <v>-306</v>
      </c>
      <c r="K63" s="48">
        <v>-297</v>
      </c>
      <c r="L63" s="48">
        <v>-280</v>
      </c>
      <c r="M63" s="48">
        <v>-298</v>
      </c>
      <c r="N63" s="48">
        <v>-184.5</v>
      </c>
      <c r="O63" s="48">
        <v>-198</v>
      </c>
      <c r="P63" s="48">
        <v>-176.8</v>
      </c>
      <c r="Q63" s="48">
        <v>-189.3</v>
      </c>
      <c r="R63" s="48">
        <v>-145</v>
      </c>
      <c r="S63" s="48">
        <v>-199</v>
      </c>
      <c r="T63" s="48">
        <v>-191</v>
      </c>
      <c r="U63" s="48">
        <v>-195</v>
      </c>
      <c r="V63" s="48">
        <v>-237</v>
      </c>
      <c r="W63" s="48">
        <v>-310</v>
      </c>
      <c r="X63" s="48">
        <v>-298</v>
      </c>
      <c r="Y63" s="48">
        <v>-276</v>
      </c>
      <c r="Z63" s="48">
        <v>-235</v>
      </c>
      <c r="AA63" s="48">
        <v>-207.5</v>
      </c>
      <c r="AB63" s="48">
        <v>-171</v>
      </c>
      <c r="AC63" s="48">
        <v>-227</v>
      </c>
      <c r="AD63" s="48">
        <v>-202</v>
      </c>
      <c r="AE63" s="48">
        <v>-250</v>
      </c>
      <c r="AF63" s="48">
        <v>-290</v>
      </c>
      <c r="AG63" s="140"/>
      <c r="AH63" s="54">
        <f t="shared" si="2"/>
        <v>-145</v>
      </c>
      <c r="AI63" s="55">
        <f t="shared" si="3"/>
        <v>-393</v>
      </c>
      <c r="AK63" s="56"/>
    </row>
    <row r="64" spans="1:41" x14ac:dyDescent="0.25">
      <c r="A64" s="60" t="s">
        <v>44</v>
      </c>
      <c r="B64" s="71">
        <v>10</v>
      </c>
      <c r="C64" s="71">
        <v>10</v>
      </c>
      <c r="D64" s="71">
        <v>11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140"/>
      <c r="AH64" s="54">
        <f t="shared" si="2"/>
        <v>11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5</v>
      </c>
      <c r="C66" s="72">
        <v>5</v>
      </c>
      <c r="D66" s="72">
        <v>5</v>
      </c>
      <c r="E66" s="72">
        <v>5</v>
      </c>
      <c r="F66" s="72">
        <v>5</v>
      </c>
      <c r="G66" s="72">
        <v>0</v>
      </c>
      <c r="H66" s="72">
        <v>5</v>
      </c>
      <c r="I66" s="72">
        <v>5</v>
      </c>
      <c r="J66" s="72">
        <v>5</v>
      </c>
      <c r="K66" s="72">
        <v>5</v>
      </c>
      <c r="L66" s="72">
        <v>5</v>
      </c>
      <c r="M66" s="72">
        <v>5</v>
      </c>
      <c r="N66" s="72">
        <v>5</v>
      </c>
      <c r="O66" s="72">
        <v>5</v>
      </c>
      <c r="P66" s="72">
        <v>5</v>
      </c>
      <c r="Q66" s="72">
        <v>5</v>
      </c>
      <c r="R66" s="72">
        <v>5</v>
      </c>
      <c r="S66" s="72">
        <v>5</v>
      </c>
      <c r="T66" s="72">
        <v>5</v>
      </c>
      <c r="U66" s="72">
        <v>5</v>
      </c>
      <c r="V66" s="72">
        <v>5</v>
      </c>
      <c r="W66" s="72">
        <v>5</v>
      </c>
      <c r="X66" s="72">
        <v>5</v>
      </c>
      <c r="Y66" s="72">
        <v>5</v>
      </c>
      <c r="Z66" s="72">
        <v>5</v>
      </c>
      <c r="AA66" s="72">
        <v>5</v>
      </c>
      <c r="AB66" s="72">
        <v>5</v>
      </c>
      <c r="AC66" s="72">
        <v>5</v>
      </c>
      <c r="AD66" s="72">
        <v>5</v>
      </c>
      <c r="AE66" s="72">
        <v>5</v>
      </c>
      <c r="AF66" s="72">
        <v>5</v>
      </c>
      <c r="AG66" s="140"/>
      <c r="AH66" s="54">
        <f t="shared" si="2"/>
        <v>5</v>
      </c>
      <c r="AI66" s="55">
        <f t="shared" si="3"/>
        <v>0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1">
        <v>0</v>
      </c>
      <c r="D68" s="71">
        <v>0</v>
      </c>
      <c r="E68" s="71">
        <v>0</v>
      </c>
      <c r="F68" s="71">
        <v>0</v>
      </c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1">
        <v>0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4">
        <v>0</v>
      </c>
      <c r="C70" s="74">
        <v>0</v>
      </c>
      <c r="D70" s="74">
        <v>0</v>
      </c>
      <c r="E70" s="74">
        <v>0</v>
      </c>
      <c r="F70" s="74">
        <v>0</v>
      </c>
      <c r="G70" s="74">
        <v>0</v>
      </c>
      <c r="H70" s="74">
        <v>0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4">
        <v>0</v>
      </c>
      <c r="C71" s="74">
        <v>0</v>
      </c>
      <c r="D71" s="74">
        <v>0</v>
      </c>
      <c r="E71" s="74">
        <v>0</v>
      </c>
      <c r="F71" s="74">
        <v>0</v>
      </c>
      <c r="G71" s="74">
        <v>0</v>
      </c>
      <c r="H71" s="74">
        <v>0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 t="shared" ref="B72:AF72" si="15">SUMIF(B61:B71,"&gt;0")</f>
        <v>55.2</v>
      </c>
      <c r="C72" s="66">
        <f t="shared" si="15"/>
        <v>50.4</v>
      </c>
      <c r="D72" s="66">
        <f t="shared" si="15"/>
        <v>51.7</v>
      </c>
      <c r="E72" s="66">
        <f t="shared" si="15"/>
        <v>44.5</v>
      </c>
      <c r="F72" s="66">
        <f t="shared" si="15"/>
        <v>40.299999999999997</v>
      </c>
      <c r="G72" s="66">
        <f t="shared" si="15"/>
        <v>35.700000000000003</v>
      </c>
      <c r="H72" s="66">
        <f t="shared" si="15"/>
        <v>39.6</v>
      </c>
      <c r="I72" s="66">
        <f t="shared" si="15"/>
        <v>27</v>
      </c>
      <c r="J72" s="66">
        <f t="shared" si="15"/>
        <v>58.6</v>
      </c>
      <c r="K72" s="66">
        <f t="shared" si="15"/>
        <v>57</v>
      </c>
      <c r="L72" s="66">
        <f t="shared" si="15"/>
        <v>53</v>
      </c>
      <c r="M72" s="66">
        <f t="shared" si="15"/>
        <v>44</v>
      </c>
      <c r="N72" s="66">
        <f t="shared" si="15"/>
        <v>52.3</v>
      </c>
      <c r="O72" s="66">
        <f t="shared" si="15"/>
        <v>73.900000000000006</v>
      </c>
      <c r="P72" s="66">
        <f t="shared" si="15"/>
        <v>77.3</v>
      </c>
      <c r="Q72" s="66">
        <f t="shared" si="15"/>
        <v>78.7</v>
      </c>
      <c r="R72" s="66">
        <f t="shared" si="15"/>
        <v>73</v>
      </c>
      <c r="S72" s="66">
        <f t="shared" si="15"/>
        <v>67.3</v>
      </c>
      <c r="T72" s="66">
        <f t="shared" si="15"/>
        <v>69</v>
      </c>
      <c r="U72" s="66">
        <f t="shared" si="15"/>
        <v>65.2</v>
      </c>
      <c r="V72" s="66">
        <f t="shared" si="15"/>
        <v>69</v>
      </c>
      <c r="W72" s="66">
        <f t="shared" si="15"/>
        <v>60.6</v>
      </c>
      <c r="X72" s="66">
        <f t="shared" si="15"/>
        <v>53.5</v>
      </c>
      <c r="Y72" s="66">
        <f t="shared" si="15"/>
        <v>53.3</v>
      </c>
      <c r="Z72" s="66">
        <f t="shared" si="15"/>
        <v>43.1</v>
      </c>
      <c r="AA72" s="66">
        <f t="shared" si="15"/>
        <v>53.5</v>
      </c>
      <c r="AB72" s="66">
        <f t="shared" si="15"/>
        <v>73</v>
      </c>
      <c r="AC72" s="66">
        <f t="shared" si="15"/>
        <v>72</v>
      </c>
      <c r="AD72" s="66">
        <f t="shared" si="15"/>
        <v>76</v>
      </c>
      <c r="AE72" s="66">
        <f t="shared" si="15"/>
        <v>58</v>
      </c>
      <c r="AF72" s="66">
        <f t="shared" si="15"/>
        <v>50</v>
      </c>
      <c r="AG72" s="138">
        <f>SUM(AG61:AG71)</f>
        <v>0</v>
      </c>
      <c r="AH72" s="54">
        <f t="shared" si="2"/>
        <v>78.7</v>
      </c>
      <c r="AI72" s="55">
        <f t="shared" si="3"/>
        <v>27</v>
      </c>
      <c r="AK72" s="56"/>
    </row>
    <row r="73" spans="1:88" x14ac:dyDescent="0.25">
      <c r="A73" s="57" t="s">
        <v>53</v>
      </c>
      <c r="B73" s="71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>
        <v>0</v>
      </c>
      <c r="C75" s="74">
        <v>0</v>
      </c>
      <c r="D75" s="74">
        <v>0</v>
      </c>
      <c r="E75" s="74">
        <v>0</v>
      </c>
      <c r="F75" s="74">
        <v>0</v>
      </c>
      <c r="G75" s="74">
        <v>0</v>
      </c>
      <c r="H75" s="74">
        <v>0</v>
      </c>
      <c r="I75" s="74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 t="shared" ref="B77:AF77" si="16">B38+B42+B60+B56+B72+B76</f>
        <v>1862.5400000000002</v>
      </c>
      <c r="C77" s="75">
        <f t="shared" si="16"/>
        <v>1856.74</v>
      </c>
      <c r="D77" s="75">
        <f t="shared" si="16"/>
        <v>1823.5400000000002</v>
      </c>
      <c r="E77" s="75">
        <f t="shared" si="16"/>
        <v>1835.2400000000002</v>
      </c>
      <c r="F77" s="75">
        <f t="shared" si="16"/>
        <v>1831.1399999999996</v>
      </c>
      <c r="G77" s="75">
        <f t="shared" si="16"/>
        <v>1803.5400000000002</v>
      </c>
      <c r="H77" s="75">
        <f t="shared" si="16"/>
        <v>1796.04</v>
      </c>
      <c r="I77" s="75">
        <f t="shared" si="16"/>
        <v>1759.1399999999999</v>
      </c>
      <c r="J77" s="75">
        <f t="shared" si="16"/>
        <v>1790.1399999999999</v>
      </c>
      <c r="K77" s="75">
        <f t="shared" si="16"/>
        <v>1778.74</v>
      </c>
      <c r="L77" s="75">
        <f t="shared" si="16"/>
        <v>1772.74</v>
      </c>
      <c r="M77" s="75">
        <f t="shared" si="16"/>
        <v>1786.3400000000001</v>
      </c>
      <c r="N77" s="75">
        <f t="shared" si="16"/>
        <v>1746.44</v>
      </c>
      <c r="O77" s="75">
        <f t="shared" si="16"/>
        <v>1888.2400000000002</v>
      </c>
      <c r="P77" s="75">
        <f t="shared" si="16"/>
        <v>1844.84</v>
      </c>
      <c r="Q77" s="75">
        <f t="shared" si="16"/>
        <v>1856.5400000000002</v>
      </c>
      <c r="R77" s="75">
        <f t="shared" si="16"/>
        <v>1878.84</v>
      </c>
      <c r="S77" s="75">
        <f t="shared" si="16"/>
        <v>1852.54</v>
      </c>
      <c r="T77" s="75">
        <f t="shared" si="16"/>
        <v>1836.54</v>
      </c>
      <c r="U77" s="75">
        <f t="shared" si="16"/>
        <v>1797.64</v>
      </c>
      <c r="V77" s="75">
        <f t="shared" si="16"/>
        <v>1815.44</v>
      </c>
      <c r="W77" s="75">
        <f t="shared" si="16"/>
        <v>1849.24</v>
      </c>
      <c r="X77" s="75">
        <f t="shared" si="16"/>
        <v>1842.54</v>
      </c>
      <c r="Y77" s="75">
        <f t="shared" si="16"/>
        <v>1831.34</v>
      </c>
      <c r="Z77" s="75">
        <f t="shared" si="16"/>
        <v>1821.1399999999999</v>
      </c>
      <c r="AA77" s="75">
        <f t="shared" si="16"/>
        <v>1883.3400000000001</v>
      </c>
      <c r="AB77" s="75">
        <f t="shared" si="16"/>
        <v>1867.44</v>
      </c>
      <c r="AC77" s="75">
        <f t="shared" si="16"/>
        <v>1883.1399999999999</v>
      </c>
      <c r="AD77" s="75">
        <f t="shared" si="16"/>
        <v>1861.54</v>
      </c>
      <c r="AE77" s="75">
        <f t="shared" si="16"/>
        <v>1849.54</v>
      </c>
      <c r="AF77" s="75">
        <f t="shared" si="16"/>
        <v>1828.7400000000002</v>
      </c>
      <c r="AG77" s="143">
        <f>AG38+AG42+AG60+AG56+AG72+AG76</f>
        <v>1855.1900000000003</v>
      </c>
      <c r="AH77" s="54">
        <f t="shared" si="2"/>
        <v>1888.2400000000002</v>
      </c>
      <c r="AI77" s="55">
        <f t="shared" si="3"/>
        <v>1746.44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0</v>
      </c>
      <c r="AI78" s="55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 t="shared" ref="B79:AF79" si="17">B77+B78</f>
        <v>1862.5400000000002</v>
      </c>
      <c r="C79" s="75">
        <f t="shared" si="17"/>
        <v>1856.74</v>
      </c>
      <c r="D79" s="75">
        <f t="shared" si="17"/>
        <v>1823.5400000000002</v>
      </c>
      <c r="E79" s="75">
        <f t="shared" si="17"/>
        <v>1835.2400000000002</v>
      </c>
      <c r="F79" s="75">
        <f t="shared" si="17"/>
        <v>1831.1399999999996</v>
      </c>
      <c r="G79" s="75">
        <f t="shared" si="17"/>
        <v>1803.5400000000002</v>
      </c>
      <c r="H79" s="75">
        <f t="shared" si="17"/>
        <v>1796.04</v>
      </c>
      <c r="I79" s="75">
        <f t="shared" si="17"/>
        <v>1759.1399999999999</v>
      </c>
      <c r="J79" s="75">
        <f t="shared" si="17"/>
        <v>1790.1399999999999</v>
      </c>
      <c r="K79" s="75">
        <f t="shared" si="17"/>
        <v>1778.74</v>
      </c>
      <c r="L79" s="75">
        <f t="shared" si="17"/>
        <v>1772.74</v>
      </c>
      <c r="M79" s="75">
        <f t="shared" si="17"/>
        <v>1786.3400000000001</v>
      </c>
      <c r="N79" s="75">
        <f t="shared" si="17"/>
        <v>1746.44</v>
      </c>
      <c r="O79" s="75">
        <f t="shared" si="17"/>
        <v>1888.2400000000002</v>
      </c>
      <c r="P79" s="75">
        <f t="shared" si="17"/>
        <v>1844.84</v>
      </c>
      <c r="Q79" s="75">
        <f t="shared" si="17"/>
        <v>1856.5400000000002</v>
      </c>
      <c r="R79" s="75">
        <f t="shared" si="17"/>
        <v>1878.84</v>
      </c>
      <c r="S79" s="75">
        <f t="shared" si="17"/>
        <v>1852.54</v>
      </c>
      <c r="T79" s="75">
        <f t="shared" si="17"/>
        <v>1836.54</v>
      </c>
      <c r="U79" s="75">
        <f t="shared" si="17"/>
        <v>1797.64</v>
      </c>
      <c r="V79" s="75">
        <f t="shared" si="17"/>
        <v>1815.44</v>
      </c>
      <c r="W79" s="75">
        <f t="shared" si="17"/>
        <v>1849.24</v>
      </c>
      <c r="X79" s="75">
        <f t="shared" si="17"/>
        <v>1842.54</v>
      </c>
      <c r="Y79" s="75">
        <f t="shared" si="17"/>
        <v>1831.34</v>
      </c>
      <c r="Z79" s="75">
        <f t="shared" si="17"/>
        <v>1821.1399999999999</v>
      </c>
      <c r="AA79" s="75">
        <f t="shared" si="17"/>
        <v>1883.3400000000001</v>
      </c>
      <c r="AB79" s="75">
        <f t="shared" si="17"/>
        <v>1867.44</v>
      </c>
      <c r="AC79" s="75">
        <f t="shared" si="17"/>
        <v>1883.1399999999999</v>
      </c>
      <c r="AD79" s="75">
        <f t="shared" si="17"/>
        <v>1861.54</v>
      </c>
      <c r="AE79" s="75">
        <f t="shared" si="17"/>
        <v>1849.54</v>
      </c>
      <c r="AF79" s="75">
        <f t="shared" si="17"/>
        <v>1828.7400000000002</v>
      </c>
      <c r="AG79" s="138"/>
      <c r="AH79" s="54">
        <f t="shared" si="2"/>
        <v>1888.2400000000002</v>
      </c>
      <c r="AI79" s="55">
        <f t="shared" si="3"/>
        <v>1746.44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:AF80" si="18">B79-B87</f>
        <v>1502.5400000000002</v>
      </c>
      <c r="C80" s="75">
        <f t="shared" si="18"/>
        <v>1518.6399999999999</v>
      </c>
      <c r="D80" s="75">
        <f t="shared" si="18"/>
        <v>1483.5400000000002</v>
      </c>
      <c r="E80" s="75">
        <f t="shared" si="18"/>
        <v>1470.1400000000003</v>
      </c>
      <c r="F80" s="75">
        <f t="shared" si="18"/>
        <v>1462.1399999999996</v>
      </c>
      <c r="G80" s="75">
        <f t="shared" si="18"/>
        <v>1410.5400000000002</v>
      </c>
      <c r="H80" s="75">
        <f t="shared" si="18"/>
        <v>1419.74</v>
      </c>
      <c r="I80" s="75">
        <f t="shared" si="18"/>
        <v>1439.1399999999999</v>
      </c>
      <c r="J80" s="75">
        <f t="shared" si="18"/>
        <v>1484.1399999999999</v>
      </c>
      <c r="K80" s="75">
        <f t="shared" si="18"/>
        <v>1481.74</v>
      </c>
      <c r="L80" s="75">
        <f t="shared" si="18"/>
        <v>1492.74</v>
      </c>
      <c r="M80" s="75">
        <f t="shared" si="18"/>
        <v>1488.3400000000001</v>
      </c>
      <c r="N80" s="75">
        <f t="shared" si="18"/>
        <v>1561.94</v>
      </c>
      <c r="O80" s="75">
        <f t="shared" si="18"/>
        <v>1690.2400000000002</v>
      </c>
      <c r="P80" s="75">
        <f t="shared" si="18"/>
        <v>1668.04</v>
      </c>
      <c r="Q80" s="75">
        <f t="shared" si="18"/>
        <v>1667.2400000000002</v>
      </c>
      <c r="R80" s="75">
        <f t="shared" si="18"/>
        <v>1733.84</v>
      </c>
      <c r="S80" s="75">
        <f t="shared" si="18"/>
        <v>1653.54</v>
      </c>
      <c r="T80" s="75">
        <f t="shared" si="18"/>
        <v>1645.54</v>
      </c>
      <c r="U80" s="75">
        <f t="shared" si="18"/>
        <v>1602.64</v>
      </c>
      <c r="V80" s="75">
        <f t="shared" si="18"/>
        <v>1578.44</v>
      </c>
      <c r="W80" s="75">
        <f t="shared" si="18"/>
        <v>1539.24</v>
      </c>
      <c r="X80" s="75">
        <f t="shared" si="18"/>
        <v>1544.54</v>
      </c>
      <c r="Y80" s="75">
        <f t="shared" si="18"/>
        <v>1555.34</v>
      </c>
      <c r="Z80" s="75">
        <f t="shared" si="18"/>
        <v>1586.1399999999999</v>
      </c>
      <c r="AA80" s="75">
        <f t="shared" si="18"/>
        <v>1675.8400000000001</v>
      </c>
      <c r="AB80" s="75">
        <f t="shared" si="18"/>
        <v>1696.44</v>
      </c>
      <c r="AC80" s="75">
        <f t="shared" si="18"/>
        <v>1656.1399999999999</v>
      </c>
      <c r="AD80" s="75">
        <f t="shared" si="18"/>
        <v>1659.54</v>
      </c>
      <c r="AE80" s="75">
        <f t="shared" si="18"/>
        <v>1599.54</v>
      </c>
      <c r="AF80" s="75">
        <f t="shared" si="18"/>
        <v>1538.7400000000002</v>
      </c>
      <c r="AG80" s="138"/>
      <c r="AH80" s="54">
        <f t="shared" ref="AH80:AH97" si="19">MAX(B80:AF80)</f>
        <v>1733.84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 t="shared" ref="B81:AF81" si="20">IF(B64&lt;0,B64*-1,0)</f>
        <v>0</v>
      </c>
      <c r="C81" s="71">
        <f t="shared" si="20"/>
        <v>0</v>
      </c>
      <c r="D81" s="71">
        <f t="shared" si="20"/>
        <v>0</v>
      </c>
      <c r="E81" s="71">
        <f t="shared" si="20"/>
        <v>0</v>
      </c>
      <c r="F81" s="71">
        <f t="shared" si="20"/>
        <v>0</v>
      </c>
      <c r="G81" s="71">
        <f t="shared" si="20"/>
        <v>0</v>
      </c>
      <c r="H81" s="71">
        <f t="shared" si="20"/>
        <v>0</v>
      </c>
      <c r="I81" s="71">
        <f t="shared" si="20"/>
        <v>0</v>
      </c>
      <c r="J81" s="71">
        <f t="shared" si="20"/>
        <v>0</v>
      </c>
      <c r="K81" s="71">
        <f t="shared" si="20"/>
        <v>0</v>
      </c>
      <c r="L81" s="71">
        <f t="shared" si="20"/>
        <v>0</v>
      </c>
      <c r="M81" s="71">
        <f t="shared" si="20"/>
        <v>0</v>
      </c>
      <c r="N81" s="71">
        <f t="shared" si="20"/>
        <v>0</v>
      </c>
      <c r="O81" s="71">
        <f t="shared" si="20"/>
        <v>0</v>
      </c>
      <c r="P81" s="71">
        <f t="shared" si="20"/>
        <v>0</v>
      </c>
      <c r="Q81" s="71">
        <f t="shared" si="20"/>
        <v>0</v>
      </c>
      <c r="R81" s="71">
        <f t="shared" si="20"/>
        <v>0</v>
      </c>
      <c r="S81" s="71">
        <f t="shared" si="20"/>
        <v>0</v>
      </c>
      <c r="T81" s="71">
        <f t="shared" si="20"/>
        <v>0</v>
      </c>
      <c r="U81" s="71">
        <f t="shared" si="20"/>
        <v>0</v>
      </c>
      <c r="V81" s="71">
        <f t="shared" si="20"/>
        <v>0</v>
      </c>
      <c r="W81" s="71">
        <f t="shared" si="20"/>
        <v>0</v>
      </c>
      <c r="X81" s="71">
        <f t="shared" si="20"/>
        <v>0</v>
      </c>
      <c r="Y81" s="71">
        <f t="shared" si="20"/>
        <v>0</v>
      </c>
      <c r="Z81" s="71">
        <f t="shared" si="20"/>
        <v>0</v>
      </c>
      <c r="AA81" s="71">
        <f t="shared" si="20"/>
        <v>0</v>
      </c>
      <c r="AB81" s="71">
        <f t="shared" si="20"/>
        <v>0</v>
      </c>
      <c r="AC81" s="71">
        <f t="shared" si="20"/>
        <v>0</v>
      </c>
      <c r="AD81" s="71">
        <f t="shared" si="20"/>
        <v>0</v>
      </c>
      <c r="AE81" s="71">
        <f t="shared" si="20"/>
        <v>0</v>
      </c>
      <c r="AF81" s="71">
        <f t="shared" si="20"/>
        <v>0</v>
      </c>
      <c r="AG81" s="135"/>
      <c r="AH81" s="54">
        <f t="shared" si="19"/>
        <v>0</v>
      </c>
      <c r="AI81" s="55">
        <f t="shared" ref="AI81:AI97" si="21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 t="shared" ref="B82:AF82" si="22">IF(B62&lt;0,B62*-1,0)</f>
        <v>0</v>
      </c>
      <c r="C82" s="71">
        <f t="shared" si="22"/>
        <v>0</v>
      </c>
      <c r="D82" s="71">
        <f t="shared" si="22"/>
        <v>0</v>
      </c>
      <c r="E82" s="71">
        <f t="shared" si="22"/>
        <v>0</v>
      </c>
      <c r="F82" s="71">
        <f t="shared" si="22"/>
        <v>0</v>
      </c>
      <c r="G82" s="71">
        <f t="shared" si="22"/>
        <v>0</v>
      </c>
      <c r="H82" s="71">
        <f t="shared" si="22"/>
        <v>0</v>
      </c>
      <c r="I82" s="71">
        <f t="shared" si="22"/>
        <v>0</v>
      </c>
      <c r="J82" s="71">
        <f t="shared" si="22"/>
        <v>0</v>
      </c>
      <c r="K82" s="71">
        <f t="shared" si="22"/>
        <v>0</v>
      </c>
      <c r="L82" s="71">
        <f t="shared" si="22"/>
        <v>0</v>
      </c>
      <c r="M82" s="71">
        <f t="shared" si="22"/>
        <v>0</v>
      </c>
      <c r="N82" s="71">
        <f t="shared" si="22"/>
        <v>0</v>
      </c>
      <c r="O82" s="71">
        <f t="shared" si="22"/>
        <v>0</v>
      </c>
      <c r="P82" s="71">
        <f t="shared" si="22"/>
        <v>0</v>
      </c>
      <c r="Q82" s="71">
        <f t="shared" si="22"/>
        <v>0</v>
      </c>
      <c r="R82" s="71">
        <f t="shared" si="22"/>
        <v>0</v>
      </c>
      <c r="S82" s="71">
        <f t="shared" si="22"/>
        <v>0</v>
      </c>
      <c r="T82" s="71">
        <f t="shared" si="22"/>
        <v>0</v>
      </c>
      <c r="U82" s="71">
        <f t="shared" si="22"/>
        <v>0</v>
      </c>
      <c r="V82" s="71">
        <f t="shared" si="22"/>
        <v>0</v>
      </c>
      <c r="W82" s="71">
        <f t="shared" si="22"/>
        <v>0</v>
      </c>
      <c r="X82" s="71">
        <f t="shared" si="22"/>
        <v>0</v>
      </c>
      <c r="Y82" s="71">
        <f t="shared" si="22"/>
        <v>0</v>
      </c>
      <c r="Z82" s="71">
        <f t="shared" si="22"/>
        <v>0</v>
      </c>
      <c r="AA82" s="71">
        <f t="shared" si="22"/>
        <v>0</v>
      </c>
      <c r="AB82" s="71">
        <f t="shared" si="22"/>
        <v>0</v>
      </c>
      <c r="AC82" s="71">
        <f t="shared" si="22"/>
        <v>0</v>
      </c>
      <c r="AD82" s="71">
        <f t="shared" si="22"/>
        <v>0</v>
      </c>
      <c r="AE82" s="71">
        <f t="shared" si="22"/>
        <v>0</v>
      </c>
      <c r="AF82" s="71">
        <f t="shared" si="22"/>
        <v>0</v>
      </c>
      <c r="AG82" s="136"/>
      <c r="AH82" s="54">
        <f t="shared" si="19"/>
        <v>0</v>
      </c>
      <c r="AI82" s="55">
        <f t="shared" si="21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 t="shared" ref="B83:AF83" si="23">IF(B65&lt;0,B65*-1,0)</f>
        <v>0</v>
      </c>
      <c r="C83" s="71">
        <f t="shared" si="23"/>
        <v>0</v>
      </c>
      <c r="D83" s="71">
        <f t="shared" si="23"/>
        <v>0</v>
      </c>
      <c r="E83" s="71">
        <f t="shared" si="23"/>
        <v>0</v>
      </c>
      <c r="F83" s="71">
        <f t="shared" si="23"/>
        <v>0</v>
      </c>
      <c r="G83" s="71">
        <f t="shared" si="23"/>
        <v>0</v>
      </c>
      <c r="H83" s="71">
        <f t="shared" si="23"/>
        <v>0</v>
      </c>
      <c r="I83" s="71">
        <f t="shared" si="23"/>
        <v>0</v>
      </c>
      <c r="J83" s="71">
        <f t="shared" si="23"/>
        <v>0</v>
      </c>
      <c r="K83" s="71">
        <f t="shared" si="23"/>
        <v>0</v>
      </c>
      <c r="L83" s="71">
        <f t="shared" si="23"/>
        <v>0</v>
      </c>
      <c r="M83" s="71">
        <f t="shared" si="23"/>
        <v>0</v>
      </c>
      <c r="N83" s="71">
        <f t="shared" si="23"/>
        <v>0</v>
      </c>
      <c r="O83" s="71">
        <f t="shared" si="23"/>
        <v>0</v>
      </c>
      <c r="P83" s="71">
        <f t="shared" si="23"/>
        <v>0</v>
      </c>
      <c r="Q83" s="71">
        <f t="shared" si="23"/>
        <v>0</v>
      </c>
      <c r="R83" s="71">
        <f t="shared" si="23"/>
        <v>0</v>
      </c>
      <c r="S83" s="71">
        <f t="shared" si="23"/>
        <v>0</v>
      </c>
      <c r="T83" s="71">
        <f t="shared" si="23"/>
        <v>0</v>
      </c>
      <c r="U83" s="71">
        <f t="shared" si="23"/>
        <v>0</v>
      </c>
      <c r="V83" s="71">
        <f t="shared" si="23"/>
        <v>0</v>
      </c>
      <c r="W83" s="71">
        <f t="shared" si="23"/>
        <v>0</v>
      </c>
      <c r="X83" s="71">
        <f t="shared" si="23"/>
        <v>0</v>
      </c>
      <c r="Y83" s="71">
        <f t="shared" si="23"/>
        <v>0</v>
      </c>
      <c r="Z83" s="71">
        <f t="shared" si="23"/>
        <v>0</v>
      </c>
      <c r="AA83" s="71">
        <f t="shared" si="23"/>
        <v>0</v>
      </c>
      <c r="AB83" s="71">
        <f t="shared" si="23"/>
        <v>0</v>
      </c>
      <c r="AC83" s="71">
        <f t="shared" si="23"/>
        <v>0</v>
      </c>
      <c r="AD83" s="71">
        <f t="shared" si="23"/>
        <v>0</v>
      </c>
      <c r="AE83" s="71">
        <f t="shared" si="23"/>
        <v>0</v>
      </c>
      <c r="AF83" s="71">
        <f t="shared" si="23"/>
        <v>0</v>
      </c>
      <c r="AG83" s="144"/>
      <c r="AH83" s="54">
        <f t="shared" si="19"/>
        <v>0</v>
      </c>
      <c r="AI83" s="55">
        <f t="shared" si="21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 t="shared" ref="B84:AF84" si="24">IF(B63&lt;0,B63*-1,0)</f>
        <v>360</v>
      </c>
      <c r="C84" s="71">
        <f t="shared" si="24"/>
        <v>338.1</v>
      </c>
      <c r="D84" s="71">
        <f t="shared" si="24"/>
        <v>340</v>
      </c>
      <c r="E84" s="71">
        <f t="shared" si="24"/>
        <v>365.1</v>
      </c>
      <c r="F84" s="71">
        <f t="shared" si="24"/>
        <v>369</v>
      </c>
      <c r="G84" s="71">
        <f t="shared" si="24"/>
        <v>393</v>
      </c>
      <c r="H84" s="71">
        <f t="shared" si="24"/>
        <v>376.3</v>
      </c>
      <c r="I84" s="71">
        <f t="shared" si="24"/>
        <v>320</v>
      </c>
      <c r="J84" s="71">
        <f t="shared" si="24"/>
        <v>306</v>
      </c>
      <c r="K84" s="71">
        <f t="shared" si="24"/>
        <v>297</v>
      </c>
      <c r="L84" s="71">
        <f t="shared" si="24"/>
        <v>280</v>
      </c>
      <c r="M84" s="71">
        <f t="shared" si="24"/>
        <v>298</v>
      </c>
      <c r="N84" s="71">
        <f t="shared" si="24"/>
        <v>184.5</v>
      </c>
      <c r="O84" s="71">
        <f t="shared" si="24"/>
        <v>198</v>
      </c>
      <c r="P84" s="71">
        <f t="shared" si="24"/>
        <v>176.8</v>
      </c>
      <c r="Q84" s="71">
        <f t="shared" si="24"/>
        <v>189.3</v>
      </c>
      <c r="R84" s="71">
        <f t="shared" si="24"/>
        <v>145</v>
      </c>
      <c r="S84" s="71">
        <f t="shared" si="24"/>
        <v>199</v>
      </c>
      <c r="T84" s="71">
        <f t="shared" si="24"/>
        <v>191</v>
      </c>
      <c r="U84" s="71">
        <f t="shared" si="24"/>
        <v>195</v>
      </c>
      <c r="V84" s="71">
        <f t="shared" si="24"/>
        <v>237</v>
      </c>
      <c r="W84" s="71">
        <f t="shared" si="24"/>
        <v>310</v>
      </c>
      <c r="X84" s="71">
        <f t="shared" si="24"/>
        <v>298</v>
      </c>
      <c r="Y84" s="71">
        <f t="shared" si="24"/>
        <v>276</v>
      </c>
      <c r="Z84" s="71">
        <f t="shared" si="24"/>
        <v>235</v>
      </c>
      <c r="AA84" s="71">
        <f t="shared" si="24"/>
        <v>207.5</v>
      </c>
      <c r="AB84" s="71">
        <f t="shared" si="24"/>
        <v>171</v>
      </c>
      <c r="AC84" s="71">
        <f t="shared" si="24"/>
        <v>227</v>
      </c>
      <c r="AD84" s="71">
        <f t="shared" si="24"/>
        <v>202</v>
      </c>
      <c r="AE84" s="71">
        <f t="shared" si="24"/>
        <v>250</v>
      </c>
      <c r="AF84" s="71">
        <f t="shared" si="24"/>
        <v>290</v>
      </c>
      <c r="AG84" s="144"/>
      <c r="AH84" s="54">
        <f t="shared" si="19"/>
        <v>393</v>
      </c>
      <c r="AI84" s="55">
        <f t="shared" si="21"/>
        <v>145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 t="shared" ref="B85:AF85" si="25">IF(B61&lt;0,B61*-1,0)</f>
        <v>0</v>
      </c>
      <c r="C85" s="71">
        <f t="shared" si="25"/>
        <v>0</v>
      </c>
      <c r="D85" s="71">
        <f t="shared" si="25"/>
        <v>0</v>
      </c>
      <c r="E85" s="71">
        <f t="shared" si="25"/>
        <v>0</v>
      </c>
      <c r="F85" s="71">
        <f t="shared" si="25"/>
        <v>0</v>
      </c>
      <c r="G85" s="71">
        <f t="shared" si="25"/>
        <v>0</v>
      </c>
      <c r="H85" s="71">
        <f t="shared" si="25"/>
        <v>0</v>
      </c>
      <c r="I85" s="71">
        <f t="shared" si="25"/>
        <v>0</v>
      </c>
      <c r="J85" s="71">
        <f t="shared" si="25"/>
        <v>0</v>
      </c>
      <c r="K85" s="71">
        <f t="shared" si="25"/>
        <v>0</v>
      </c>
      <c r="L85" s="71">
        <f t="shared" si="25"/>
        <v>0</v>
      </c>
      <c r="M85" s="71">
        <f t="shared" si="25"/>
        <v>0</v>
      </c>
      <c r="N85" s="71">
        <f t="shared" si="25"/>
        <v>0</v>
      </c>
      <c r="O85" s="71">
        <f t="shared" si="25"/>
        <v>0</v>
      </c>
      <c r="P85" s="71">
        <f t="shared" si="25"/>
        <v>0</v>
      </c>
      <c r="Q85" s="71">
        <f t="shared" si="25"/>
        <v>0</v>
      </c>
      <c r="R85" s="71">
        <f t="shared" si="25"/>
        <v>0</v>
      </c>
      <c r="S85" s="71">
        <f t="shared" si="25"/>
        <v>0</v>
      </c>
      <c r="T85" s="71">
        <f t="shared" si="25"/>
        <v>0</v>
      </c>
      <c r="U85" s="71">
        <f t="shared" si="25"/>
        <v>0</v>
      </c>
      <c r="V85" s="71">
        <f t="shared" si="25"/>
        <v>0</v>
      </c>
      <c r="W85" s="71">
        <f t="shared" si="25"/>
        <v>0</v>
      </c>
      <c r="X85" s="71">
        <f t="shared" si="25"/>
        <v>0</v>
      </c>
      <c r="Y85" s="71">
        <f t="shared" si="25"/>
        <v>0</v>
      </c>
      <c r="Z85" s="71">
        <f t="shared" si="25"/>
        <v>0</v>
      </c>
      <c r="AA85" s="71">
        <f t="shared" si="25"/>
        <v>0</v>
      </c>
      <c r="AB85" s="71">
        <f t="shared" si="25"/>
        <v>0</v>
      </c>
      <c r="AC85" s="71">
        <f t="shared" si="25"/>
        <v>0</v>
      </c>
      <c r="AD85" s="71">
        <f t="shared" si="25"/>
        <v>0</v>
      </c>
      <c r="AE85" s="71">
        <f t="shared" si="25"/>
        <v>0</v>
      </c>
      <c r="AF85" s="71">
        <f t="shared" si="25"/>
        <v>0</v>
      </c>
      <c r="AG85" s="144"/>
      <c r="AH85" s="54">
        <f t="shared" si="19"/>
        <v>0</v>
      </c>
      <c r="AI85" s="55">
        <f t="shared" si="21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141"/>
      <c r="AH86" s="54">
        <f t="shared" si="19"/>
        <v>0</v>
      </c>
      <c r="AI86" s="55">
        <f t="shared" si="21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 t="shared" ref="B87:AF87" si="26">SUM(B81:B86)</f>
        <v>360</v>
      </c>
      <c r="C87" s="66">
        <f t="shared" si="26"/>
        <v>338.1</v>
      </c>
      <c r="D87" s="66">
        <f t="shared" si="26"/>
        <v>340</v>
      </c>
      <c r="E87" s="66">
        <f t="shared" si="26"/>
        <v>365.1</v>
      </c>
      <c r="F87" s="66">
        <f t="shared" si="26"/>
        <v>369</v>
      </c>
      <c r="G87" s="66">
        <f t="shared" si="26"/>
        <v>393</v>
      </c>
      <c r="H87" s="66">
        <f t="shared" si="26"/>
        <v>376.3</v>
      </c>
      <c r="I87" s="66">
        <f t="shared" si="26"/>
        <v>320</v>
      </c>
      <c r="J87" s="66">
        <f t="shared" si="26"/>
        <v>306</v>
      </c>
      <c r="K87" s="66">
        <f t="shared" si="26"/>
        <v>297</v>
      </c>
      <c r="L87" s="66">
        <f t="shared" si="26"/>
        <v>280</v>
      </c>
      <c r="M87" s="66">
        <f t="shared" si="26"/>
        <v>298</v>
      </c>
      <c r="N87" s="66">
        <f t="shared" si="26"/>
        <v>184.5</v>
      </c>
      <c r="O87" s="66">
        <f t="shared" si="26"/>
        <v>198</v>
      </c>
      <c r="P87" s="66">
        <f t="shared" si="26"/>
        <v>176.8</v>
      </c>
      <c r="Q87" s="66">
        <f t="shared" si="26"/>
        <v>189.3</v>
      </c>
      <c r="R87" s="66">
        <f t="shared" si="26"/>
        <v>145</v>
      </c>
      <c r="S87" s="66">
        <f t="shared" si="26"/>
        <v>199</v>
      </c>
      <c r="T87" s="66">
        <f t="shared" si="26"/>
        <v>191</v>
      </c>
      <c r="U87" s="66">
        <f t="shared" si="26"/>
        <v>195</v>
      </c>
      <c r="V87" s="66">
        <f t="shared" si="26"/>
        <v>237</v>
      </c>
      <c r="W87" s="66">
        <f t="shared" si="26"/>
        <v>310</v>
      </c>
      <c r="X87" s="66">
        <f t="shared" si="26"/>
        <v>298</v>
      </c>
      <c r="Y87" s="66">
        <f t="shared" si="26"/>
        <v>276</v>
      </c>
      <c r="Z87" s="66">
        <f t="shared" si="26"/>
        <v>235</v>
      </c>
      <c r="AA87" s="66">
        <f t="shared" si="26"/>
        <v>207.5</v>
      </c>
      <c r="AB87" s="66">
        <f t="shared" si="26"/>
        <v>171</v>
      </c>
      <c r="AC87" s="66">
        <f t="shared" si="26"/>
        <v>227</v>
      </c>
      <c r="AD87" s="66">
        <f t="shared" si="26"/>
        <v>202</v>
      </c>
      <c r="AE87" s="66">
        <f t="shared" si="26"/>
        <v>250</v>
      </c>
      <c r="AF87" s="66">
        <f t="shared" si="26"/>
        <v>290</v>
      </c>
      <c r="AG87" s="138"/>
      <c r="AH87" s="54">
        <f t="shared" si="19"/>
        <v>393</v>
      </c>
      <c r="AI87" s="55">
        <f t="shared" si="21"/>
        <v>145</v>
      </c>
      <c r="AK87" s="56"/>
    </row>
    <row r="88" spans="1:88" s="1" customFormat="1" ht="15.75" thickBot="1" x14ac:dyDescent="0.3">
      <c r="A88" s="65" t="s">
        <v>64</v>
      </c>
      <c r="B88" s="66">
        <f t="shared" ref="B88:AF88" si="27">B72-B87</f>
        <v>-304.8</v>
      </c>
      <c r="C88" s="66">
        <f t="shared" si="27"/>
        <v>-287.70000000000005</v>
      </c>
      <c r="D88" s="66">
        <f t="shared" si="27"/>
        <v>-288.3</v>
      </c>
      <c r="E88" s="66">
        <f t="shared" si="27"/>
        <v>-320.60000000000002</v>
      </c>
      <c r="F88" s="66">
        <f t="shared" si="27"/>
        <v>-328.7</v>
      </c>
      <c r="G88" s="66">
        <f t="shared" si="27"/>
        <v>-357.3</v>
      </c>
      <c r="H88" s="66">
        <f t="shared" si="27"/>
        <v>-336.7</v>
      </c>
      <c r="I88" s="66">
        <f t="shared" si="27"/>
        <v>-293</v>
      </c>
      <c r="J88" s="66">
        <f t="shared" si="27"/>
        <v>-247.4</v>
      </c>
      <c r="K88" s="66">
        <f t="shared" si="27"/>
        <v>-240</v>
      </c>
      <c r="L88" s="66">
        <f t="shared" si="27"/>
        <v>-227</v>
      </c>
      <c r="M88" s="66">
        <f t="shared" si="27"/>
        <v>-254</v>
      </c>
      <c r="N88" s="66">
        <f t="shared" si="27"/>
        <v>-132.19999999999999</v>
      </c>
      <c r="O88" s="66">
        <f t="shared" si="27"/>
        <v>-124.1</v>
      </c>
      <c r="P88" s="66">
        <f t="shared" si="27"/>
        <v>-99.500000000000014</v>
      </c>
      <c r="Q88" s="66">
        <f t="shared" si="27"/>
        <v>-110.60000000000001</v>
      </c>
      <c r="R88" s="66">
        <f t="shared" si="27"/>
        <v>-72</v>
      </c>
      <c r="S88" s="66">
        <f t="shared" si="27"/>
        <v>-131.69999999999999</v>
      </c>
      <c r="T88" s="66">
        <f t="shared" si="27"/>
        <v>-122</v>
      </c>
      <c r="U88" s="66">
        <f t="shared" si="27"/>
        <v>-129.80000000000001</v>
      </c>
      <c r="V88" s="66">
        <f t="shared" si="27"/>
        <v>-168</v>
      </c>
      <c r="W88" s="66">
        <f t="shared" si="27"/>
        <v>-249.4</v>
      </c>
      <c r="X88" s="66">
        <f t="shared" si="27"/>
        <v>-244.5</v>
      </c>
      <c r="Y88" s="66">
        <f t="shared" si="27"/>
        <v>-222.7</v>
      </c>
      <c r="Z88" s="66">
        <f t="shared" si="27"/>
        <v>-191.9</v>
      </c>
      <c r="AA88" s="66">
        <f t="shared" si="27"/>
        <v>-154</v>
      </c>
      <c r="AB88" s="66">
        <f t="shared" si="27"/>
        <v>-98</v>
      </c>
      <c r="AC88" s="66">
        <f t="shared" si="27"/>
        <v>-155</v>
      </c>
      <c r="AD88" s="66">
        <f t="shared" si="27"/>
        <v>-126</v>
      </c>
      <c r="AE88" s="66">
        <f t="shared" si="27"/>
        <v>-192</v>
      </c>
      <c r="AF88" s="66">
        <f t="shared" si="27"/>
        <v>-240</v>
      </c>
      <c r="AG88" s="138"/>
      <c r="AH88" s="54">
        <f t="shared" si="19"/>
        <v>-72</v>
      </c>
      <c r="AI88" s="55">
        <f t="shared" si="21"/>
        <v>-357.3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50.02</v>
      </c>
      <c r="C89" s="80">
        <v>49.954999999999998</v>
      </c>
      <c r="D89" s="80">
        <v>50.040999999999997</v>
      </c>
      <c r="E89" s="80">
        <v>50.000799999999998</v>
      </c>
      <c r="F89" s="80">
        <v>50.023000000000003</v>
      </c>
      <c r="G89" s="80">
        <v>50.02</v>
      </c>
      <c r="H89" s="80">
        <v>50.023000000000003</v>
      </c>
      <c r="I89" s="80">
        <v>49.978999999999999</v>
      </c>
      <c r="J89" s="80">
        <v>50.006</v>
      </c>
      <c r="K89" s="80">
        <v>50.026000000000003</v>
      </c>
      <c r="L89" s="80">
        <v>49.972999999999999</v>
      </c>
      <c r="M89" s="80">
        <v>49.95</v>
      </c>
      <c r="N89" s="80">
        <v>49.956000000000003</v>
      </c>
      <c r="O89" s="80">
        <v>50</v>
      </c>
      <c r="P89" s="80">
        <v>50.024000000000001</v>
      </c>
      <c r="Q89" s="80">
        <v>49.981999999999999</v>
      </c>
      <c r="R89" s="80">
        <v>49.991</v>
      </c>
      <c r="S89" s="80">
        <v>49.902999999999999</v>
      </c>
      <c r="T89" s="80">
        <v>50.031999999999996</v>
      </c>
      <c r="U89" s="80">
        <v>49.981999999999999</v>
      </c>
      <c r="V89" s="80">
        <v>49.944000000000003</v>
      </c>
      <c r="W89" s="80">
        <v>49.975999999999999</v>
      </c>
      <c r="X89" s="80">
        <v>50.018000000000001</v>
      </c>
      <c r="Y89" s="80">
        <v>49.917000000000002</v>
      </c>
      <c r="Z89" s="80">
        <v>49.762</v>
      </c>
      <c r="AA89" s="80">
        <v>49.536000000000001</v>
      </c>
      <c r="AB89" s="80">
        <v>49.6</v>
      </c>
      <c r="AC89" s="80">
        <v>49.66</v>
      </c>
      <c r="AD89" s="80">
        <v>49.9</v>
      </c>
      <c r="AE89" s="80">
        <v>49.95</v>
      </c>
      <c r="AF89" s="80">
        <v>50.02</v>
      </c>
      <c r="AG89" s="145"/>
      <c r="AH89" s="54">
        <f t="shared" si="19"/>
        <v>50.040999999999997</v>
      </c>
      <c r="AI89" s="55">
        <f t="shared" si="21"/>
        <v>49.536000000000001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123.2</v>
      </c>
      <c r="C90" s="48">
        <v>123.9</v>
      </c>
      <c r="D90" s="48">
        <v>123.4</v>
      </c>
      <c r="E90" s="48">
        <v>123.9</v>
      </c>
      <c r="F90" s="48">
        <v>123.4</v>
      </c>
      <c r="G90" s="48">
        <v>123.1</v>
      </c>
      <c r="H90" s="48">
        <v>123.5</v>
      </c>
      <c r="I90" s="48">
        <v>124.5</v>
      </c>
      <c r="J90" s="48">
        <v>122.4</v>
      </c>
      <c r="K90" s="48">
        <v>122</v>
      </c>
      <c r="L90" s="48">
        <v>122.4</v>
      </c>
      <c r="M90" s="48">
        <v>123.2</v>
      </c>
      <c r="N90" s="48">
        <v>120.9</v>
      </c>
      <c r="O90" s="48">
        <v>121.7</v>
      </c>
      <c r="P90" s="48">
        <v>118.9</v>
      </c>
      <c r="Q90" s="48">
        <v>120.3</v>
      </c>
      <c r="R90" s="48">
        <v>122</v>
      </c>
      <c r="S90" s="48">
        <v>119.8</v>
      </c>
      <c r="T90" s="48">
        <v>121.7</v>
      </c>
      <c r="U90" s="48">
        <v>121.5</v>
      </c>
      <c r="V90" s="48">
        <v>124.4</v>
      </c>
      <c r="W90" s="48"/>
      <c r="X90" s="48">
        <v>123.9</v>
      </c>
      <c r="Y90" s="48">
        <v>123.6</v>
      </c>
      <c r="Z90" s="48">
        <v>124.1</v>
      </c>
      <c r="AA90" s="48">
        <v>125.2</v>
      </c>
      <c r="AB90" s="48">
        <v>125</v>
      </c>
      <c r="AC90" s="48">
        <v>125</v>
      </c>
      <c r="AD90" s="48">
        <v>125.5</v>
      </c>
      <c r="AE90" s="48">
        <v>125</v>
      </c>
      <c r="AF90" s="48">
        <v>124</v>
      </c>
      <c r="AG90" s="146"/>
      <c r="AH90" s="54">
        <f t="shared" si="19"/>
        <v>125.5</v>
      </c>
      <c r="AI90" s="55">
        <f t="shared" si="21"/>
        <v>118.9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128.30000000000001</v>
      </c>
      <c r="C91" s="48">
        <v>128.80000000000001</v>
      </c>
      <c r="D91" s="48">
        <v>128.1</v>
      </c>
      <c r="E91" s="48">
        <v>128.6</v>
      </c>
      <c r="F91" s="48">
        <v>128.5</v>
      </c>
      <c r="G91" s="48">
        <v>128.19999999999999</v>
      </c>
      <c r="H91" s="48">
        <v>127.8</v>
      </c>
      <c r="I91" s="48">
        <v>127.6</v>
      </c>
      <c r="J91" s="48">
        <v>126.4</v>
      </c>
      <c r="K91" s="48">
        <v>126</v>
      </c>
      <c r="L91" s="48">
        <v>126.2</v>
      </c>
      <c r="M91" s="48">
        <v>126.5</v>
      </c>
      <c r="N91" s="48">
        <v>125.2</v>
      </c>
      <c r="O91" s="48">
        <v>124.9</v>
      </c>
      <c r="P91" s="48">
        <v>123.8</v>
      </c>
      <c r="Q91" s="48">
        <v>124.3</v>
      </c>
      <c r="R91" s="48">
        <v>126</v>
      </c>
      <c r="S91" s="48">
        <v>124.6</v>
      </c>
      <c r="T91" s="48">
        <v>125.9</v>
      </c>
      <c r="U91" s="48">
        <v>125.5</v>
      </c>
      <c r="V91" s="48">
        <v>127.8</v>
      </c>
      <c r="W91" s="48"/>
      <c r="X91" s="48">
        <v>127.3</v>
      </c>
      <c r="Y91" s="48">
        <v>127.3</v>
      </c>
      <c r="Z91" s="48">
        <v>127.9</v>
      </c>
      <c r="AA91" s="48">
        <v>128.80000000000001</v>
      </c>
      <c r="AB91" s="48">
        <v>128</v>
      </c>
      <c r="AC91" s="48">
        <v>128</v>
      </c>
      <c r="AD91" s="48">
        <v>129</v>
      </c>
      <c r="AE91" s="48">
        <v>129</v>
      </c>
      <c r="AF91" s="48">
        <v>129</v>
      </c>
      <c r="AG91" s="146"/>
      <c r="AH91" s="54">
        <f t="shared" si="19"/>
        <v>129</v>
      </c>
      <c r="AI91" s="55">
        <f t="shared" si="21"/>
        <v>123.8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128.19999999999999</v>
      </c>
      <c r="C92" s="48">
        <v>129.30000000000001</v>
      </c>
      <c r="D92" s="48">
        <v>129.5</v>
      </c>
      <c r="E92" s="48">
        <v>128.9</v>
      </c>
      <c r="F92" s="48">
        <v>126.7</v>
      </c>
      <c r="G92" s="48">
        <v>127.8</v>
      </c>
      <c r="H92" s="48">
        <v>128.9</v>
      </c>
      <c r="I92" s="48">
        <v>127</v>
      </c>
      <c r="J92" s="48">
        <v>127.8</v>
      </c>
      <c r="K92" s="48">
        <v>126.3</v>
      </c>
      <c r="L92" s="48">
        <v>125.6</v>
      </c>
      <c r="M92" s="48">
        <v>127.8</v>
      </c>
      <c r="N92" s="48">
        <v>125</v>
      </c>
      <c r="O92" s="48">
        <v>126.9</v>
      </c>
      <c r="P92" s="48">
        <v>123.4</v>
      </c>
      <c r="Q92" s="48">
        <v>127.6</v>
      </c>
      <c r="R92" s="48">
        <v>128.69999999999999</v>
      </c>
      <c r="S92" s="48">
        <v>125.1</v>
      </c>
      <c r="T92" s="48">
        <v>128.6</v>
      </c>
      <c r="U92" s="48">
        <v>127.8</v>
      </c>
      <c r="V92" s="48">
        <v>130.19999999999999</v>
      </c>
      <c r="W92" s="48"/>
      <c r="X92" s="48">
        <v>130.19999999999999</v>
      </c>
      <c r="Y92" s="48">
        <v>128.69999999999999</v>
      </c>
      <c r="Z92" s="48">
        <v>127.7</v>
      </c>
      <c r="AA92" s="48">
        <v>125.4</v>
      </c>
      <c r="AB92" s="48">
        <v>128</v>
      </c>
      <c r="AC92" s="48">
        <v>128</v>
      </c>
      <c r="AD92" s="48">
        <v>126.7</v>
      </c>
      <c r="AE92" s="48">
        <v>128</v>
      </c>
      <c r="AF92" s="48">
        <v>128</v>
      </c>
      <c r="AG92" s="146"/>
      <c r="AH92" s="54">
        <f t="shared" si="19"/>
        <v>130.19999999999999</v>
      </c>
      <c r="AI92" s="55">
        <f t="shared" si="21"/>
        <v>123.4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>
        <v>133</v>
      </c>
      <c r="C93" s="48">
        <v>134</v>
      </c>
      <c r="D93" s="48">
        <v>134.5</v>
      </c>
      <c r="E93" s="48">
        <v>134.30000000000001</v>
      </c>
      <c r="F93" s="48">
        <v>133.1</v>
      </c>
      <c r="G93" s="48">
        <v>132.69999999999999</v>
      </c>
      <c r="H93" s="48">
        <v>133.30000000000001</v>
      </c>
      <c r="I93" s="48">
        <v>131.9</v>
      </c>
      <c r="J93" s="48">
        <v>132.5</v>
      </c>
      <c r="K93" s="48">
        <v>131.9</v>
      </c>
      <c r="L93" s="48">
        <v>130</v>
      </c>
      <c r="M93" s="48">
        <v>131.4</v>
      </c>
      <c r="N93" s="48">
        <v>129</v>
      </c>
      <c r="O93" s="48">
        <v>129.19999999999999</v>
      </c>
      <c r="P93" s="48">
        <v>125.6</v>
      </c>
      <c r="Q93" s="48">
        <v>130</v>
      </c>
      <c r="R93" s="48">
        <v>129</v>
      </c>
      <c r="S93" s="48">
        <v>128.6</v>
      </c>
      <c r="T93" s="48">
        <v>130.80000000000001</v>
      </c>
      <c r="U93" s="48">
        <v>130.4</v>
      </c>
      <c r="V93" s="48">
        <v>132.6</v>
      </c>
      <c r="W93" s="48">
        <v>131.6</v>
      </c>
      <c r="X93" s="48">
        <v>132.69999999999999</v>
      </c>
      <c r="Y93" s="48">
        <v>131.6</v>
      </c>
      <c r="Z93" s="48">
        <v>130.69999999999999</v>
      </c>
      <c r="AA93" s="48">
        <v>128.9</v>
      </c>
      <c r="AB93" s="48">
        <v>131</v>
      </c>
      <c r="AC93" s="48">
        <v>131</v>
      </c>
      <c r="AD93" s="48">
        <v>130</v>
      </c>
      <c r="AE93" s="48">
        <v>131</v>
      </c>
      <c r="AF93" s="48">
        <v>132</v>
      </c>
      <c r="AG93" s="146"/>
      <c r="AH93" s="54">
        <f t="shared" si="19"/>
        <v>134.5</v>
      </c>
      <c r="AI93" s="55">
        <f t="shared" si="21"/>
        <v>125.6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132.6</v>
      </c>
      <c r="C94" s="82">
        <v>132.69999999999999</v>
      </c>
      <c r="D94" s="82">
        <v>132.1</v>
      </c>
      <c r="E94" s="82">
        <v>134.1</v>
      </c>
      <c r="F94" s="82">
        <v>133.1</v>
      </c>
      <c r="G94" s="82">
        <v>132.6</v>
      </c>
      <c r="H94" s="82">
        <v>130.69999999999999</v>
      </c>
      <c r="I94" s="82">
        <v>132.6</v>
      </c>
      <c r="J94" s="82">
        <v>132.80000000000001</v>
      </c>
      <c r="K94" s="82">
        <v>131.1</v>
      </c>
      <c r="L94" s="82">
        <v>132.9</v>
      </c>
      <c r="M94" s="82">
        <v>133.69999999999999</v>
      </c>
      <c r="N94" s="82">
        <v>131.1</v>
      </c>
      <c r="O94" s="82">
        <v>131</v>
      </c>
      <c r="P94" s="82">
        <v>133.1</v>
      </c>
      <c r="Q94" s="82">
        <v>133.19999999999999</v>
      </c>
      <c r="R94" s="82">
        <v>135</v>
      </c>
      <c r="S94" s="82">
        <v>132.9</v>
      </c>
      <c r="T94" s="82">
        <v>134.6</v>
      </c>
      <c r="U94" s="82">
        <v>131.1</v>
      </c>
      <c r="V94" s="82">
        <v>135.30000000000001</v>
      </c>
      <c r="W94" s="82">
        <v>131.69999999999999</v>
      </c>
      <c r="X94" s="82">
        <v>130.9</v>
      </c>
      <c r="Y94" s="82">
        <v>133</v>
      </c>
      <c r="Z94" s="82">
        <v>132.80000000000001</v>
      </c>
      <c r="AA94" s="82">
        <v>131.80000000000001</v>
      </c>
      <c r="AB94" s="82">
        <v>131</v>
      </c>
      <c r="AC94" s="82">
        <v>131</v>
      </c>
      <c r="AD94" s="82">
        <v>132.9</v>
      </c>
      <c r="AE94" s="82">
        <v>133</v>
      </c>
      <c r="AF94" s="82">
        <v>129.4</v>
      </c>
      <c r="AG94" s="147"/>
      <c r="AH94" s="54">
        <f t="shared" si="19"/>
        <v>135.30000000000001</v>
      </c>
      <c r="AI94" s="55">
        <f t="shared" si="21"/>
        <v>129.4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125.6</v>
      </c>
      <c r="C95" s="48">
        <v>125.3</v>
      </c>
      <c r="D95" s="48">
        <v>129.6</v>
      </c>
      <c r="E95" s="48">
        <v>129.9</v>
      </c>
      <c r="F95" s="48">
        <v>130</v>
      </c>
      <c r="G95" s="48">
        <v>131.1</v>
      </c>
      <c r="H95" s="48">
        <v>127.9</v>
      </c>
      <c r="I95" s="48">
        <v>128.1</v>
      </c>
      <c r="J95" s="48">
        <v>125.6</v>
      </c>
      <c r="K95" s="48">
        <v>131.1</v>
      </c>
      <c r="L95" s="48">
        <v>133.1</v>
      </c>
      <c r="M95" s="48">
        <v>121</v>
      </c>
      <c r="N95" s="48">
        <v>124.7</v>
      </c>
      <c r="O95" s="48">
        <v>117.1</v>
      </c>
      <c r="P95" s="48">
        <v>118.4</v>
      </c>
      <c r="Q95" s="48">
        <v>118.4</v>
      </c>
      <c r="R95" s="48">
        <v>132.69999999999999</v>
      </c>
      <c r="S95" s="48">
        <v>132.6</v>
      </c>
      <c r="T95" s="48">
        <v>134.69999999999999</v>
      </c>
      <c r="U95" s="48">
        <v>125.7</v>
      </c>
      <c r="V95" s="48">
        <v>133.5</v>
      </c>
      <c r="W95" s="48">
        <v>128.30000000000001</v>
      </c>
      <c r="X95" s="48">
        <v>131.4</v>
      </c>
      <c r="Y95" s="48"/>
      <c r="Z95" s="48">
        <v>130.4</v>
      </c>
      <c r="AA95" s="48">
        <v>132.9</v>
      </c>
      <c r="AB95" s="48">
        <v>132</v>
      </c>
      <c r="AC95" s="48">
        <v>132</v>
      </c>
      <c r="AD95" s="48">
        <v>129</v>
      </c>
      <c r="AE95" s="48">
        <v>130</v>
      </c>
      <c r="AF95" s="48">
        <v>122</v>
      </c>
      <c r="AG95" s="146"/>
      <c r="AH95" s="54">
        <f t="shared" si="19"/>
        <v>134.69999999999999</v>
      </c>
      <c r="AI95" s="55">
        <f t="shared" si="21"/>
        <v>117.1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64.8</v>
      </c>
      <c r="C96" s="83">
        <v>65</v>
      </c>
      <c r="D96" s="83">
        <v>64.900000000000006</v>
      </c>
      <c r="E96" s="83">
        <v>65</v>
      </c>
      <c r="F96" s="83">
        <v>64.900000000000006</v>
      </c>
      <c r="G96" s="83">
        <v>64.8</v>
      </c>
      <c r="H96" s="83">
        <v>64.5</v>
      </c>
      <c r="I96" s="83">
        <v>64.3</v>
      </c>
      <c r="J96" s="83">
        <v>63.5</v>
      </c>
      <c r="K96" s="83">
        <v>63.4</v>
      </c>
      <c r="L96" s="83">
        <v>63.3</v>
      </c>
      <c r="M96" s="83">
        <v>63.8</v>
      </c>
      <c r="N96" s="83">
        <v>63</v>
      </c>
      <c r="O96" s="83">
        <v>62.6</v>
      </c>
      <c r="P96" s="83">
        <v>62.3</v>
      </c>
      <c r="Q96" s="83">
        <v>62.3</v>
      </c>
      <c r="R96" s="83">
        <v>63.5</v>
      </c>
      <c r="S96" s="83">
        <v>62.7</v>
      </c>
      <c r="T96" s="83">
        <v>63.3</v>
      </c>
      <c r="U96" s="83">
        <v>63</v>
      </c>
      <c r="V96" s="83">
        <v>64.099999999999994</v>
      </c>
      <c r="W96" s="83"/>
      <c r="X96" s="83">
        <v>64.5</v>
      </c>
      <c r="Y96" s="83"/>
      <c r="Z96" s="83">
        <v>64.599999999999994</v>
      </c>
      <c r="AA96" s="83">
        <v>65.3</v>
      </c>
      <c r="AB96" s="83">
        <v>65.2</v>
      </c>
      <c r="AC96" s="83">
        <v>65.2</v>
      </c>
      <c r="AD96" s="83">
        <v>65.400000000000006</v>
      </c>
      <c r="AE96" s="83">
        <v>65.5</v>
      </c>
      <c r="AF96" s="83">
        <v>65.2</v>
      </c>
      <c r="AG96" s="148"/>
      <c r="AH96" s="54">
        <f t="shared" si="19"/>
        <v>65.5</v>
      </c>
      <c r="AI96" s="55">
        <f t="shared" si="21"/>
        <v>62.3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19"/>
        <v>0</v>
      </c>
      <c r="AI97" s="55">
        <f t="shared" si="21"/>
        <v>0</v>
      </c>
    </row>
    <row r="98" spans="1:37" ht="15.75" thickBot="1" x14ac:dyDescent="0.3">
      <c r="A98" s="85" t="s">
        <v>73</v>
      </c>
      <c r="B98" s="86">
        <f t="shared" ref="B98:AF98" si="28">SUM(B15,B18,B21:B22,B46,B48:B49,B51,B53,B99:B102,B123,B129,B135,B144,B146,B158,B165,B168:B169,B176,B178,B180,B184:B186,B188:B190,B195,B201:B202,B204:B206,B214,B219)</f>
        <v>269.19839999999999</v>
      </c>
      <c r="C98" s="86">
        <f t="shared" si="28"/>
        <v>259.4384</v>
      </c>
      <c r="D98" s="86">
        <f t="shared" si="28"/>
        <v>265.73839999999996</v>
      </c>
      <c r="E98" s="86">
        <f t="shared" si="28"/>
        <v>255.4384</v>
      </c>
      <c r="F98" s="86">
        <f t="shared" si="28"/>
        <v>104.83840000000002</v>
      </c>
      <c r="G98" s="86">
        <f t="shared" si="28"/>
        <v>96.638400000000047</v>
      </c>
      <c r="H98" s="86">
        <f t="shared" si="28"/>
        <v>123.9384</v>
      </c>
      <c r="I98" s="86">
        <f t="shared" si="28"/>
        <v>165.13840000000002</v>
      </c>
      <c r="J98" s="86">
        <f t="shared" si="28"/>
        <v>172.63839999999999</v>
      </c>
      <c r="K98" s="86">
        <f t="shared" si="28"/>
        <v>185.0384</v>
      </c>
      <c r="L98" s="86">
        <f t="shared" si="28"/>
        <v>207.63839999999999</v>
      </c>
      <c r="M98" s="86">
        <f t="shared" si="28"/>
        <v>256.13839999999999</v>
      </c>
      <c r="N98" s="86">
        <f t="shared" si="28"/>
        <v>228.43839999999997</v>
      </c>
      <c r="O98" s="86">
        <f t="shared" si="28"/>
        <v>294.43839999999989</v>
      </c>
      <c r="P98" s="86">
        <f t="shared" si="28"/>
        <v>265.23839999999996</v>
      </c>
      <c r="Q98" s="86">
        <f t="shared" si="28"/>
        <v>270.39839999999992</v>
      </c>
      <c r="R98" s="86">
        <f t="shared" si="28"/>
        <v>273.29839999999996</v>
      </c>
      <c r="S98" s="86">
        <f t="shared" si="28"/>
        <v>245.19839999999999</v>
      </c>
      <c r="T98" s="86">
        <f t="shared" si="28"/>
        <v>254.89839999999998</v>
      </c>
      <c r="U98" s="86">
        <f t="shared" si="28"/>
        <v>255.5984</v>
      </c>
      <c r="V98" s="86">
        <f t="shared" si="28"/>
        <v>247.9984</v>
      </c>
      <c r="W98" s="86">
        <f t="shared" si="28"/>
        <v>298.19839999999994</v>
      </c>
      <c r="X98" s="86">
        <f t="shared" si="28"/>
        <v>258.59839999999997</v>
      </c>
      <c r="Y98" s="86">
        <f t="shared" si="28"/>
        <v>251.5984</v>
      </c>
      <c r="Z98" s="86">
        <f t="shared" si="28"/>
        <v>275.89839999999998</v>
      </c>
      <c r="AA98" s="86">
        <f t="shared" si="28"/>
        <v>249.4984</v>
      </c>
      <c r="AB98" s="86">
        <f t="shared" si="28"/>
        <v>336.59840000000003</v>
      </c>
      <c r="AC98" s="86">
        <f t="shared" si="28"/>
        <v>205.0984</v>
      </c>
      <c r="AD98" s="86">
        <f t="shared" si="28"/>
        <v>193.0984</v>
      </c>
      <c r="AE98" s="86">
        <f t="shared" si="28"/>
        <v>136.19839999999999</v>
      </c>
      <c r="AF98" s="86">
        <f t="shared" si="28"/>
        <v>104.49840000000003</v>
      </c>
      <c r="AG98" s="150"/>
      <c r="AH98" s="54">
        <f>MAX(C98:AF98)</f>
        <v>336.59840000000003</v>
      </c>
      <c r="AI98" s="55">
        <f>MIN(C98:AF98)</f>
        <v>96.638400000000047</v>
      </c>
    </row>
    <row r="99" spans="1:37" x14ac:dyDescent="0.25">
      <c r="A99" s="170" t="s">
        <v>74</v>
      </c>
      <c r="B99" s="87">
        <v>15.6</v>
      </c>
      <c r="C99" s="87">
        <v>12.7</v>
      </c>
      <c r="D99" s="87">
        <v>13.7</v>
      </c>
      <c r="E99" s="87">
        <v>16.100000000000001</v>
      </c>
      <c r="F99" s="87">
        <v>19.899999999999999</v>
      </c>
      <c r="G99" s="87">
        <v>22.3</v>
      </c>
      <c r="H99" s="87">
        <v>19.899999999999999</v>
      </c>
      <c r="I99" s="87">
        <v>22.3</v>
      </c>
      <c r="J99" s="87">
        <v>18.7</v>
      </c>
      <c r="K99" s="87">
        <v>18.5</v>
      </c>
      <c r="L99" s="87">
        <v>15</v>
      </c>
      <c r="M99" s="87">
        <f>38.9+23.5</f>
        <v>62.4</v>
      </c>
      <c r="N99" s="87">
        <v>9.6</v>
      </c>
      <c r="O99" s="87">
        <v>19.100000000000001</v>
      </c>
      <c r="P99" s="87">
        <v>21.1</v>
      </c>
      <c r="Q99" s="87">
        <v>23.2</v>
      </c>
      <c r="R99" s="87">
        <v>34.1</v>
      </c>
      <c r="S99" s="87">
        <v>19.2</v>
      </c>
      <c r="T99" s="87">
        <v>20.9</v>
      </c>
      <c r="U99" s="87">
        <v>16.7</v>
      </c>
      <c r="V99" s="87">
        <v>28</v>
      </c>
      <c r="W99" s="87"/>
      <c r="X99" s="87">
        <v>25.6</v>
      </c>
      <c r="Y99" s="87">
        <v>26.6</v>
      </c>
      <c r="Z99" s="87">
        <v>26.8</v>
      </c>
      <c r="AA99" s="87">
        <v>19.8</v>
      </c>
      <c r="AB99" s="87">
        <v>10</v>
      </c>
      <c r="AC99" s="87">
        <v>11.5</v>
      </c>
      <c r="AD99" s="87">
        <v>12.6</v>
      </c>
      <c r="AE99" s="87">
        <v>10.6</v>
      </c>
      <c r="AF99" s="87">
        <v>10.9</v>
      </c>
      <c r="AG99" s="151">
        <v>75</v>
      </c>
      <c r="AH99" s="54">
        <f t="shared" ref="AH99:AH105" si="29">IF(ABS(MAX(C99:AF99))&gt;ABS(MIN(C99:AF99)),MAX(C99:AF99),MIN(C99:AF99))</f>
        <v>62.4</v>
      </c>
      <c r="AI99" s="89">
        <f t="shared" ref="AI99:AI105" si="30">INDEX($C$9:$AF$9,1,MATCH(AH99,C99:AF99,0))</f>
        <v>0.33333333333333331</v>
      </c>
    </row>
    <row r="100" spans="1:37" x14ac:dyDescent="0.25">
      <c r="A100" s="163" t="s">
        <v>75</v>
      </c>
      <c r="B100" s="90"/>
      <c r="C100" s="90"/>
      <c r="D100" s="90"/>
      <c r="E100" s="90"/>
      <c r="F100" s="90">
        <v>-155</v>
      </c>
      <c r="G100" s="90">
        <v>-157</v>
      </c>
      <c r="H100" s="90">
        <v>-132</v>
      </c>
      <c r="I100" s="90">
        <v>-83</v>
      </c>
      <c r="J100" s="90">
        <v>-72</v>
      </c>
      <c r="K100" s="90">
        <v>-61</v>
      </c>
      <c r="L100" s="90">
        <v>-91</v>
      </c>
      <c r="M100" s="90">
        <f>-44.7-47.9</f>
        <v>-92.6</v>
      </c>
      <c r="N100" s="90">
        <v>-84</v>
      </c>
      <c r="O100" s="90">
        <v>-74</v>
      </c>
      <c r="P100" s="90">
        <v>-78</v>
      </c>
      <c r="Q100" s="90">
        <v>-78</v>
      </c>
      <c r="R100" s="90">
        <v>-97</v>
      </c>
      <c r="S100" s="90">
        <f>-43.6-54.5+4.9+13.5</f>
        <v>-79.699999999999989</v>
      </c>
      <c r="T100" s="90">
        <f>-42.5-48.9+2+5.4</f>
        <v>-84</v>
      </c>
      <c r="U100" s="90">
        <f>-39-36</f>
        <v>-75</v>
      </c>
      <c r="V100" s="90">
        <f>-42.1-39.3</f>
        <v>-81.400000000000006</v>
      </c>
      <c r="W100" s="90"/>
      <c r="X100" s="90">
        <f>-43.3-40.8</f>
        <v>-84.1</v>
      </c>
      <c r="Y100" s="90">
        <f>-43.3-40.8</f>
        <v>-84.1</v>
      </c>
      <c r="Z100" s="90">
        <f>-38.8-41.8</f>
        <v>-80.599999999999994</v>
      </c>
      <c r="AA100" s="90">
        <f>-38-54-16.1-5.9</f>
        <v>-114</v>
      </c>
      <c r="AB100" s="90"/>
      <c r="AC100" s="90">
        <v>-109</v>
      </c>
      <c r="AD100" s="90">
        <v>-112</v>
      </c>
      <c r="AE100" s="90">
        <v>-117</v>
      </c>
      <c r="AF100" s="90">
        <v>-140</v>
      </c>
      <c r="AG100" s="151">
        <v>240</v>
      </c>
      <c r="AH100" s="54">
        <f t="shared" si="29"/>
        <v>-157</v>
      </c>
      <c r="AI100" s="89">
        <f t="shared" si="30"/>
        <v>0.20833333333333301</v>
      </c>
    </row>
    <row r="101" spans="1:37" x14ac:dyDescent="0.25">
      <c r="A101" s="163" t="s">
        <v>76</v>
      </c>
      <c r="B101" s="90">
        <v>4.0999999999999996</v>
      </c>
      <c r="C101" s="90">
        <v>-3.7</v>
      </c>
      <c r="D101" s="90">
        <v>11.1</v>
      </c>
      <c r="E101" s="90">
        <v>-11.6</v>
      </c>
      <c r="F101" s="90">
        <v>-10.6</v>
      </c>
      <c r="G101" s="90">
        <v>-9</v>
      </c>
      <c r="H101" s="90">
        <v>-4.2</v>
      </c>
      <c r="I101" s="90">
        <v>5.6</v>
      </c>
      <c r="J101" s="90">
        <v>6</v>
      </c>
      <c r="K101" s="90">
        <v>7.6</v>
      </c>
      <c r="L101" s="90">
        <v>3.1</v>
      </c>
      <c r="M101" s="90">
        <v>3.8</v>
      </c>
      <c r="N101" s="90">
        <v>3.5</v>
      </c>
      <c r="O101" s="90">
        <v>26.1</v>
      </c>
      <c r="P101" s="90">
        <v>28.2</v>
      </c>
      <c r="Q101" s="90">
        <v>17.8</v>
      </c>
      <c r="R101" s="90">
        <v>39.9</v>
      </c>
      <c r="S101" s="90">
        <v>11</v>
      </c>
      <c r="T101" s="90">
        <v>12.8</v>
      </c>
      <c r="U101" s="90">
        <v>7.6</v>
      </c>
      <c r="V101" s="90">
        <v>6.9</v>
      </c>
      <c r="W101" s="90"/>
      <c r="X101" s="90">
        <v>6.5</v>
      </c>
      <c r="Y101" s="90">
        <v>6.5</v>
      </c>
      <c r="Z101" s="90">
        <v>7.7</v>
      </c>
      <c r="AA101" s="90">
        <v>24.5</v>
      </c>
      <c r="AB101" s="90">
        <v>23</v>
      </c>
      <c r="AC101" s="90">
        <v>20</v>
      </c>
      <c r="AD101" s="90">
        <v>7.9</v>
      </c>
      <c r="AE101" s="90">
        <v>10</v>
      </c>
      <c r="AF101" s="90">
        <v>1</v>
      </c>
      <c r="AG101" s="151">
        <v>60</v>
      </c>
      <c r="AH101" s="54">
        <f t="shared" si="29"/>
        <v>39.9</v>
      </c>
      <c r="AI101" s="89">
        <f t="shared" si="30"/>
        <v>0.54166666666666696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60.3</v>
      </c>
      <c r="M102" s="91">
        <v>50.3</v>
      </c>
      <c r="N102" s="91">
        <v>82.1</v>
      </c>
      <c r="O102" s="91">
        <v>76</v>
      </c>
      <c r="P102" s="91">
        <v>79.599999999999994</v>
      </c>
      <c r="Q102" s="91">
        <v>83</v>
      </c>
      <c r="R102" s="91">
        <v>71.900000000000006</v>
      </c>
      <c r="S102" s="91">
        <v>70.3</v>
      </c>
      <c r="T102" s="91">
        <v>74.5</v>
      </c>
      <c r="U102" s="91">
        <v>79.400000000000006</v>
      </c>
      <c r="V102" s="91">
        <v>67.599999999999994</v>
      </c>
      <c r="W102" s="91">
        <v>41.6</v>
      </c>
      <c r="X102" s="91">
        <v>54</v>
      </c>
      <c r="Y102" s="91">
        <v>54</v>
      </c>
      <c r="Z102" s="91">
        <v>73.400000000000006</v>
      </c>
      <c r="AA102" s="91">
        <v>70.599999999999994</v>
      </c>
      <c r="AB102" s="91">
        <v>71</v>
      </c>
      <c r="AC102" s="91">
        <v>50</v>
      </c>
      <c r="AD102" s="91">
        <v>52</v>
      </c>
      <c r="AE102" s="91">
        <v>0</v>
      </c>
      <c r="AF102" s="91">
        <v>0</v>
      </c>
      <c r="AG102" s="152">
        <v>120</v>
      </c>
      <c r="AH102" s="54">
        <f t="shared" si="29"/>
        <v>83</v>
      </c>
      <c r="AI102" s="89">
        <f t="shared" si="30"/>
        <v>0.5</v>
      </c>
    </row>
    <row r="103" spans="1:37" x14ac:dyDescent="0.25">
      <c r="A103" s="164" t="s">
        <v>78</v>
      </c>
      <c r="B103" s="91">
        <v>38.4</v>
      </c>
      <c r="C103" s="91">
        <v>35.6</v>
      </c>
      <c r="D103" s="91">
        <v>34.299999999999997</v>
      </c>
      <c r="E103" s="91">
        <v>16.3</v>
      </c>
      <c r="F103" s="91">
        <v>25</v>
      </c>
      <c r="G103" s="91">
        <v>25</v>
      </c>
      <c r="H103" s="91">
        <v>36</v>
      </c>
      <c r="I103" s="91">
        <v>61</v>
      </c>
      <c r="J103" s="91">
        <v>82</v>
      </c>
      <c r="K103" s="91">
        <v>87</v>
      </c>
      <c r="L103" s="91">
        <v>70</v>
      </c>
      <c r="M103" s="91">
        <v>50</v>
      </c>
      <c r="N103" s="91">
        <v>85.5</v>
      </c>
      <c r="O103" s="91">
        <v>76.099999999999994</v>
      </c>
      <c r="P103" s="91">
        <v>82.7</v>
      </c>
      <c r="Q103" s="91">
        <v>85.3</v>
      </c>
      <c r="R103" s="91">
        <v>65.2</v>
      </c>
      <c r="S103" s="91">
        <v>72</v>
      </c>
      <c r="T103" s="91">
        <v>76.7</v>
      </c>
      <c r="U103" s="91">
        <v>78</v>
      </c>
      <c r="V103" s="91">
        <v>66</v>
      </c>
      <c r="W103" s="91">
        <v>45</v>
      </c>
      <c r="X103" s="91">
        <v>51.2</v>
      </c>
      <c r="Y103" s="91">
        <v>51.2</v>
      </c>
      <c r="Z103" s="91">
        <v>65.5</v>
      </c>
      <c r="AA103" s="91">
        <v>61.6</v>
      </c>
      <c r="AB103" s="91">
        <v>66</v>
      </c>
      <c r="AC103" s="91">
        <v>49</v>
      </c>
      <c r="AD103" s="91">
        <v>53</v>
      </c>
      <c r="AE103" s="91">
        <v>66</v>
      </c>
      <c r="AF103" s="91">
        <v>56</v>
      </c>
      <c r="AG103" s="152"/>
      <c r="AH103" s="54">
        <f t="shared" si="29"/>
        <v>87</v>
      </c>
      <c r="AI103" s="89">
        <f t="shared" si="30"/>
        <v>0.29166666666666669</v>
      </c>
    </row>
    <row r="104" spans="1:37" x14ac:dyDescent="0.25">
      <c r="A104" s="164" t="s">
        <v>105</v>
      </c>
      <c r="B104" s="91">
        <v>65.2</v>
      </c>
      <c r="C104" s="91">
        <v>56.6</v>
      </c>
      <c r="D104" s="91">
        <v>57.4</v>
      </c>
      <c r="E104" s="91">
        <v>45.4</v>
      </c>
      <c r="F104" s="91">
        <v>40</v>
      </c>
      <c r="G104" s="91">
        <v>22</v>
      </c>
      <c r="H104" s="91">
        <v>33.1</v>
      </c>
      <c r="I104" s="91">
        <v>14</v>
      </c>
      <c r="J104" s="91">
        <v>27</v>
      </c>
      <c r="K104" s="91">
        <v>38</v>
      </c>
      <c r="L104" s="91">
        <v>36</v>
      </c>
      <c r="M104" s="91">
        <v>18.100000000000001</v>
      </c>
      <c r="N104" s="91">
        <v>58.1</v>
      </c>
      <c r="O104" s="91">
        <v>52.1</v>
      </c>
      <c r="P104" s="91">
        <v>39.799999999999997</v>
      </c>
      <c r="Q104" s="91">
        <v>37.700000000000003</v>
      </c>
      <c r="R104" s="91">
        <v>45.2</v>
      </c>
      <c r="S104" s="91">
        <v>36.5</v>
      </c>
      <c r="T104" s="91">
        <v>29.3</v>
      </c>
      <c r="U104" s="91">
        <v>49</v>
      </c>
      <c r="V104" s="91">
        <v>11.3</v>
      </c>
      <c r="W104" s="91">
        <v>10.5</v>
      </c>
      <c r="X104" s="91">
        <v>19.600000000000001</v>
      </c>
      <c r="Y104" s="91">
        <v>19.600000000000001</v>
      </c>
      <c r="Z104" s="91">
        <v>19.600000000000001</v>
      </c>
      <c r="AA104" s="91">
        <v>49</v>
      </c>
      <c r="AB104" s="91">
        <v>54</v>
      </c>
      <c r="AC104" s="91">
        <v>60</v>
      </c>
      <c r="AD104" s="91">
        <v>52</v>
      </c>
      <c r="AE104" s="91">
        <v>63</v>
      </c>
      <c r="AF104" s="91">
        <v>62</v>
      </c>
      <c r="AG104" s="153"/>
      <c r="AH104" s="54">
        <f t="shared" si="29"/>
        <v>63</v>
      </c>
      <c r="AI104" s="89">
        <f t="shared" si="30"/>
        <v>0.91666666666666696</v>
      </c>
    </row>
    <row r="105" spans="1:37" ht="15.75" thickBot="1" x14ac:dyDescent="0.3">
      <c r="A105" s="171" t="s">
        <v>106</v>
      </c>
      <c r="B105" s="82">
        <v>83.2</v>
      </c>
      <c r="C105" s="82">
        <v>83.2</v>
      </c>
      <c r="D105" s="82">
        <v>87</v>
      </c>
      <c r="E105" s="82">
        <v>90.6</v>
      </c>
      <c r="F105" s="82">
        <v>94.7</v>
      </c>
      <c r="G105" s="82">
        <v>100</v>
      </c>
      <c r="H105" s="82">
        <v>99</v>
      </c>
      <c r="I105" s="82">
        <v>100</v>
      </c>
      <c r="J105" s="82">
        <v>98</v>
      </c>
      <c r="K105" s="82">
        <v>99</v>
      </c>
      <c r="L105" s="82">
        <v>91</v>
      </c>
      <c r="M105" s="82">
        <v>91.5</v>
      </c>
      <c r="N105" s="82">
        <v>77.900000000000006</v>
      </c>
      <c r="O105" s="82">
        <v>70.400000000000006</v>
      </c>
      <c r="P105" s="82">
        <v>70.099999999999994</v>
      </c>
      <c r="Q105" s="82">
        <v>70.2</v>
      </c>
      <c r="R105" s="82">
        <v>79</v>
      </c>
      <c r="S105" s="82">
        <v>68.8</v>
      </c>
      <c r="T105" s="82">
        <v>51.6</v>
      </c>
      <c r="U105" s="82">
        <v>57.3</v>
      </c>
      <c r="V105" s="82">
        <v>70.400000000000006</v>
      </c>
      <c r="W105" s="82">
        <v>79</v>
      </c>
      <c r="X105" s="82">
        <v>78.099999999999994</v>
      </c>
      <c r="Y105" s="82">
        <v>78.099999999999994</v>
      </c>
      <c r="Z105" s="82">
        <v>73</v>
      </c>
      <c r="AA105" s="82">
        <v>72.7</v>
      </c>
      <c r="AB105" s="82">
        <v>62</v>
      </c>
      <c r="AC105" s="82">
        <v>72</v>
      </c>
      <c r="AD105" s="82">
        <v>76</v>
      </c>
      <c r="AE105" s="82">
        <v>63</v>
      </c>
      <c r="AF105" s="82">
        <v>129</v>
      </c>
      <c r="AG105" s="153"/>
      <c r="AH105" s="54">
        <f t="shared" si="29"/>
        <v>129</v>
      </c>
      <c r="AI105" s="89">
        <f t="shared" si="30"/>
        <v>0.95833333333333304</v>
      </c>
    </row>
    <row r="106" spans="1:37" ht="15.75" thickBot="1" x14ac:dyDescent="0.3">
      <c r="A106" s="92" t="s">
        <v>79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154"/>
      <c r="AH106" s="94"/>
      <c r="AI106" s="55"/>
      <c r="AK106" s="56"/>
    </row>
    <row r="107" spans="1:37" x14ac:dyDescent="0.25">
      <c r="A107" s="162" t="s">
        <v>133</v>
      </c>
      <c r="B107" s="175">
        <v>9.98</v>
      </c>
      <c r="C107" s="175">
        <v>9.98</v>
      </c>
      <c r="D107" s="175">
        <v>9.98</v>
      </c>
      <c r="E107" s="175">
        <v>9.98</v>
      </c>
      <c r="F107" s="175">
        <v>9.98</v>
      </c>
      <c r="G107" s="175">
        <v>9.98</v>
      </c>
      <c r="H107" s="175">
        <v>9.98</v>
      </c>
      <c r="I107" s="175">
        <v>9.98</v>
      </c>
      <c r="J107" s="175">
        <v>9.98</v>
      </c>
      <c r="K107" s="175">
        <v>9.98</v>
      </c>
      <c r="L107" s="175">
        <v>9.98</v>
      </c>
      <c r="M107" s="175">
        <v>9.98</v>
      </c>
      <c r="N107" s="175">
        <v>9.98</v>
      </c>
      <c r="O107" s="175">
        <v>9.98</v>
      </c>
      <c r="P107" s="175">
        <v>9.98</v>
      </c>
      <c r="Q107" s="175">
        <v>9.98</v>
      </c>
      <c r="R107" s="175">
        <v>9.98</v>
      </c>
      <c r="S107" s="175">
        <v>9.98</v>
      </c>
      <c r="T107" s="175">
        <v>9.98</v>
      </c>
      <c r="U107" s="175">
        <v>9.98</v>
      </c>
      <c r="V107" s="175">
        <v>9.98</v>
      </c>
      <c r="W107" s="175">
        <v>9.98</v>
      </c>
      <c r="X107" s="175">
        <v>9.98</v>
      </c>
      <c r="Y107" s="175">
        <v>9.98</v>
      </c>
      <c r="Z107" s="175">
        <v>9.98</v>
      </c>
      <c r="AA107" s="175">
        <v>9.98</v>
      </c>
      <c r="AB107" s="175">
        <v>9.98</v>
      </c>
      <c r="AC107" s="175">
        <v>9.98</v>
      </c>
      <c r="AD107" s="175">
        <v>9.98</v>
      </c>
      <c r="AE107" s="175">
        <v>9.98</v>
      </c>
      <c r="AF107" s="175">
        <v>9.98</v>
      </c>
      <c r="AG107" s="96">
        <v>9.98</v>
      </c>
      <c r="AH107" s="54"/>
      <c r="AI107" s="55"/>
      <c r="AK107" s="56"/>
    </row>
    <row r="108" spans="1:37" x14ac:dyDescent="0.25">
      <c r="A108" s="163" t="s">
        <v>134</v>
      </c>
      <c r="B108" s="175">
        <v>9.94</v>
      </c>
      <c r="C108" s="175">
        <v>9.94</v>
      </c>
      <c r="D108" s="175">
        <v>9.94</v>
      </c>
      <c r="E108" s="175">
        <v>9.94</v>
      </c>
      <c r="F108" s="175">
        <v>9.94</v>
      </c>
      <c r="G108" s="175">
        <v>9.94</v>
      </c>
      <c r="H108" s="175">
        <v>9.94</v>
      </c>
      <c r="I108" s="175">
        <v>9.94</v>
      </c>
      <c r="J108" s="175">
        <v>9.94</v>
      </c>
      <c r="K108" s="175">
        <v>9.94</v>
      </c>
      <c r="L108" s="175">
        <v>9.94</v>
      </c>
      <c r="M108" s="175">
        <v>9.94</v>
      </c>
      <c r="N108" s="175">
        <v>9.94</v>
      </c>
      <c r="O108" s="175">
        <v>9.94</v>
      </c>
      <c r="P108" s="175">
        <v>9.94</v>
      </c>
      <c r="Q108" s="175">
        <v>9.94</v>
      </c>
      <c r="R108" s="175">
        <v>9.94</v>
      </c>
      <c r="S108" s="175">
        <v>9.94</v>
      </c>
      <c r="T108" s="175">
        <v>9.94</v>
      </c>
      <c r="U108" s="175">
        <v>9.94</v>
      </c>
      <c r="V108" s="175">
        <v>9.94</v>
      </c>
      <c r="W108" s="175">
        <v>9.94</v>
      </c>
      <c r="X108" s="175">
        <v>9.94</v>
      </c>
      <c r="Y108" s="175">
        <v>9.94</v>
      </c>
      <c r="Z108" s="175">
        <v>9.94</v>
      </c>
      <c r="AA108" s="175">
        <v>9.94</v>
      </c>
      <c r="AB108" s="175">
        <v>9.94</v>
      </c>
      <c r="AC108" s="175">
        <v>9.94</v>
      </c>
      <c r="AD108" s="175">
        <v>9.94</v>
      </c>
      <c r="AE108" s="175">
        <v>9.94</v>
      </c>
      <c r="AF108" s="175">
        <v>9.94</v>
      </c>
      <c r="AG108" s="96">
        <v>9.94</v>
      </c>
      <c r="AH108" s="54"/>
      <c r="AI108" s="55"/>
      <c r="AK108" s="56"/>
    </row>
    <row r="109" spans="1:37" x14ac:dyDescent="0.25">
      <c r="A109" s="163" t="s">
        <v>135</v>
      </c>
      <c r="B109" s="175">
        <v>9.9</v>
      </c>
      <c r="C109" s="175">
        <v>9.9</v>
      </c>
      <c r="D109" s="175">
        <v>9.9</v>
      </c>
      <c r="E109" s="175">
        <v>9.9</v>
      </c>
      <c r="F109" s="175">
        <v>9.9</v>
      </c>
      <c r="G109" s="175">
        <v>9.9</v>
      </c>
      <c r="H109" s="175">
        <v>9.9</v>
      </c>
      <c r="I109" s="175">
        <v>9.9</v>
      </c>
      <c r="J109" s="175">
        <v>9.9</v>
      </c>
      <c r="K109" s="175">
        <v>9.9</v>
      </c>
      <c r="L109" s="175">
        <v>9.9</v>
      </c>
      <c r="M109" s="175">
        <v>9.9</v>
      </c>
      <c r="N109" s="175">
        <v>9.9</v>
      </c>
      <c r="O109" s="175">
        <v>9.9</v>
      </c>
      <c r="P109" s="175">
        <v>9.9</v>
      </c>
      <c r="Q109" s="175">
        <v>9.9</v>
      </c>
      <c r="R109" s="175">
        <v>9.9</v>
      </c>
      <c r="S109" s="175">
        <v>9.9</v>
      </c>
      <c r="T109" s="175">
        <v>9.9</v>
      </c>
      <c r="U109" s="175">
        <v>9.9</v>
      </c>
      <c r="V109" s="175">
        <v>9.9</v>
      </c>
      <c r="W109" s="175">
        <v>9.9</v>
      </c>
      <c r="X109" s="175">
        <v>9.9</v>
      </c>
      <c r="Y109" s="175">
        <v>9.9</v>
      </c>
      <c r="Z109" s="175">
        <v>9.9</v>
      </c>
      <c r="AA109" s="175">
        <v>9.9</v>
      </c>
      <c r="AB109" s="175">
        <v>9.9</v>
      </c>
      <c r="AC109" s="175">
        <v>9.9</v>
      </c>
      <c r="AD109" s="175">
        <v>9.9</v>
      </c>
      <c r="AE109" s="175">
        <v>9.9</v>
      </c>
      <c r="AF109" s="175">
        <v>9.9</v>
      </c>
      <c r="AG109" s="96">
        <v>9.9</v>
      </c>
      <c r="AH109" s="54"/>
      <c r="AI109" s="55"/>
      <c r="AK109" s="56"/>
    </row>
    <row r="110" spans="1:37" x14ac:dyDescent="0.25">
      <c r="A110" s="163" t="s">
        <v>136</v>
      </c>
      <c r="B110" s="175">
        <v>9.6579999999999995</v>
      </c>
      <c r="C110" s="175">
        <v>9.6579999999999995</v>
      </c>
      <c r="D110" s="175">
        <v>9.6579999999999995</v>
      </c>
      <c r="E110" s="175">
        <v>9.6579999999999995</v>
      </c>
      <c r="F110" s="175">
        <v>9.6579999999999995</v>
      </c>
      <c r="G110" s="175">
        <v>9.6579999999999995</v>
      </c>
      <c r="H110" s="175">
        <v>9.6579999999999995</v>
      </c>
      <c r="I110" s="175">
        <v>9.6579999999999995</v>
      </c>
      <c r="J110" s="175">
        <v>9.6579999999999995</v>
      </c>
      <c r="K110" s="175">
        <v>9.6579999999999995</v>
      </c>
      <c r="L110" s="175">
        <v>9.6579999999999995</v>
      </c>
      <c r="M110" s="175">
        <v>9.6579999999999995</v>
      </c>
      <c r="N110" s="175">
        <v>9.6579999999999995</v>
      </c>
      <c r="O110" s="175">
        <v>9.6579999999999995</v>
      </c>
      <c r="P110" s="175">
        <v>9.6579999999999995</v>
      </c>
      <c r="Q110" s="175">
        <v>9.6579999999999995</v>
      </c>
      <c r="R110" s="175">
        <v>9.6579999999999995</v>
      </c>
      <c r="S110" s="175">
        <v>9.6579999999999995</v>
      </c>
      <c r="T110" s="175">
        <v>9.6579999999999995</v>
      </c>
      <c r="U110" s="175">
        <v>9.6579999999999995</v>
      </c>
      <c r="V110" s="175">
        <v>9.6579999999999995</v>
      </c>
      <c r="W110" s="175">
        <v>9.6579999999999995</v>
      </c>
      <c r="X110" s="175">
        <v>9.6579999999999995</v>
      </c>
      <c r="Y110" s="175">
        <v>9.6579999999999995</v>
      </c>
      <c r="Z110" s="175">
        <v>9.6579999999999995</v>
      </c>
      <c r="AA110" s="175">
        <v>9.6579999999999995</v>
      </c>
      <c r="AB110" s="175">
        <v>9.6579999999999995</v>
      </c>
      <c r="AC110" s="175">
        <v>9.6579999999999995</v>
      </c>
      <c r="AD110" s="175">
        <v>9.6579999999999995</v>
      </c>
      <c r="AE110" s="175">
        <v>9.6579999999999995</v>
      </c>
      <c r="AF110" s="175">
        <v>9.6579999999999995</v>
      </c>
      <c r="AG110" s="96">
        <v>9.6579999999999995</v>
      </c>
      <c r="AH110" s="54"/>
      <c r="AI110" s="55"/>
      <c r="AK110" s="56"/>
    </row>
    <row r="111" spans="1:37" x14ac:dyDescent="0.25">
      <c r="A111" s="163" t="s">
        <v>137</v>
      </c>
      <c r="B111" s="175">
        <v>9.6</v>
      </c>
      <c r="C111" s="175">
        <v>9.6</v>
      </c>
      <c r="D111" s="175">
        <v>9.6</v>
      </c>
      <c r="E111" s="175">
        <v>9.6</v>
      </c>
      <c r="F111" s="175">
        <v>9.6</v>
      </c>
      <c r="G111" s="175">
        <v>9.6</v>
      </c>
      <c r="H111" s="175">
        <v>9.6</v>
      </c>
      <c r="I111" s="175">
        <v>9.6</v>
      </c>
      <c r="J111" s="175">
        <v>9.6</v>
      </c>
      <c r="K111" s="175">
        <v>9.6</v>
      </c>
      <c r="L111" s="175">
        <v>9.6</v>
      </c>
      <c r="M111" s="175">
        <v>9.6</v>
      </c>
      <c r="N111" s="175">
        <v>9.6</v>
      </c>
      <c r="O111" s="175">
        <v>9.6</v>
      </c>
      <c r="P111" s="175">
        <v>9.6</v>
      </c>
      <c r="Q111" s="175">
        <v>9.6</v>
      </c>
      <c r="R111" s="175">
        <v>9.6</v>
      </c>
      <c r="S111" s="175">
        <v>9.6</v>
      </c>
      <c r="T111" s="175">
        <v>9.6</v>
      </c>
      <c r="U111" s="175">
        <v>9.6</v>
      </c>
      <c r="V111" s="175">
        <v>9.6</v>
      </c>
      <c r="W111" s="175">
        <v>9.6</v>
      </c>
      <c r="X111" s="175">
        <v>9.6</v>
      </c>
      <c r="Y111" s="175">
        <v>9.6</v>
      </c>
      <c r="Z111" s="175">
        <v>9.6</v>
      </c>
      <c r="AA111" s="175">
        <v>9.6</v>
      </c>
      <c r="AB111" s="175">
        <v>9.6</v>
      </c>
      <c r="AC111" s="175">
        <v>9.6</v>
      </c>
      <c r="AD111" s="175">
        <v>9.6</v>
      </c>
      <c r="AE111" s="175">
        <v>9.6</v>
      </c>
      <c r="AF111" s="175">
        <v>9.6</v>
      </c>
      <c r="AG111" s="96">
        <v>9.6</v>
      </c>
      <c r="AH111" s="54"/>
      <c r="AI111" s="55"/>
      <c r="AK111" s="56"/>
    </row>
    <row r="112" spans="1:37" x14ac:dyDescent="0.25">
      <c r="A112" s="163" t="s">
        <v>138</v>
      </c>
      <c r="B112" s="175">
        <v>9.51</v>
      </c>
      <c r="C112" s="175">
        <v>9.51</v>
      </c>
      <c r="D112" s="175">
        <v>9.51</v>
      </c>
      <c r="E112" s="175">
        <v>9.51</v>
      </c>
      <c r="F112" s="175">
        <v>9.51</v>
      </c>
      <c r="G112" s="175">
        <v>9.51</v>
      </c>
      <c r="H112" s="175">
        <v>9.51</v>
      </c>
      <c r="I112" s="175">
        <v>9.51</v>
      </c>
      <c r="J112" s="175">
        <v>9.51</v>
      </c>
      <c r="K112" s="175">
        <v>9.51</v>
      </c>
      <c r="L112" s="175">
        <v>9.51</v>
      </c>
      <c r="M112" s="175">
        <v>9.51</v>
      </c>
      <c r="N112" s="175">
        <v>9.51</v>
      </c>
      <c r="O112" s="175">
        <v>9.51</v>
      </c>
      <c r="P112" s="175">
        <v>9.51</v>
      </c>
      <c r="Q112" s="175">
        <v>9.51</v>
      </c>
      <c r="R112" s="175">
        <v>9.51</v>
      </c>
      <c r="S112" s="175">
        <v>9.51</v>
      </c>
      <c r="T112" s="175">
        <v>9.51</v>
      </c>
      <c r="U112" s="175">
        <v>9.51</v>
      </c>
      <c r="V112" s="175">
        <v>9.51</v>
      </c>
      <c r="W112" s="175">
        <v>9.51</v>
      </c>
      <c r="X112" s="175">
        <v>9.51</v>
      </c>
      <c r="Y112" s="175">
        <v>9.51</v>
      </c>
      <c r="Z112" s="175">
        <v>9.51</v>
      </c>
      <c r="AA112" s="175">
        <v>9.51</v>
      </c>
      <c r="AB112" s="175">
        <v>9.51</v>
      </c>
      <c r="AC112" s="175">
        <v>9.51</v>
      </c>
      <c r="AD112" s="175">
        <v>9.51</v>
      </c>
      <c r="AE112" s="175">
        <v>9.51</v>
      </c>
      <c r="AF112" s="175">
        <v>9.51</v>
      </c>
      <c r="AG112" s="96">
        <v>9.51</v>
      </c>
      <c r="AH112" s="54"/>
      <c r="AI112" s="55"/>
      <c r="AK112" s="56"/>
    </row>
    <row r="113" spans="1:37" x14ac:dyDescent="0.25">
      <c r="A113" s="163" t="s">
        <v>139</v>
      </c>
      <c r="B113" s="175">
        <v>9.4</v>
      </c>
      <c r="C113" s="175">
        <v>9.4</v>
      </c>
      <c r="D113" s="175">
        <v>9.4</v>
      </c>
      <c r="E113" s="175">
        <v>9.4</v>
      </c>
      <c r="F113" s="175">
        <v>9.4</v>
      </c>
      <c r="G113" s="175">
        <v>9.4</v>
      </c>
      <c r="H113" s="175">
        <v>9.4</v>
      </c>
      <c r="I113" s="175">
        <v>9.4</v>
      </c>
      <c r="J113" s="175">
        <v>9.4</v>
      </c>
      <c r="K113" s="175">
        <v>9.4</v>
      </c>
      <c r="L113" s="175">
        <v>9.4</v>
      </c>
      <c r="M113" s="175">
        <v>9.4</v>
      </c>
      <c r="N113" s="175">
        <v>9.4</v>
      </c>
      <c r="O113" s="175">
        <v>9.4</v>
      </c>
      <c r="P113" s="175">
        <v>9.4</v>
      </c>
      <c r="Q113" s="175">
        <v>9.4</v>
      </c>
      <c r="R113" s="175">
        <v>9.4</v>
      </c>
      <c r="S113" s="175">
        <v>9.4</v>
      </c>
      <c r="T113" s="175">
        <v>9.4</v>
      </c>
      <c r="U113" s="175">
        <v>9.4</v>
      </c>
      <c r="V113" s="175">
        <v>9.4</v>
      </c>
      <c r="W113" s="175">
        <v>9.4</v>
      </c>
      <c r="X113" s="175">
        <v>9.4</v>
      </c>
      <c r="Y113" s="175">
        <v>9.4</v>
      </c>
      <c r="Z113" s="175">
        <v>9.4</v>
      </c>
      <c r="AA113" s="175">
        <v>9.4</v>
      </c>
      <c r="AB113" s="175">
        <v>9.4</v>
      </c>
      <c r="AC113" s="175">
        <v>9.4</v>
      </c>
      <c r="AD113" s="175">
        <v>9.4</v>
      </c>
      <c r="AE113" s="175">
        <v>9.4</v>
      </c>
      <c r="AF113" s="175">
        <v>9.4</v>
      </c>
      <c r="AG113" s="96">
        <v>9.4</v>
      </c>
      <c r="AH113" s="54"/>
      <c r="AI113" s="55"/>
      <c r="AK113" s="56"/>
    </row>
    <row r="114" spans="1:37" x14ac:dyDescent="0.25">
      <c r="A114" s="163" t="s">
        <v>140</v>
      </c>
      <c r="B114" s="175">
        <v>8.8000000000000007</v>
      </c>
      <c r="C114" s="175">
        <v>8.8000000000000007</v>
      </c>
      <c r="D114" s="175">
        <v>8.8000000000000007</v>
      </c>
      <c r="E114" s="175">
        <v>8.8000000000000007</v>
      </c>
      <c r="F114" s="175">
        <v>8.8000000000000007</v>
      </c>
      <c r="G114" s="175">
        <v>8.8000000000000007</v>
      </c>
      <c r="H114" s="175">
        <v>8.8000000000000007</v>
      </c>
      <c r="I114" s="175">
        <v>8.8000000000000007</v>
      </c>
      <c r="J114" s="175">
        <v>8.8000000000000007</v>
      </c>
      <c r="K114" s="175">
        <v>8.8000000000000007</v>
      </c>
      <c r="L114" s="175">
        <v>8.8000000000000007</v>
      </c>
      <c r="M114" s="175">
        <v>8.8000000000000007</v>
      </c>
      <c r="N114" s="175">
        <v>8.8000000000000007</v>
      </c>
      <c r="O114" s="175">
        <v>8.8000000000000007</v>
      </c>
      <c r="P114" s="175">
        <v>8.8000000000000007</v>
      </c>
      <c r="Q114" s="175">
        <v>8.8000000000000007</v>
      </c>
      <c r="R114" s="175">
        <v>8.8000000000000007</v>
      </c>
      <c r="S114" s="175">
        <v>8.8000000000000007</v>
      </c>
      <c r="T114" s="175">
        <v>8.8000000000000007</v>
      </c>
      <c r="U114" s="175">
        <v>8.8000000000000007</v>
      </c>
      <c r="V114" s="175">
        <v>8.8000000000000007</v>
      </c>
      <c r="W114" s="175">
        <v>8.8000000000000007</v>
      </c>
      <c r="X114" s="175">
        <v>8.8000000000000007</v>
      </c>
      <c r="Y114" s="175">
        <v>8.8000000000000007</v>
      </c>
      <c r="Z114" s="175">
        <v>8.8000000000000007</v>
      </c>
      <c r="AA114" s="175">
        <v>8.8000000000000007</v>
      </c>
      <c r="AB114" s="175">
        <v>8.8000000000000007</v>
      </c>
      <c r="AC114" s="175">
        <v>8.8000000000000007</v>
      </c>
      <c r="AD114" s="175">
        <v>8.8000000000000007</v>
      </c>
      <c r="AE114" s="175">
        <v>8.8000000000000007</v>
      </c>
      <c r="AF114" s="175">
        <v>8.8000000000000007</v>
      </c>
      <c r="AG114" s="96">
        <v>8.8000000000000007</v>
      </c>
      <c r="AH114" s="54"/>
      <c r="AI114" s="55"/>
      <c r="AK114" s="56"/>
    </row>
    <row r="115" spans="1:37" x14ac:dyDescent="0.25">
      <c r="A115" s="163" t="s">
        <v>141</v>
      </c>
      <c r="B115" s="175">
        <v>8.5</v>
      </c>
      <c r="C115" s="175">
        <v>8.5</v>
      </c>
      <c r="D115" s="175">
        <v>8.5</v>
      </c>
      <c r="E115" s="175">
        <v>8.5</v>
      </c>
      <c r="F115" s="175">
        <v>8.5</v>
      </c>
      <c r="G115" s="175">
        <v>8.5</v>
      </c>
      <c r="H115" s="175">
        <v>8.5</v>
      </c>
      <c r="I115" s="175">
        <v>8.5</v>
      </c>
      <c r="J115" s="175">
        <v>8.5</v>
      </c>
      <c r="K115" s="175">
        <v>8.5</v>
      </c>
      <c r="L115" s="175">
        <v>8.5</v>
      </c>
      <c r="M115" s="175">
        <v>8.5</v>
      </c>
      <c r="N115" s="175">
        <v>8.5</v>
      </c>
      <c r="O115" s="175">
        <v>8.5</v>
      </c>
      <c r="P115" s="175">
        <v>8.5</v>
      </c>
      <c r="Q115" s="175">
        <v>8.5</v>
      </c>
      <c r="R115" s="175">
        <v>8.5</v>
      </c>
      <c r="S115" s="175">
        <v>8.5</v>
      </c>
      <c r="T115" s="175">
        <v>8.5</v>
      </c>
      <c r="U115" s="175">
        <v>8.5</v>
      </c>
      <c r="V115" s="175">
        <v>8.5</v>
      </c>
      <c r="W115" s="175">
        <v>8.5</v>
      </c>
      <c r="X115" s="175">
        <v>8.5</v>
      </c>
      <c r="Y115" s="175">
        <v>8.5</v>
      </c>
      <c r="Z115" s="175">
        <v>8.5</v>
      </c>
      <c r="AA115" s="175">
        <v>8.5</v>
      </c>
      <c r="AB115" s="175">
        <v>8.5</v>
      </c>
      <c r="AC115" s="175">
        <v>8.5</v>
      </c>
      <c r="AD115" s="175">
        <v>8.5</v>
      </c>
      <c r="AE115" s="175">
        <v>8.5</v>
      </c>
      <c r="AF115" s="175">
        <v>8.5</v>
      </c>
      <c r="AG115" s="96">
        <v>8.5</v>
      </c>
      <c r="AH115" s="54"/>
      <c r="AI115" s="55"/>
      <c r="AK115" s="56"/>
    </row>
    <row r="116" spans="1:37" x14ac:dyDescent="0.25">
      <c r="A116" s="163" t="s">
        <v>142</v>
      </c>
      <c r="B116" s="175">
        <v>8.5</v>
      </c>
      <c r="C116" s="175">
        <v>8.5</v>
      </c>
      <c r="D116" s="175">
        <v>8.5</v>
      </c>
      <c r="E116" s="175">
        <v>8.5</v>
      </c>
      <c r="F116" s="175">
        <v>8.5</v>
      </c>
      <c r="G116" s="175">
        <v>8.5</v>
      </c>
      <c r="H116" s="175">
        <v>8.5</v>
      </c>
      <c r="I116" s="175">
        <v>8.5</v>
      </c>
      <c r="J116" s="175">
        <v>8.5</v>
      </c>
      <c r="K116" s="175">
        <v>8.5</v>
      </c>
      <c r="L116" s="175">
        <v>8.5</v>
      </c>
      <c r="M116" s="175">
        <v>8.5</v>
      </c>
      <c r="N116" s="175">
        <v>8.5</v>
      </c>
      <c r="O116" s="175">
        <v>8.5</v>
      </c>
      <c r="P116" s="175">
        <v>8.5</v>
      </c>
      <c r="Q116" s="175">
        <v>8.5</v>
      </c>
      <c r="R116" s="175">
        <v>8.5</v>
      </c>
      <c r="S116" s="175">
        <v>8.5</v>
      </c>
      <c r="T116" s="175">
        <v>8.5</v>
      </c>
      <c r="U116" s="175">
        <v>8.5</v>
      </c>
      <c r="V116" s="175">
        <v>8.5</v>
      </c>
      <c r="W116" s="175">
        <v>8.5</v>
      </c>
      <c r="X116" s="175">
        <v>8.5</v>
      </c>
      <c r="Y116" s="175">
        <v>8.5</v>
      </c>
      <c r="Z116" s="175">
        <v>8.5</v>
      </c>
      <c r="AA116" s="175">
        <v>8.5</v>
      </c>
      <c r="AB116" s="175">
        <v>8.5</v>
      </c>
      <c r="AC116" s="175">
        <v>8.5</v>
      </c>
      <c r="AD116" s="175">
        <v>8.5</v>
      </c>
      <c r="AE116" s="175">
        <v>8.5</v>
      </c>
      <c r="AF116" s="175">
        <v>8.5</v>
      </c>
      <c r="AG116" s="96">
        <v>8.5</v>
      </c>
      <c r="AH116" s="54"/>
      <c r="AI116" s="55"/>
      <c r="AK116" s="56"/>
    </row>
    <row r="117" spans="1:37" x14ac:dyDescent="0.25">
      <c r="A117" s="163" t="s">
        <v>143</v>
      </c>
      <c r="B117" s="175">
        <v>8.5</v>
      </c>
      <c r="C117" s="175">
        <v>8.5</v>
      </c>
      <c r="D117" s="175">
        <v>8.5</v>
      </c>
      <c r="E117" s="175">
        <v>8.5</v>
      </c>
      <c r="F117" s="175">
        <v>8.5</v>
      </c>
      <c r="G117" s="175">
        <v>8.5</v>
      </c>
      <c r="H117" s="175">
        <v>8.5</v>
      </c>
      <c r="I117" s="175">
        <v>8.5</v>
      </c>
      <c r="J117" s="175">
        <v>8.5</v>
      </c>
      <c r="K117" s="175">
        <v>8.5</v>
      </c>
      <c r="L117" s="175">
        <v>8.5</v>
      </c>
      <c r="M117" s="175">
        <v>8.5</v>
      </c>
      <c r="N117" s="175">
        <v>8.5</v>
      </c>
      <c r="O117" s="175">
        <v>8.5</v>
      </c>
      <c r="P117" s="175">
        <v>8.5</v>
      </c>
      <c r="Q117" s="175">
        <v>8.5</v>
      </c>
      <c r="R117" s="175">
        <v>8.5</v>
      </c>
      <c r="S117" s="175">
        <v>8.5</v>
      </c>
      <c r="T117" s="175">
        <v>8.5</v>
      </c>
      <c r="U117" s="175">
        <v>8.5</v>
      </c>
      <c r="V117" s="175">
        <v>8.5</v>
      </c>
      <c r="W117" s="175">
        <v>8.5</v>
      </c>
      <c r="X117" s="175">
        <v>8.5</v>
      </c>
      <c r="Y117" s="175">
        <v>8.5</v>
      </c>
      <c r="Z117" s="175">
        <v>8.5</v>
      </c>
      <c r="AA117" s="175">
        <v>8.5</v>
      </c>
      <c r="AB117" s="175">
        <v>8.5</v>
      </c>
      <c r="AC117" s="175">
        <v>8.5</v>
      </c>
      <c r="AD117" s="175">
        <v>8.5</v>
      </c>
      <c r="AE117" s="175">
        <v>8.5</v>
      </c>
      <c r="AF117" s="175">
        <v>8.5</v>
      </c>
      <c r="AG117" s="96">
        <v>8.5</v>
      </c>
      <c r="AH117" s="54"/>
      <c r="AI117" s="55"/>
      <c r="AK117" s="56"/>
    </row>
    <row r="118" spans="1:37" x14ac:dyDescent="0.25">
      <c r="A118" s="163" t="s">
        <v>144</v>
      </c>
      <c r="B118" s="175">
        <v>8.4</v>
      </c>
      <c r="C118" s="175">
        <v>8.4</v>
      </c>
      <c r="D118" s="175">
        <v>8.4</v>
      </c>
      <c r="E118" s="175">
        <v>8.4</v>
      </c>
      <c r="F118" s="175">
        <v>8.4</v>
      </c>
      <c r="G118" s="175">
        <v>8.4</v>
      </c>
      <c r="H118" s="175">
        <v>8.4</v>
      </c>
      <c r="I118" s="175">
        <v>8.4</v>
      </c>
      <c r="J118" s="175">
        <v>8.4</v>
      </c>
      <c r="K118" s="175">
        <v>8.4</v>
      </c>
      <c r="L118" s="175">
        <v>8.4</v>
      </c>
      <c r="M118" s="175">
        <v>8.4</v>
      </c>
      <c r="N118" s="175">
        <v>8.4</v>
      </c>
      <c r="O118" s="175">
        <v>8.4</v>
      </c>
      <c r="P118" s="175">
        <v>8.4</v>
      </c>
      <c r="Q118" s="175">
        <v>8.4</v>
      </c>
      <c r="R118" s="175">
        <v>8.4</v>
      </c>
      <c r="S118" s="175">
        <v>8.4</v>
      </c>
      <c r="T118" s="175">
        <v>8.4</v>
      </c>
      <c r="U118" s="175">
        <v>8.4</v>
      </c>
      <c r="V118" s="175">
        <v>8.4</v>
      </c>
      <c r="W118" s="175">
        <v>8.4</v>
      </c>
      <c r="X118" s="175">
        <v>8.4</v>
      </c>
      <c r="Y118" s="175">
        <v>8.4</v>
      </c>
      <c r="Z118" s="175">
        <v>8.4</v>
      </c>
      <c r="AA118" s="175">
        <v>8.4</v>
      </c>
      <c r="AB118" s="175">
        <v>8.4</v>
      </c>
      <c r="AC118" s="175">
        <v>8.4</v>
      </c>
      <c r="AD118" s="175">
        <v>8.4</v>
      </c>
      <c r="AE118" s="175">
        <v>8.4</v>
      </c>
      <c r="AF118" s="175">
        <v>8.4</v>
      </c>
      <c r="AG118" s="96">
        <v>8.4</v>
      </c>
      <c r="AH118" s="54"/>
      <c r="AI118" s="55"/>
      <c r="AK118" s="56"/>
    </row>
    <row r="119" spans="1:37" x14ac:dyDescent="0.25">
      <c r="A119" s="163" t="s">
        <v>145</v>
      </c>
      <c r="B119" s="175">
        <v>8</v>
      </c>
      <c r="C119" s="175">
        <v>8</v>
      </c>
      <c r="D119" s="175">
        <v>8</v>
      </c>
      <c r="E119" s="175">
        <v>8</v>
      </c>
      <c r="F119" s="175">
        <v>8</v>
      </c>
      <c r="G119" s="175">
        <v>8</v>
      </c>
      <c r="H119" s="175">
        <v>8</v>
      </c>
      <c r="I119" s="175">
        <v>8</v>
      </c>
      <c r="J119" s="175">
        <v>8</v>
      </c>
      <c r="K119" s="175">
        <v>8</v>
      </c>
      <c r="L119" s="175">
        <v>8</v>
      </c>
      <c r="M119" s="175">
        <v>8</v>
      </c>
      <c r="N119" s="175">
        <v>8</v>
      </c>
      <c r="O119" s="175">
        <v>8</v>
      </c>
      <c r="P119" s="175">
        <v>8</v>
      </c>
      <c r="Q119" s="175">
        <v>8</v>
      </c>
      <c r="R119" s="175">
        <v>8</v>
      </c>
      <c r="S119" s="175">
        <v>8</v>
      </c>
      <c r="T119" s="175">
        <v>8</v>
      </c>
      <c r="U119" s="175">
        <v>8</v>
      </c>
      <c r="V119" s="175">
        <v>8</v>
      </c>
      <c r="W119" s="175">
        <v>8</v>
      </c>
      <c r="X119" s="175">
        <v>8</v>
      </c>
      <c r="Y119" s="175">
        <v>8</v>
      </c>
      <c r="Z119" s="175">
        <v>8</v>
      </c>
      <c r="AA119" s="175">
        <v>8</v>
      </c>
      <c r="AB119" s="175">
        <v>8</v>
      </c>
      <c r="AC119" s="175">
        <v>8</v>
      </c>
      <c r="AD119" s="175">
        <v>8</v>
      </c>
      <c r="AE119" s="175">
        <v>8</v>
      </c>
      <c r="AF119" s="175">
        <v>8</v>
      </c>
      <c r="AG119" s="96">
        <v>8</v>
      </c>
      <c r="AH119" s="54"/>
      <c r="AI119" s="55"/>
      <c r="AK119" s="56"/>
    </row>
    <row r="120" spans="1:37" x14ac:dyDescent="0.25">
      <c r="A120" s="163" t="s">
        <v>146</v>
      </c>
      <c r="B120" s="175">
        <v>8</v>
      </c>
      <c r="C120" s="175">
        <v>8</v>
      </c>
      <c r="D120" s="175">
        <v>8</v>
      </c>
      <c r="E120" s="175">
        <v>8</v>
      </c>
      <c r="F120" s="175">
        <v>8</v>
      </c>
      <c r="G120" s="175">
        <v>8</v>
      </c>
      <c r="H120" s="175">
        <v>8</v>
      </c>
      <c r="I120" s="175">
        <v>8</v>
      </c>
      <c r="J120" s="175">
        <v>8</v>
      </c>
      <c r="K120" s="175">
        <v>8</v>
      </c>
      <c r="L120" s="175">
        <v>8</v>
      </c>
      <c r="M120" s="175">
        <v>8</v>
      </c>
      <c r="N120" s="175">
        <v>8</v>
      </c>
      <c r="O120" s="175">
        <v>8</v>
      </c>
      <c r="P120" s="175">
        <v>8</v>
      </c>
      <c r="Q120" s="175">
        <v>8</v>
      </c>
      <c r="R120" s="175">
        <v>8</v>
      </c>
      <c r="S120" s="175">
        <v>8</v>
      </c>
      <c r="T120" s="175">
        <v>8</v>
      </c>
      <c r="U120" s="175">
        <v>8</v>
      </c>
      <c r="V120" s="175">
        <v>8</v>
      </c>
      <c r="W120" s="175">
        <v>8</v>
      </c>
      <c r="X120" s="175">
        <v>8</v>
      </c>
      <c r="Y120" s="175">
        <v>8</v>
      </c>
      <c r="Z120" s="175">
        <v>8</v>
      </c>
      <c r="AA120" s="175">
        <v>8</v>
      </c>
      <c r="AB120" s="175">
        <v>8</v>
      </c>
      <c r="AC120" s="175">
        <v>8</v>
      </c>
      <c r="AD120" s="175">
        <v>8</v>
      </c>
      <c r="AE120" s="175">
        <v>8</v>
      </c>
      <c r="AF120" s="175">
        <v>8</v>
      </c>
      <c r="AG120" s="96">
        <v>8</v>
      </c>
      <c r="AH120" s="54"/>
      <c r="AI120" s="55"/>
      <c r="AK120" s="56"/>
    </row>
    <row r="121" spans="1:37" x14ac:dyDescent="0.25">
      <c r="A121" s="163" t="s">
        <v>147</v>
      </c>
      <c r="B121" s="175">
        <v>8</v>
      </c>
      <c r="C121" s="175">
        <v>8</v>
      </c>
      <c r="D121" s="175">
        <v>8</v>
      </c>
      <c r="E121" s="175">
        <v>8</v>
      </c>
      <c r="F121" s="175">
        <v>8</v>
      </c>
      <c r="G121" s="175">
        <v>8</v>
      </c>
      <c r="H121" s="175">
        <v>8</v>
      </c>
      <c r="I121" s="175">
        <v>8</v>
      </c>
      <c r="J121" s="175">
        <v>8</v>
      </c>
      <c r="K121" s="175">
        <v>8</v>
      </c>
      <c r="L121" s="175">
        <v>8</v>
      </c>
      <c r="M121" s="175">
        <v>8</v>
      </c>
      <c r="N121" s="175">
        <v>8</v>
      </c>
      <c r="O121" s="175">
        <v>8</v>
      </c>
      <c r="P121" s="175">
        <v>8</v>
      </c>
      <c r="Q121" s="175">
        <v>8</v>
      </c>
      <c r="R121" s="175">
        <v>8</v>
      </c>
      <c r="S121" s="175">
        <v>8</v>
      </c>
      <c r="T121" s="175">
        <v>8</v>
      </c>
      <c r="U121" s="175">
        <v>8</v>
      </c>
      <c r="V121" s="175">
        <v>8</v>
      </c>
      <c r="W121" s="175">
        <v>8</v>
      </c>
      <c r="X121" s="175">
        <v>8</v>
      </c>
      <c r="Y121" s="175">
        <v>8</v>
      </c>
      <c r="Z121" s="175">
        <v>8</v>
      </c>
      <c r="AA121" s="175">
        <v>8</v>
      </c>
      <c r="AB121" s="175">
        <v>8</v>
      </c>
      <c r="AC121" s="175">
        <v>8</v>
      </c>
      <c r="AD121" s="175">
        <v>8</v>
      </c>
      <c r="AE121" s="175">
        <v>8</v>
      </c>
      <c r="AF121" s="175">
        <v>0</v>
      </c>
      <c r="AG121" s="96">
        <v>8</v>
      </c>
      <c r="AH121" s="54"/>
      <c r="AI121" s="55"/>
      <c r="AK121" s="56"/>
    </row>
    <row r="122" spans="1:37" x14ac:dyDescent="0.25">
      <c r="A122" s="163" t="s">
        <v>148</v>
      </c>
      <c r="B122" s="175">
        <v>7.8</v>
      </c>
      <c r="C122" s="175">
        <v>7.8</v>
      </c>
      <c r="D122" s="175">
        <v>7.8</v>
      </c>
      <c r="E122" s="175">
        <v>7.8</v>
      </c>
      <c r="F122" s="175">
        <v>7.8</v>
      </c>
      <c r="G122" s="175">
        <v>7.8</v>
      </c>
      <c r="H122" s="175">
        <v>7.8</v>
      </c>
      <c r="I122" s="175">
        <v>7.8</v>
      </c>
      <c r="J122" s="175">
        <v>7.8</v>
      </c>
      <c r="K122" s="175">
        <v>7.8</v>
      </c>
      <c r="L122" s="175">
        <v>7.8</v>
      </c>
      <c r="M122" s="175">
        <v>7.8</v>
      </c>
      <c r="N122" s="175">
        <v>7.8</v>
      </c>
      <c r="O122" s="175">
        <v>7.8</v>
      </c>
      <c r="P122" s="175">
        <v>7.8</v>
      </c>
      <c r="Q122" s="175">
        <v>7.8</v>
      </c>
      <c r="R122" s="175">
        <v>7.8</v>
      </c>
      <c r="S122" s="175">
        <v>7.8</v>
      </c>
      <c r="T122" s="175">
        <v>7.8</v>
      </c>
      <c r="U122" s="175">
        <v>7.8</v>
      </c>
      <c r="V122" s="175">
        <v>7.8</v>
      </c>
      <c r="W122" s="175">
        <v>7.8</v>
      </c>
      <c r="X122" s="175">
        <v>7.8</v>
      </c>
      <c r="Y122" s="175">
        <v>7.8</v>
      </c>
      <c r="Z122" s="175">
        <v>7.8</v>
      </c>
      <c r="AA122" s="175">
        <v>7.8</v>
      </c>
      <c r="AB122" s="175">
        <v>7.8</v>
      </c>
      <c r="AC122" s="175">
        <v>7.8</v>
      </c>
      <c r="AD122" s="175">
        <v>7.8</v>
      </c>
      <c r="AE122" s="175">
        <v>7.8</v>
      </c>
      <c r="AF122" s="175">
        <v>7.8</v>
      </c>
      <c r="AG122" s="96">
        <v>7.8</v>
      </c>
      <c r="AH122" s="54"/>
      <c r="AI122" s="55"/>
      <c r="AK122" s="56"/>
    </row>
    <row r="123" spans="1:37" x14ac:dyDescent="0.25">
      <c r="A123" s="163" t="s">
        <v>149</v>
      </c>
      <c r="B123" s="176">
        <v>7.6</v>
      </c>
      <c r="C123" s="176">
        <v>7.6</v>
      </c>
      <c r="D123" s="176">
        <v>7.6</v>
      </c>
      <c r="E123" s="176">
        <v>7.6</v>
      </c>
      <c r="F123" s="176">
        <v>7.6</v>
      </c>
      <c r="G123" s="176">
        <v>7.6</v>
      </c>
      <c r="H123" s="176">
        <v>7.6</v>
      </c>
      <c r="I123" s="176">
        <v>7.6</v>
      </c>
      <c r="J123" s="176">
        <v>7.6</v>
      </c>
      <c r="K123" s="176">
        <v>7.6</v>
      </c>
      <c r="L123" s="176">
        <v>7.6</v>
      </c>
      <c r="M123" s="176">
        <v>7.6</v>
      </c>
      <c r="N123" s="176">
        <v>7.6</v>
      </c>
      <c r="O123" s="176">
        <v>7.6</v>
      </c>
      <c r="P123" s="176">
        <v>7.6</v>
      </c>
      <c r="Q123" s="176">
        <v>7.6</v>
      </c>
      <c r="R123" s="176">
        <v>7.6</v>
      </c>
      <c r="S123" s="176">
        <v>7.6</v>
      </c>
      <c r="T123" s="176">
        <v>7.6</v>
      </c>
      <c r="U123" s="176">
        <v>7.6</v>
      </c>
      <c r="V123" s="176">
        <v>7.6</v>
      </c>
      <c r="W123" s="176">
        <v>7.6</v>
      </c>
      <c r="X123" s="176">
        <v>7.6</v>
      </c>
      <c r="Y123" s="176">
        <v>7.6</v>
      </c>
      <c r="Z123" s="176">
        <v>7.6</v>
      </c>
      <c r="AA123" s="176">
        <v>7.6</v>
      </c>
      <c r="AB123" s="176">
        <v>7.6</v>
      </c>
      <c r="AC123" s="176">
        <v>7.6</v>
      </c>
      <c r="AD123" s="176">
        <v>7.6</v>
      </c>
      <c r="AE123" s="176">
        <v>7.6</v>
      </c>
      <c r="AF123" s="176">
        <v>7.6</v>
      </c>
      <c r="AG123" s="99">
        <v>7.6</v>
      </c>
      <c r="AH123" s="54"/>
      <c r="AI123" s="55"/>
      <c r="AK123" s="56"/>
    </row>
    <row r="124" spans="1:37" x14ac:dyDescent="0.25">
      <c r="A124" s="164" t="s">
        <v>80</v>
      </c>
      <c r="B124" s="176">
        <v>7.5</v>
      </c>
      <c r="C124" s="176">
        <v>7.5</v>
      </c>
      <c r="D124" s="176">
        <v>7.5</v>
      </c>
      <c r="E124" s="176">
        <v>7.5</v>
      </c>
      <c r="F124" s="176">
        <v>7.5</v>
      </c>
      <c r="G124" s="176">
        <v>7.5</v>
      </c>
      <c r="H124" s="176">
        <v>7.5</v>
      </c>
      <c r="I124" s="176">
        <v>7.5</v>
      </c>
      <c r="J124" s="176">
        <v>7.5</v>
      </c>
      <c r="K124" s="176">
        <v>7.5</v>
      </c>
      <c r="L124" s="176">
        <v>7.5</v>
      </c>
      <c r="M124" s="176">
        <v>7.5</v>
      </c>
      <c r="N124" s="176">
        <v>7.5</v>
      </c>
      <c r="O124" s="176">
        <v>7.5</v>
      </c>
      <c r="P124" s="176">
        <v>7.5</v>
      </c>
      <c r="Q124" s="176">
        <v>7.5</v>
      </c>
      <c r="R124" s="176">
        <v>7.5</v>
      </c>
      <c r="S124" s="176">
        <v>7.5</v>
      </c>
      <c r="T124" s="176">
        <v>7.5</v>
      </c>
      <c r="U124" s="176">
        <v>7.5</v>
      </c>
      <c r="V124" s="176">
        <v>7.5</v>
      </c>
      <c r="W124" s="176">
        <v>7.5</v>
      </c>
      <c r="X124" s="176">
        <v>7.5</v>
      </c>
      <c r="Y124" s="176">
        <v>7.5</v>
      </c>
      <c r="Z124" s="176">
        <v>7.5</v>
      </c>
      <c r="AA124" s="176">
        <v>7.5</v>
      </c>
      <c r="AB124" s="176">
        <v>7.5</v>
      </c>
      <c r="AC124" s="176">
        <v>7.5</v>
      </c>
      <c r="AD124" s="176">
        <v>7.5</v>
      </c>
      <c r="AE124" s="176">
        <v>7.5</v>
      </c>
      <c r="AF124" s="176">
        <v>7.5</v>
      </c>
      <c r="AG124" s="100">
        <v>7.5</v>
      </c>
      <c r="AH124" s="54"/>
      <c r="AI124" s="55"/>
      <c r="AK124" s="56"/>
    </row>
    <row r="125" spans="1:37" x14ac:dyDescent="0.25">
      <c r="A125" s="164" t="s">
        <v>150</v>
      </c>
      <c r="B125" s="176">
        <v>7.5</v>
      </c>
      <c r="C125" s="176">
        <v>7.5</v>
      </c>
      <c r="D125" s="176">
        <v>7.5</v>
      </c>
      <c r="E125" s="176">
        <v>7.5</v>
      </c>
      <c r="F125" s="176">
        <v>7.5</v>
      </c>
      <c r="G125" s="176">
        <v>7.5</v>
      </c>
      <c r="H125" s="176">
        <v>7.5</v>
      </c>
      <c r="I125" s="176">
        <v>7.5</v>
      </c>
      <c r="J125" s="176">
        <v>7.5</v>
      </c>
      <c r="K125" s="176">
        <v>7.5</v>
      </c>
      <c r="L125" s="176">
        <v>7.5</v>
      </c>
      <c r="M125" s="176">
        <v>7.5</v>
      </c>
      <c r="N125" s="176">
        <v>7.5</v>
      </c>
      <c r="O125" s="176">
        <v>7.5</v>
      </c>
      <c r="P125" s="176">
        <v>7.5</v>
      </c>
      <c r="Q125" s="176">
        <v>7.5</v>
      </c>
      <c r="R125" s="176">
        <v>7.5</v>
      </c>
      <c r="S125" s="176">
        <v>7.5</v>
      </c>
      <c r="T125" s="176">
        <v>7.5</v>
      </c>
      <c r="U125" s="176">
        <v>7.5</v>
      </c>
      <c r="V125" s="176">
        <v>7.5</v>
      </c>
      <c r="W125" s="176">
        <v>7.5</v>
      </c>
      <c r="X125" s="176">
        <v>7.5</v>
      </c>
      <c r="Y125" s="176">
        <v>7.5</v>
      </c>
      <c r="Z125" s="176">
        <v>7.5</v>
      </c>
      <c r="AA125" s="176">
        <v>7.5</v>
      </c>
      <c r="AB125" s="176">
        <v>7.5</v>
      </c>
      <c r="AC125" s="176">
        <v>7.5</v>
      </c>
      <c r="AD125" s="176">
        <v>7.5</v>
      </c>
      <c r="AE125" s="176">
        <v>7.5</v>
      </c>
      <c r="AF125" s="176">
        <v>7.5</v>
      </c>
      <c r="AG125" s="100">
        <v>7.5</v>
      </c>
      <c r="AH125" s="54"/>
      <c r="AI125" s="55"/>
      <c r="AK125" s="56"/>
    </row>
    <row r="126" spans="1:37" x14ac:dyDescent="0.25">
      <c r="A126" s="164" t="s">
        <v>151</v>
      </c>
      <c r="B126" s="176">
        <v>7</v>
      </c>
      <c r="C126" s="176">
        <v>7</v>
      </c>
      <c r="D126" s="176">
        <v>7</v>
      </c>
      <c r="E126" s="176">
        <v>7</v>
      </c>
      <c r="F126" s="176">
        <v>7</v>
      </c>
      <c r="G126" s="176">
        <v>7</v>
      </c>
      <c r="H126" s="176">
        <v>7</v>
      </c>
      <c r="I126" s="176">
        <v>7</v>
      </c>
      <c r="J126" s="176">
        <v>7</v>
      </c>
      <c r="K126" s="176">
        <v>7</v>
      </c>
      <c r="L126" s="176">
        <v>7</v>
      </c>
      <c r="M126" s="176">
        <v>7</v>
      </c>
      <c r="N126" s="176">
        <v>7</v>
      </c>
      <c r="O126" s="176">
        <v>7</v>
      </c>
      <c r="P126" s="176">
        <v>7</v>
      </c>
      <c r="Q126" s="176">
        <v>7</v>
      </c>
      <c r="R126" s="176">
        <v>7</v>
      </c>
      <c r="S126" s="176">
        <v>7</v>
      </c>
      <c r="T126" s="176">
        <v>7</v>
      </c>
      <c r="U126" s="176">
        <v>7</v>
      </c>
      <c r="V126" s="176">
        <v>7</v>
      </c>
      <c r="W126" s="176">
        <v>7</v>
      </c>
      <c r="X126" s="176">
        <v>7</v>
      </c>
      <c r="Y126" s="176">
        <v>7</v>
      </c>
      <c r="Z126" s="176">
        <v>7</v>
      </c>
      <c r="AA126" s="176">
        <v>7</v>
      </c>
      <c r="AB126" s="176">
        <v>7</v>
      </c>
      <c r="AC126" s="176">
        <v>7</v>
      </c>
      <c r="AD126" s="176">
        <v>7</v>
      </c>
      <c r="AE126" s="176">
        <v>7</v>
      </c>
      <c r="AF126" s="176">
        <v>7</v>
      </c>
      <c r="AG126" s="100">
        <v>7</v>
      </c>
      <c r="AH126" s="54"/>
      <c r="AI126" s="55"/>
      <c r="AK126" s="56"/>
    </row>
    <row r="127" spans="1:37" x14ac:dyDescent="0.25">
      <c r="A127" s="164" t="s">
        <v>152</v>
      </c>
      <c r="B127" s="176">
        <v>7</v>
      </c>
      <c r="C127" s="176">
        <v>7</v>
      </c>
      <c r="D127" s="176">
        <v>7</v>
      </c>
      <c r="E127" s="176">
        <v>7</v>
      </c>
      <c r="F127" s="176">
        <v>7</v>
      </c>
      <c r="G127" s="176">
        <v>7</v>
      </c>
      <c r="H127" s="176">
        <v>7</v>
      </c>
      <c r="I127" s="176">
        <v>7</v>
      </c>
      <c r="J127" s="176">
        <v>7</v>
      </c>
      <c r="K127" s="176">
        <v>7</v>
      </c>
      <c r="L127" s="176">
        <v>7</v>
      </c>
      <c r="M127" s="176">
        <v>7</v>
      </c>
      <c r="N127" s="176">
        <v>7</v>
      </c>
      <c r="O127" s="176">
        <v>7</v>
      </c>
      <c r="P127" s="176">
        <v>7</v>
      </c>
      <c r="Q127" s="176">
        <v>7</v>
      </c>
      <c r="R127" s="176">
        <v>7</v>
      </c>
      <c r="S127" s="176">
        <v>7</v>
      </c>
      <c r="T127" s="176">
        <v>7</v>
      </c>
      <c r="U127" s="176">
        <v>7</v>
      </c>
      <c r="V127" s="176">
        <v>7</v>
      </c>
      <c r="W127" s="176">
        <v>7</v>
      </c>
      <c r="X127" s="176">
        <v>7</v>
      </c>
      <c r="Y127" s="176">
        <v>7</v>
      </c>
      <c r="Z127" s="176">
        <v>7</v>
      </c>
      <c r="AA127" s="176">
        <v>7</v>
      </c>
      <c r="AB127" s="176">
        <v>7</v>
      </c>
      <c r="AC127" s="176">
        <v>7</v>
      </c>
      <c r="AD127" s="176">
        <v>7</v>
      </c>
      <c r="AE127" s="176">
        <v>7</v>
      </c>
      <c r="AF127" s="176">
        <v>7</v>
      </c>
      <c r="AG127" s="100">
        <v>7</v>
      </c>
      <c r="AH127" s="54"/>
      <c r="AI127" s="55"/>
      <c r="AK127" s="56"/>
    </row>
    <row r="128" spans="1:37" x14ac:dyDescent="0.25">
      <c r="A128" s="164" t="s">
        <v>153</v>
      </c>
      <c r="B128" s="176">
        <v>7</v>
      </c>
      <c r="C128" s="176">
        <v>7</v>
      </c>
      <c r="D128" s="176">
        <v>7</v>
      </c>
      <c r="E128" s="176">
        <v>7</v>
      </c>
      <c r="F128" s="176">
        <v>7</v>
      </c>
      <c r="G128" s="176">
        <v>7</v>
      </c>
      <c r="H128" s="176">
        <v>7</v>
      </c>
      <c r="I128" s="176">
        <v>7</v>
      </c>
      <c r="J128" s="176">
        <v>7</v>
      </c>
      <c r="K128" s="176">
        <v>7</v>
      </c>
      <c r="L128" s="176">
        <v>7</v>
      </c>
      <c r="M128" s="176">
        <v>7</v>
      </c>
      <c r="N128" s="176">
        <v>7</v>
      </c>
      <c r="O128" s="176">
        <v>7</v>
      </c>
      <c r="P128" s="176">
        <v>7</v>
      </c>
      <c r="Q128" s="176">
        <v>7</v>
      </c>
      <c r="R128" s="176">
        <v>7</v>
      </c>
      <c r="S128" s="176">
        <v>7</v>
      </c>
      <c r="T128" s="176">
        <v>7</v>
      </c>
      <c r="U128" s="176">
        <v>7</v>
      </c>
      <c r="V128" s="176">
        <v>7</v>
      </c>
      <c r="W128" s="176">
        <v>7</v>
      </c>
      <c r="X128" s="176">
        <v>7</v>
      </c>
      <c r="Y128" s="176">
        <v>7</v>
      </c>
      <c r="Z128" s="176">
        <v>7</v>
      </c>
      <c r="AA128" s="176">
        <v>7</v>
      </c>
      <c r="AB128" s="176">
        <v>7</v>
      </c>
      <c r="AC128" s="176">
        <v>7</v>
      </c>
      <c r="AD128" s="176">
        <v>7</v>
      </c>
      <c r="AE128" s="176">
        <v>7</v>
      </c>
      <c r="AF128" s="176">
        <v>7</v>
      </c>
      <c r="AG128" s="100">
        <v>7</v>
      </c>
      <c r="AH128" s="54"/>
      <c r="AI128" s="55"/>
      <c r="AK128" s="56"/>
    </row>
    <row r="129" spans="1:37" x14ac:dyDescent="0.25">
      <c r="A129" s="164" t="s">
        <v>154</v>
      </c>
      <c r="B129" s="176">
        <v>7</v>
      </c>
      <c r="C129" s="176">
        <v>7</v>
      </c>
      <c r="D129" s="176">
        <v>7</v>
      </c>
      <c r="E129" s="176">
        <v>7</v>
      </c>
      <c r="F129" s="176">
        <v>7</v>
      </c>
      <c r="G129" s="176">
        <v>7</v>
      </c>
      <c r="H129" s="176">
        <v>7</v>
      </c>
      <c r="I129" s="176">
        <v>7</v>
      </c>
      <c r="J129" s="176">
        <v>7</v>
      </c>
      <c r="K129" s="176">
        <v>7</v>
      </c>
      <c r="L129" s="176">
        <v>7</v>
      </c>
      <c r="M129" s="176">
        <v>7</v>
      </c>
      <c r="N129" s="176">
        <v>7</v>
      </c>
      <c r="O129" s="176">
        <v>7</v>
      </c>
      <c r="P129" s="176">
        <v>7</v>
      </c>
      <c r="Q129" s="176">
        <v>7</v>
      </c>
      <c r="R129" s="176">
        <v>7</v>
      </c>
      <c r="S129" s="176">
        <v>7</v>
      </c>
      <c r="T129" s="176">
        <v>7</v>
      </c>
      <c r="U129" s="176">
        <v>7</v>
      </c>
      <c r="V129" s="176">
        <v>7</v>
      </c>
      <c r="W129" s="176">
        <v>7</v>
      </c>
      <c r="X129" s="176">
        <v>7</v>
      </c>
      <c r="Y129" s="176">
        <v>7</v>
      </c>
      <c r="Z129" s="176">
        <v>7</v>
      </c>
      <c r="AA129" s="176">
        <v>7</v>
      </c>
      <c r="AB129" s="176">
        <v>7</v>
      </c>
      <c r="AC129" s="176">
        <v>7</v>
      </c>
      <c r="AD129" s="176">
        <v>7</v>
      </c>
      <c r="AE129" s="176">
        <v>7</v>
      </c>
      <c r="AF129" s="176">
        <v>7</v>
      </c>
      <c r="AG129" s="100">
        <v>7</v>
      </c>
      <c r="AH129" s="54"/>
      <c r="AI129" s="55"/>
      <c r="AK129" s="56"/>
    </row>
    <row r="130" spans="1:37" x14ac:dyDescent="0.25">
      <c r="A130" s="164" t="s">
        <v>155</v>
      </c>
      <c r="B130" s="176">
        <v>6.6</v>
      </c>
      <c r="C130" s="176">
        <v>6.6</v>
      </c>
      <c r="D130" s="176">
        <v>6.6</v>
      </c>
      <c r="E130" s="176">
        <v>6.6</v>
      </c>
      <c r="F130" s="176">
        <v>6.6</v>
      </c>
      <c r="G130" s="176">
        <v>6.6</v>
      </c>
      <c r="H130" s="176">
        <v>6.6</v>
      </c>
      <c r="I130" s="176">
        <v>6.6</v>
      </c>
      <c r="J130" s="176">
        <v>6.6</v>
      </c>
      <c r="K130" s="176">
        <v>6.6</v>
      </c>
      <c r="L130" s="176">
        <v>6.6</v>
      </c>
      <c r="M130" s="176">
        <v>6.6</v>
      </c>
      <c r="N130" s="176">
        <v>6.6</v>
      </c>
      <c r="O130" s="176">
        <v>6.6</v>
      </c>
      <c r="P130" s="176">
        <v>6.6</v>
      </c>
      <c r="Q130" s="176">
        <v>6.6</v>
      </c>
      <c r="R130" s="176">
        <v>6.6</v>
      </c>
      <c r="S130" s="176">
        <v>6.6</v>
      </c>
      <c r="T130" s="176">
        <v>6.6</v>
      </c>
      <c r="U130" s="176">
        <v>6.6</v>
      </c>
      <c r="V130" s="176">
        <v>6.6</v>
      </c>
      <c r="W130" s="176">
        <v>6.6</v>
      </c>
      <c r="X130" s="176">
        <v>6.6</v>
      </c>
      <c r="Y130" s="176">
        <v>6.6</v>
      </c>
      <c r="Z130" s="176">
        <v>6.6</v>
      </c>
      <c r="AA130" s="176">
        <v>6.6</v>
      </c>
      <c r="AB130" s="176">
        <v>6.6</v>
      </c>
      <c r="AC130" s="176">
        <v>6.6</v>
      </c>
      <c r="AD130" s="176">
        <v>6.6</v>
      </c>
      <c r="AE130" s="176">
        <v>6.6</v>
      </c>
      <c r="AF130" s="176">
        <v>6.6</v>
      </c>
      <c r="AG130" s="100">
        <v>6.6</v>
      </c>
      <c r="AH130" s="54"/>
      <c r="AI130" s="55"/>
      <c r="AK130" s="56"/>
    </row>
    <row r="131" spans="1:37" x14ac:dyDescent="0.25">
      <c r="A131" s="164" t="s">
        <v>156</v>
      </c>
      <c r="B131" s="176">
        <v>6.6</v>
      </c>
      <c r="C131" s="176">
        <v>6.6</v>
      </c>
      <c r="D131" s="176">
        <v>6.6</v>
      </c>
      <c r="E131" s="176">
        <v>6.6</v>
      </c>
      <c r="F131" s="176">
        <v>6.6</v>
      </c>
      <c r="G131" s="176">
        <v>6.6</v>
      </c>
      <c r="H131" s="176">
        <v>6.6</v>
      </c>
      <c r="I131" s="176">
        <v>6.6</v>
      </c>
      <c r="J131" s="176">
        <v>6.6</v>
      </c>
      <c r="K131" s="176">
        <v>6.6</v>
      </c>
      <c r="L131" s="176">
        <v>6.6</v>
      </c>
      <c r="M131" s="176">
        <v>6.6</v>
      </c>
      <c r="N131" s="176">
        <v>6.6</v>
      </c>
      <c r="O131" s="176">
        <v>6.6</v>
      </c>
      <c r="P131" s="176">
        <v>6.6</v>
      </c>
      <c r="Q131" s="176">
        <v>6.6</v>
      </c>
      <c r="R131" s="176">
        <v>6.6</v>
      </c>
      <c r="S131" s="176">
        <v>6.6</v>
      </c>
      <c r="T131" s="176">
        <v>6.6</v>
      </c>
      <c r="U131" s="176">
        <v>6.6</v>
      </c>
      <c r="V131" s="176">
        <v>6.6</v>
      </c>
      <c r="W131" s="176">
        <v>6.6</v>
      </c>
      <c r="X131" s="176">
        <v>6.6</v>
      </c>
      <c r="Y131" s="176">
        <v>6.6</v>
      </c>
      <c r="Z131" s="176">
        <v>6.6</v>
      </c>
      <c r="AA131" s="176">
        <v>6.6</v>
      </c>
      <c r="AB131" s="176">
        <v>6.6</v>
      </c>
      <c r="AC131" s="176">
        <v>6.6</v>
      </c>
      <c r="AD131" s="176">
        <v>6.6</v>
      </c>
      <c r="AE131" s="176">
        <v>6.6</v>
      </c>
      <c r="AF131" s="176">
        <v>6.6</v>
      </c>
      <c r="AG131" s="100">
        <v>6.6</v>
      </c>
      <c r="AH131" s="54"/>
      <c r="AI131" s="55"/>
      <c r="AK131" s="56"/>
    </row>
    <row r="132" spans="1:37" ht="13.5" customHeight="1" x14ac:dyDescent="0.25">
      <c r="A132" s="164" t="s">
        <v>157</v>
      </c>
      <c r="B132" s="176">
        <v>6.4</v>
      </c>
      <c r="C132" s="176">
        <v>6.4</v>
      </c>
      <c r="D132" s="176">
        <v>6.4</v>
      </c>
      <c r="E132" s="176">
        <v>6.4</v>
      </c>
      <c r="F132" s="176">
        <v>6.4</v>
      </c>
      <c r="G132" s="176">
        <v>6.4</v>
      </c>
      <c r="H132" s="176">
        <v>6.4</v>
      </c>
      <c r="I132" s="176">
        <v>6.4</v>
      </c>
      <c r="J132" s="176">
        <v>6.4</v>
      </c>
      <c r="K132" s="176">
        <v>6.4</v>
      </c>
      <c r="L132" s="176">
        <v>6.4</v>
      </c>
      <c r="M132" s="176">
        <v>6.4</v>
      </c>
      <c r="N132" s="176">
        <v>6.4</v>
      </c>
      <c r="O132" s="176">
        <v>6.4</v>
      </c>
      <c r="P132" s="176">
        <v>6.4</v>
      </c>
      <c r="Q132" s="176">
        <v>6.4</v>
      </c>
      <c r="R132" s="176">
        <v>6.4</v>
      </c>
      <c r="S132" s="176">
        <v>6.4</v>
      </c>
      <c r="T132" s="176">
        <v>6.4</v>
      </c>
      <c r="U132" s="176">
        <v>6.4</v>
      </c>
      <c r="V132" s="176">
        <v>6.4</v>
      </c>
      <c r="W132" s="176">
        <v>6.4</v>
      </c>
      <c r="X132" s="176">
        <v>6.4</v>
      </c>
      <c r="Y132" s="176">
        <v>6.4</v>
      </c>
      <c r="Z132" s="176">
        <v>6.4</v>
      </c>
      <c r="AA132" s="176">
        <v>6.4</v>
      </c>
      <c r="AB132" s="176">
        <v>6.4</v>
      </c>
      <c r="AC132" s="176">
        <v>6.4</v>
      </c>
      <c r="AD132" s="176">
        <v>6.4</v>
      </c>
      <c r="AE132" s="176">
        <v>6.4</v>
      </c>
      <c r="AF132" s="176">
        <v>6.4</v>
      </c>
      <c r="AG132" s="100">
        <v>6.4</v>
      </c>
      <c r="AH132" s="54"/>
      <c r="AI132" s="55"/>
      <c r="AK132" s="56"/>
    </row>
    <row r="133" spans="1:37" x14ac:dyDescent="0.25">
      <c r="A133" s="164" t="s">
        <v>158</v>
      </c>
      <c r="B133" s="176">
        <v>6.2</v>
      </c>
      <c r="C133" s="176">
        <v>6.2</v>
      </c>
      <c r="D133" s="176">
        <v>6.2</v>
      </c>
      <c r="E133" s="176">
        <v>6.2</v>
      </c>
      <c r="F133" s="176">
        <v>6.2</v>
      </c>
      <c r="G133" s="176">
        <v>6.2</v>
      </c>
      <c r="H133" s="176">
        <v>6.2</v>
      </c>
      <c r="I133" s="176">
        <v>6.2</v>
      </c>
      <c r="J133" s="176">
        <v>6.2</v>
      </c>
      <c r="K133" s="176">
        <v>6.2</v>
      </c>
      <c r="L133" s="176">
        <v>6.2</v>
      </c>
      <c r="M133" s="176">
        <v>6.2</v>
      </c>
      <c r="N133" s="176">
        <v>6.2</v>
      </c>
      <c r="O133" s="176">
        <v>6.2</v>
      </c>
      <c r="P133" s="176">
        <v>6.2</v>
      </c>
      <c r="Q133" s="176">
        <v>6.2</v>
      </c>
      <c r="R133" s="176">
        <v>6.2</v>
      </c>
      <c r="S133" s="176">
        <v>6.2</v>
      </c>
      <c r="T133" s="176">
        <v>6.2</v>
      </c>
      <c r="U133" s="176">
        <v>6.2</v>
      </c>
      <c r="V133" s="176">
        <v>6.2</v>
      </c>
      <c r="W133" s="176">
        <v>6.2</v>
      </c>
      <c r="X133" s="176">
        <v>6.2</v>
      </c>
      <c r="Y133" s="176">
        <v>6.2</v>
      </c>
      <c r="Z133" s="176">
        <v>6.2</v>
      </c>
      <c r="AA133" s="176">
        <v>6.2</v>
      </c>
      <c r="AB133" s="176">
        <v>6.2</v>
      </c>
      <c r="AC133" s="176">
        <v>6.2</v>
      </c>
      <c r="AD133" s="176">
        <v>6.2</v>
      </c>
      <c r="AE133" s="176">
        <v>6.2</v>
      </c>
      <c r="AF133" s="176">
        <v>6.2</v>
      </c>
      <c r="AG133" s="100">
        <v>6.2</v>
      </c>
      <c r="AH133" s="54"/>
      <c r="AI133" s="55"/>
      <c r="AK133" s="56"/>
    </row>
    <row r="134" spans="1:37" x14ac:dyDescent="0.25">
      <c r="A134" s="164" t="s">
        <v>159</v>
      </c>
      <c r="B134" s="176">
        <v>6</v>
      </c>
      <c r="C134" s="176">
        <v>6</v>
      </c>
      <c r="D134" s="176">
        <v>6</v>
      </c>
      <c r="E134" s="176">
        <v>6</v>
      </c>
      <c r="F134" s="176">
        <v>6</v>
      </c>
      <c r="G134" s="176">
        <v>6</v>
      </c>
      <c r="H134" s="176">
        <v>6</v>
      </c>
      <c r="I134" s="176">
        <v>6</v>
      </c>
      <c r="J134" s="176">
        <v>6</v>
      </c>
      <c r="K134" s="176">
        <v>6</v>
      </c>
      <c r="L134" s="176">
        <v>6</v>
      </c>
      <c r="M134" s="176">
        <v>6</v>
      </c>
      <c r="N134" s="176">
        <v>6</v>
      </c>
      <c r="O134" s="176">
        <v>6</v>
      </c>
      <c r="P134" s="176">
        <v>6</v>
      </c>
      <c r="Q134" s="176">
        <v>6</v>
      </c>
      <c r="R134" s="176">
        <v>6</v>
      </c>
      <c r="S134" s="176">
        <v>6</v>
      </c>
      <c r="T134" s="176">
        <v>6</v>
      </c>
      <c r="U134" s="176">
        <v>6</v>
      </c>
      <c r="V134" s="176">
        <v>6</v>
      </c>
      <c r="W134" s="176">
        <v>6</v>
      </c>
      <c r="X134" s="176">
        <v>6</v>
      </c>
      <c r="Y134" s="176">
        <v>6</v>
      </c>
      <c r="Z134" s="176">
        <v>6</v>
      </c>
      <c r="AA134" s="176">
        <v>6</v>
      </c>
      <c r="AB134" s="176">
        <v>6</v>
      </c>
      <c r="AC134" s="176">
        <v>6</v>
      </c>
      <c r="AD134" s="176">
        <v>6</v>
      </c>
      <c r="AE134" s="176">
        <v>6</v>
      </c>
      <c r="AF134" s="176">
        <v>6</v>
      </c>
      <c r="AG134" s="100">
        <v>6</v>
      </c>
      <c r="AH134" s="54"/>
      <c r="AI134" s="55"/>
      <c r="AK134" s="56"/>
    </row>
    <row r="135" spans="1:37" x14ac:dyDescent="0.25">
      <c r="A135" s="164" t="s">
        <v>160</v>
      </c>
      <c r="B135" s="176">
        <v>5.0999999999999996</v>
      </c>
      <c r="C135" s="176">
        <v>5.0999999999999996</v>
      </c>
      <c r="D135" s="176">
        <v>5.0999999999999996</v>
      </c>
      <c r="E135" s="176">
        <v>5.0999999999999996</v>
      </c>
      <c r="F135" s="176">
        <v>5.0999999999999996</v>
      </c>
      <c r="G135" s="176">
        <v>5.0999999999999996</v>
      </c>
      <c r="H135" s="176">
        <v>5.0999999999999996</v>
      </c>
      <c r="I135" s="176">
        <v>5.0999999999999996</v>
      </c>
      <c r="J135" s="176">
        <v>5.0999999999999996</v>
      </c>
      <c r="K135" s="176">
        <v>5.0999999999999996</v>
      </c>
      <c r="L135" s="176">
        <v>5.0999999999999996</v>
      </c>
      <c r="M135" s="176">
        <v>5.0999999999999996</v>
      </c>
      <c r="N135" s="176">
        <v>5.0999999999999996</v>
      </c>
      <c r="O135" s="176">
        <v>5.0999999999999996</v>
      </c>
      <c r="P135" s="176">
        <v>5.0999999999999996</v>
      </c>
      <c r="Q135" s="176">
        <v>5.0999999999999996</v>
      </c>
      <c r="R135" s="176">
        <v>5.0999999999999996</v>
      </c>
      <c r="S135" s="176">
        <v>5.0999999999999996</v>
      </c>
      <c r="T135" s="176">
        <v>5.0999999999999996</v>
      </c>
      <c r="U135" s="176">
        <v>5.0999999999999996</v>
      </c>
      <c r="V135" s="176">
        <v>5.0999999999999996</v>
      </c>
      <c r="W135" s="176">
        <v>5.0999999999999996</v>
      </c>
      <c r="X135" s="176">
        <v>5.0999999999999996</v>
      </c>
      <c r="Y135" s="176">
        <v>5.0999999999999996</v>
      </c>
      <c r="Z135" s="176">
        <v>5.0999999999999996</v>
      </c>
      <c r="AA135" s="176">
        <v>5.0999999999999996</v>
      </c>
      <c r="AB135" s="176">
        <v>5.0999999999999996</v>
      </c>
      <c r="AC135" s="176">
        <v>5.0999999999999996</v>
      </c>
      <c r="AD135" s="176">
        <v>5.0999999999999996</v>
      </c>
      <c r="AE135" s="176">
        <v>5.0999999999999996</v>
      </c>
      <c r="AF135" s="176">
        <v>5.0999999999999996</v>
      </c>
      <c r="AG135" s="100">
        <v>5.0999999999999996</v>
      </c>
      <c r="AH135" s="54"/>
      <c r="AI135" s="55"/>
      <c r="AK135" s="56"/>
    </row>
    <row r="136" spans="1:37" x14ac:dyDescent="0.25">
      <c r="A136" s="164" t="s">
        <v>161</v>
      </c>
      <c r="B136" s="176">
        <v>5</v>
      </c>
      <c r="C136" s="176">
        <v>5</v>
      </c>
      <c r="D136" s="176">
        <v>5</v>
      </c>
      <c r="E136" s="176">
        <v>5</v>
      </c>
      <c r="F136" s="176">
        <v>5</v>
      </c>
      <c r="G136" s="176">
        <v>5</v>
      </c>
      <c r="H136" s="176">
        <v>5</v>
      </c>
      <c r="I136" s="176">
        <v>5</v>
      </c>
      <c r="J136" s="176">
        <v>5</v>
      </c>
      <c r="K136" s="176">
        <v>5</v>
      </c>
      <c r="L136" s="176">
        <v>5</v>
      </c>
      <c r="M136" s="176">
        <v>5</v>
      </c>
      <c r="N136" s="176">
        <v>5</v>
      </c>
      <c r="O136" s="176">
        <v>5</v>
      </c>
      <c r="P136" s="176">
        <v>5</v>
      </c>
      <c r="Q136" s="176">
        <v>5</v>
      </c>
      <c r="R136" s="176">
        <v>5</v>
      </c>
      <c r="S136" s="176">
        <v>5</v>
      </c>
      <c r="T136" s="176">
        <v>5</v>
      </c>
      <c r="U136" s="176">
        <v>5</v>
      </c>
      <c r="V136" s="176">
        <v>5</v>
      </c>
      <c r="W136" s="176">
        <v>5</v>
      </c>
      <c r="X136" s="176">
        <v>5</v>
      </c>
      <c r="Y136" s="176">
        <v>5</v>
      </c>
      <c r="Z136" s="176">
        <v>5</v>
      </c>
      <c r="AA136" s="176">
        <v>5</v>
      </c>
      <c r="AB136" s="176">
        <v>5</v>
      </c>
      <c r="AC136" s="176">
        <v>5</v>
      </c>
      <c r="AD136" s="176">
        <v>5</v>
      </c>
      <c r="AE136" s="176">
        <v>5</v>
      </c>
      <c r="AF136" s="176">
        <v>5</v>
      </c>
      <c r="AG136" s="100">
        <v>5</v>
      </c>
      <c r="AH136" s="54"/>
      <c r="AI136" s="55"/>
      <c r="AK136" s="56"/>
    </row>
    <row r="137" spans="1:37" x14ac:dyDescent="0.25">
      <c r="A137" s="164" t="s">
        <v>162</v>
      </c>
      <c r="B137" s="176">
        <v>5</v>
      </c>
      <c r="C137" s="176">
        <v>5</v>
      </c>
      <c r="D137" s="176">
        <v>5</v>
      </c>
      <c r="E137" s="176">
        <v>5</v>
      </c>
      <c r="F137" s="176">
        <v>5</v>
      </c>
      <c r="G137" s="176">
        <v>5</v>
      </c>
      <c r="H137" s="176">
        <v>5</v>
      </c>
      <c r="I137" s="176">
        <v>5</v>
      </c>
      <c r="J137" s="176">
        <v>5</v>
      </c>
      <c r="K137" s="176">
        <v>5</v>
      </c>
      <c r="L137" s="176">
        <v>5</v>
      </c>
      <c r="M137" s="176">
        <v>5</v>
      </c>
      <c r="N137" s="176">
        <v>5</v>
      </c>
      <c r="O137" s="176">
        <v>5</v>
      </c>
      <c r="P137" s="176">
        <v>5</v>
      </c>
      <c r="Q137" s="176">
        <v>5</v>
      </c>
      <c r="R137" s="176">
        <v>5</v>
      </c>
      <c r="S137" s="176">
        <v>5</v>
      </c>
      <c r="T137" s="176">
        <v>5</v>
      </c>
      <c r="U137" s="176">
        <v>5</v>
      </c>
      <c r="V137" s="176">
        <v>5</v>
      </c>
      <c r="W137" s="176">
        <v>5</v>
      </c>
      <c r="X137" s="176">
        <v>5</v>
      </c>
      <c r="Y137" s="176">
        <v>5</v>
      </c>
      <c r="Z137" s="176">
        <v>5</v>
      </c>
      <c r="AA137" s="176">
        <v>5</v>
      </c>
      <c r="AB137" s="176">
        <v>5</v>
      </c>
      <c r="AC137" s="176">
        <v>5</v>
      </c>
      <c r="AD137" s="176">
        <v>5</v>
      </c>
      <c r="AE137" s="176">
        <v>5</v>
      </c>
      <c r="AF137" s="176">
        <v>5</v>
      </c>
      <c r="AG137" s="100">
        <v>5</v>
      </c>
      <c r="AH137" s="54"/>
      <c r="AI137" s="55"/>
      <c r="AK137" s="56"/>
    </row>
    <row r="138" spans="1:37" x14ac:dyDescent="0.25">
      <c r="A138" s="164" t="s">
        <v>163</v>
      </c>
      <c r="B138" s="176">
        <v>5</v>
      </c>
      <c r="C138" s="176">
        <v>5</v>
      </c>
      <c r="D138" s="176">
        <v>5</v>
      </c>
      <c r="E138" s="176">
        <v>5</v>
      </c>
      <c r="F138" s="176">
        <v>5</v>
      </c>
      <c r="G138" s="176">
        <v>5</v>
      </c>
      <c r="H138" s="176">
        <v>5</v>
      </c>
      <c r="I138" s="176">
        <v>5</v>
      </c>
      <c r="J138" s="176">
        <v>5</v>
      </c>
      <c r="K138" s="176">
        <v>5</v>
      </c>
      <c r="L138" s="176">
        <v>5</v>
      </c>
      <c r="M138" s="176">
        <v>5</v>
      </c>
      <c r="N138" s="176">
        <v>5</v>
      </c>
      <c r="O138" s="176">
        <v>5</v>
      </c>
      <c r="P138" s="176">
        <v>5</v>
      </c>
      <c r="Q138" s="176">
        <v>5</v>
      </c>
      <c r="R138" s="176">
        <v>5</v>
      </c>
      <c r="S138" s="176">
        <v>5</v>
      </c>
      <c r="T138" s="176">
        <v>5</v>
      </c>
      <c r="U138" s="176">
        <v>5</v>
      </c>
      <c r="V138" s="176">
        <v>5</v>
      </c>
      <c r="W138" s="176">
        <v>5</v>
      </c>
      <c r="X138" s="176">
        <v>5</v>
      </c>
      <c r="Y138" s="176">
        <v>5</v>
      </c>
      <c r="Z138" s="176">
        <v>5</v>
      </c>
      <c r="AA138" s="176">
        <v>5</v>
      </c>
      <c r="AB138" s="176">
        <v>5</v>
      </c>
      <c r="AC138" s="176">
        <v>5</v>
      </c>
      <c r="AD138" s="176">
        <v>5</v>
      </c>
      <c r="AE138" s="176">
        <v>5</v>
      </c>
      <c r="AF138" s="176">
        <v>5</v>
      </c>
      <c r="AG138" s="100">
        <v>5</v>
      </c>
      <c r="AH138" s="54"/>
      <c r="AI138" s="55"/>
      <c r="AK138" s="56"/>
    </row>
    <row r="139" spans="1:37" x14ac:dyDescent="0.25">
      <c r="A139" s="164" t="s">
        <v>164</v>
      </c>
      <c r="B139" s="176">
        <v>5</v>
      </c>
      <c r="C139" s="176">
        <v>5</v>
      </c>
      <c r="D139" s="176">
        <v>5</v>
      </c>
      <c r="E139" s="176">
        <v>5</v>
      </c>
      <c r="F139" s="176">
        <v>5</v>
      </c>
      <c r="G139" s="176">
        <v>5</v>
      </c>
      <c r="H139" s="176">
        <v>5</v>
      </c>
      <c r="I139" s="176">
        <v>5</v>
      </c>
      <c r="J139" s="176">
        <v>5</v>
      </c>
      <c r="K139" s="176">
        <v>5</v>
      </c>
      <c r="L139" s="176">
        <v>5</v>
      </c>
      <c r="M139" s="176">
        <v>5</v>
      </c>
      <c r="N139" s="176">
        <v>5</v>
      </c>
      <c r="O139" s="176">
        <v>5</v>
      </c>
      <c r="P139" s="176">
        <v>5</v>
      </c>
      <c r="Q139" s="176">
        <v>5</v>
      </c>
      <c r="R139" s="176">
        <v>5</v>
      </c>
      <c r="S139" s="176">
        <v>5</v>
      </c>
      <c r="T139" s="176">
        <v>5</v>
      </c>
      <c r="U139" s="176">
        <v>5</v>
      </c>
      <c r="V139" s="176">
        <v>5</v>
      </c>
      <c r="W139" s="176">
        <v>5</v>
      </c>
      <c r="X139" s="176">
        <v>5</v>
      </c>
      <c r="Y139" s="176">
        <v>5</v>
      </c>
      <c r="Z139" s="176">
        <v>5</v>
      </c>
      <c r="AA139" s="176">
        <v>5</v>
      </c>
      <c r="AB139" s="176">
        <v>5</v>
      </c>
      <c r="AC139" s="176">
        <v>5</v>
      </c>
      <c r="AD139" s="176">
        <v>5</v>
      </c>
      <c r="AE139" s="176">
        <v>5</v>
      </c>
      <c r="AF139" s="176">
        <v>5</v>
      </c>
      <c r="AG139" s="100">
        <v>5</v>
      </c>
      <c r="AH139" s="54"/>
      <c r="AI139" s="55"/>
      <c r="AK139" s="56"/>
    </row>
    <row r="140" spans="1:37" x14ac:dyDescent="0.25">
      <c r="A140" s="164" t="s">
        <v>165</v>
      </c>
      <c r="B140" s="176">
        <v>5</v>
      </c>
      <c r="C140" s="176">
        <v>5</v>
      </c>
      <c r="D140" s="176">
        <v>5</v>
      </c>
      <c r="E140" s="176">
        <v>5</v>
      </c>
      <c r="F140" s="176">
        <v>5</v>
      </c>
      <c r="G140" s="176">
        <v>5</v>
      </c>
      <c r="H140" s="176">
        <v>5</v>
      </c>
      <c r="I140" s="176">
        <v>5</v>
      </c>
      <c r="J140" s="176">
        <v>5</v>
      </c>
      <c r="K140" s="176">
        <v>5</v>
      </c>
      <c r="L140" s="176">
        <v>5</v>
      </c>
      <c r="M140" s="176">
        <v>5</v>
      </c>
      <c r="N140" s="176">
        <v>5</v>
      </c>
      <c r="O140" s="176">
        <v>5</v>
      </c>
      <c r="P140" s="176">
        <v>5</v>
      </c>
      <c r="Q140" s="176">
        <v>5</v>
      </c>
      <c r="R140" s="176">
        <v>5</v>
      </c>
      <c r="S140" s="176">
        <v>5</v>
      </c>
      <c r="T140" s="176">
        <v>5</v>
      </c>
      <c r="U140" s="176">
        <v>5</v>
      </c>
      <c r="V140" s="176">
        <v>5</v>
      </c>
      <c r="W140" s="176">
        <v>5</v>
      </c>
      <c r="X140" s="176">
        <v>5</v>
      </c>
      <c r="Y140" s="176">
        <v>5</v>
      </c>
      <c r="Z140" s="176">
        <v>5</v>
      </c>
      <c r="AA140" s="176">
        <v>5</v>
      </c>
      <c r="AB140" s="176">
        <v>5</v>
      </c>
      <c r="AC140" s="176">
        <v>5</v>
      </c>
      <c r="AD140" s="176">
        <v>5</v>
      </c>
      <c r="AE140" s="176">
        <v>5</v>
      </c>
      <c r="AF140" s="176">
        <v>5</v>
      </c>
      <c r="AG140" s="100">
        <v>5</v>
      </c>
      <c r="AH140" s="54"/>
      <c r="AI140" s="55"/>
      <c r="AK140" s="56"/>
    </row>
    <row r="141" spans="1:37" x14ac:dyDescent="0.25">
      <c r="A141" s="164" t="s">
        <v>166</v>
      </c>
      <c r="B141" s="176">
        <v>5</v>
      </c>
      <c r="C141" s="176">
        <v>5</v>
      </c>
      <c r="D141" s="176">
        <v>5</v>
      </c>
      <c r="E141" s="176">
        <v>5</v>
      </c>
      <c r="F141" s="176">
        <v>5</v>
      </c>
      <c r="G141" s="176">
        <v>5</v>
      </c>
      <c r="H141" s="176">
        <v>5</v>
      </c>
      <c r="I141" s="176">
        <v>5</v>
      </c>
      <c r="J141" s="176">
        <v>5</v>
      </c>
      <c r="K141" s="176">
        <v>5</v>
      </c>
      <c r="L141" s="176">
        <v>5</v>
      </c>
      <c r="M141" s="176">
        <v>5</v>
      </c>
      <c r="N141" s="176">
        <v>5</v>
      </c>
      <c r="O141" s="176">
        <v>5</v>
      </c>
      <c r="P141" s="176">
        <v>5</v>
      </c>
      <c r="Q141" s="176">
        <v>5</v>
      </c>
      <c r="R141" s="176">
        <v>5</v>
      </c>
      <c r="S141" s="176">
        <v>5</v>
      </c>
      <c r="T141" s="176">
        <v>5</v>
      </c>
      <c r="U141" s="176">
        <v>5</v>
      </c>
      <c r="V141" s="176">
        <v>5</v>
      </c>
      <c r="W141" s="176">
        <v>5</v>
      </c>
      <c r="X141" s="176">
        <v>5</v>
      </c>
      <c r="Y141" s="176">
        <v>5</v>
      </c>
      <c r="Z141" s="176">
        <v>5</v>
      </c>
      <c r="AA141" s="176">
        <v>5</v>
      </c>
      <c r="AB141" s="176">
        <v>5</v>
      </c>
      <c r="AC141" s="176">
        <v>5</v>
      </c>
      <c r="AD141" s="176">
        <v>5</v>
      </c>
      <c r="AE141" s="176">
        <v>5</v>
      </c>
      <c r="AF141" s="176">
        <v>5</v>
      </c>
      <c r="AG141" s="100">
        <v>5</v>
      </c>
      <c r="AH141" s="54"/>
      <c r="AI141" s="55"/>
      <c r="AK141" s="56"/>
    </row>
    <row r="142" spans="1:37" x14ac:dyDescent="0.25">
      <c r="A142" s="164" t="s">
        <v>167</v>
      </c>
      <c r="B142" s="176">
        <v>5</v>
      </c>
      <c r="C142" s="176">
        <v>5</v>
      </c>
      <c r="D142" s="176">
        <v>5</v>
      </c>
      <c r="E142" s="176">
        <v>5</v>
      </c>
      <c r="F142" s="176">
        <v>5</v>
      </c>
      <c r="G142" s="176">
        <v>5</v>
      </c>
      <c r="H142" s="176">
        <v>5</v>
      </c>
      <c r="I142" s="176">
        <v>5</v>
      </c>
      <c r="J142" s="176">
        <v>5</v>
      </c>
      <c r="K142" s="176">
        <v>5</v>
      </c>
      <c r="L142" s="176">
        <v>5</v>
      </c>
      <c r="M142" s="176">
        <v>5</v>
      </c>
      <c r="N142" s="176">
        <v>5</v>
      </c>
      <c r="O142" s="176">
        <v>5</v>
      </c>
      <c r="P142" s="176">
        <v>5</v>
      </c>
      <c r="Q142" s="176">
        <v>5</v>
      </c>
      <c r="R142" s="176">
        <v>5</v>
      </c>
      <c r="S142" s="176">
        <v>5</v>
      </c>
      <c r="T142" s="176">
        <v>5</v>
      </c>
      <c r="U142" s="176">
        <v>5</v>
      </c>
      <c r="V142" s="176">
        <v>5</v>
      </c>
      <c r="W142" s="176">
        <v>5</v>
      </c>
      <c r="X142" s="176">
        <v>5</v>
      </c>
      <c r="Y142" s="176">
        <v>5</v>
      </c>
      <c r="Z142" s="176">
        <v>5</v>
      </c>
      <c r="AA142" s="176">
        <v>5</v>
      </c>
      <c r="AB142" s="176">
        <v>5</v>
      </c>
      <c r="AC142" s="176">
        <v>5</v>
      </c>
      <c r="AD142" s="176">
        <v>5</v>
      </c>
      <c r="AE142" s="176">
        <v>5</v>
      </c>
      <c r="AF142" s="176">
        <v>5</v>
      </c>
      <c r="AG142" s="100">
        <v>5</v>
      </c>
      <c r="AH142" s="54"/>
      <c r="AI142" s="55"/>
      <c r="AK142" s="56"/>
    </row>
    <row r="143" spans="1:37" x14ac:dyDescent="0.25">
      <c r="A143" s="164" t="s">
        <v>168</v>
      </c>
      <c r="B143" s="176">
        <v>4.9930000000000003</v>
      </c>
      <c r="C143" s="176">
        <v>4.9930000000000003</v>
      </c>
      <c r="D143" s="176">
        <v>4.9930000000000003</v>
      </c>
      <c r="E143" s="176">
        <v>4.9930000000000003</v>
      </c>
      <c r="F143" s="176">
        <v>4.9930000000000003</v>
      </c>
      <c r="G143" s="176">
        <v>4.9930000000000003</v>
      </c>
      <c r="H143" s="176">
        <v>4.9930000000000003</v>
      </c>
      <c r="I143" s="176">
        <v>4.9930000000000003</v>
      </c>
      <c r="J143" s="176">
        <v>4.9930000000000003</v>
      </c>
      <c r="K143" s="176">
        <v>4.9930000000000003</v>
      </c>
      <c r="L143" s="176">
        <v>4.9930000000000003</v>
      </c>
      <c r="M143" s="176">
        <v>4.9930000000000003</v>
      </c>
      <c r="N143" s="176">
        <v>4.9930000000000003</v>
      </c>
      <c r="O143" s="176">
        <v>4.9930000000000003</v>
      </c>
      <c r="P143" s="176">
        <v>4.9930000000000003</v>
      </c>
      <c r="Q143" s="176">
        <v>4.9930000000000003</v>
      </c>
      <c r="R143" s="176">
        <v>4.9930000000000003</v>
      </c>
      <c r="S143" s="176">
        <v>4.9930000000000003</v>
      </c>
      <c r="T143" s="176">
        <v>4.9930000000000003</v>
      </c>
      <c r="U143" s="176">
        <v>4.9930000000000003</v>
      </c>
      <c r="V143" s="176">
        <v>4.9930000000000003</v>
      </c>
      <c r="W143" s="176">
        <v>4.9930000000000003</v>
      </c>
      <c r="X143" s="176">
        <v>4.9930000000000003</v>
      </c>
      <c r="Y143" s="176">
        <v>4.9930000000000003</v>
      </c>
      <c r="Z143" s="176">
        <v>4.9930000000000003</v>
      </c>
      <c r="AA143" s="176">
        <v>4.9930000000000003</v>
      </c>
      <c r="AB143" s="176">
        <v>4.9930000000000003</v>
      </c>
      <c r="AC143" s="176">
        <v>4.9930000000000003</v>
      </c>
      <c r="AD143" s="176">
        <v>4.9930000000000003</v>
      </c>
      <c r="AE143" s="176">
        <v>4.9930000000000003</v>
      </c>
      <c r="AF143" s="176">
        <v>4.9930000000000003</v>
      </c>
      <c r="AG143" s="100">
        <v>4.9930000000000003</v>
      </c>
      <c r="AH143" s="54"/>
      <c r="AI143" s="55"/>
      <c r="AK143" s="56"/>
    </row>
    <row r="144" spans="1:37" x14ac:dyDescent="0.25">
      <c r="A144" s="164" t="s">
        <v>169</v>
      </c>
      <c r="B144" s="176">
        <v>4.9800000000000004</v>
      </c>
      <c r="C144" s="176">
        <v>4.9800000000000004</v>
      </c>
      <c r="D144" s="176">
        <v>4.9800000000000004</v>
      </c>
      <c r="E144" s="176">
        <v>4.9800000000000004</v>
      </c>
      <c r="F144" s="176">
        <v>4.9800000000000004</v>
      </c>
      <c r="G144" s="176">
        <v>4.9800000000000004</v>
      </c>
      <c r="H144" s="176">
        <v>4.9800000000000004</v>
      </c>
      <c r="I144" s="176">
        <v>4.9800000000000004</v>
      </c>
      <c r="J144" s="176">
        <v>4.9800000000000004</v>
      </c>
      <c r="K144" s="176">
        <v>4.9800000000000004</v>
      </c>
      <c r="L144" s="176">
        <v>4.9800000000000004</v>
      </c>
      <c r="M144" s="176">
        <v>4.9800000000000004</v>
      </c>
      <c r="N144" s="176">
        <v>4.9800000000000004</v>
      </c>
      <c r="O144" s="176">
        <v>4.9800000000000004</v>
      </c>
      <c r="P144" s="176">
        <v>4.9800000000000004</v>
      </c>
      <c r="Q144" s="176">
        <v>4.9800000000000004</v>
      </c>
      <c r="R144" s="176">
        <v>4.9800000000000004</v>
      </c>
      <c r="S144" s="176">
        <v>4.9800000000000004</v>
      </c>
      <c r="T144" s="176">
        <v>4.9800000000000004</v>
      </c>
      <c r="U144" s="176">
        <v>4.9800000000000004</v>
      </c>
      <c r="V144" s="176">
        <v>4.9800000000000004</v>
      </c>
      <c r="W144" s="176">
        <v>4.9800000000000004</v>
      </c>
      <c r="X144" s="176">
        <v>4.9800000000000004</v>
      </c>
      <c r="Y144" s="176">
        <v>4.9800000000000004</v>
      </c>
      <c r="Z144" s="176">
        <v>4.9800000000000004</v>
      </c>
      <c r="AA144" s="176">
        <v>4.9800000000000004</v>
      </c>
      <c r="AB144" s="176">
        <v>4.9800000000000004</v>
      </c>
      <c r="AC144" s="176">
        <v>4.9800000000000004</v>
      </c>
      <c r="AD144" s="176">
        <v>4.9800000000000004</v>
      </c>
      <c r="AE144" s="176">
        <v>4.9800000000000004</v>
      </c>
      <c r="AF144" s="176">
        <v>4.9800000000000004</v>
      </c>
      <c r="AG144" s="100">
        <v>4.9800000000000004</v>
      </c>
      <c r="AH144" s="54"/>
      <c r="AI144" s="55"/>
      <c r="AK144" s="56"/>
    </row>
    <row r="145" spans="1:37" x14ac:dyDescent="0.25">
      <c r="A145" s="164" t="s">
        <v>170</v>
      </c>
      <c r="B145" s="176">
        <v>4.95</v>
      </c>
      <c r="C145" s="176">
        <v>4.95</v>
      </c>
      <c r="D145" s="176">
        <v>4.95</v>
      </c>
      <c r="E145" s="176">
        <v>4.95</v>
      </c>
      <c r="F145" s="176">
        <v>4.95</v>
      </c>
      <c r="G145" s="176">
        <v>4.95</v>
      </c>
      <c r="H145" s="176">
        <v>4.95</v>
      </c>
      <c r="I145" s="176">
        <v>4.95</v>
      </c>
      <c r="J145" s="176">
        <v>4.95</v>
      </c>
      <c r="K145" s="176">
        <v>4.95</v>
      </c>
      <c r="L145" s="176">
        <v>4.95</v>
      </c>
      <c r="M145" s="176">
        <v>4.95</v>
      </c>
      <c r="N145" s="176">
        <v>4.95</v>
      </c>
      <c r="O145" s="176">
        <v>4.95</v>
      </c>
      <c r="P145" s="176">
        <v>4.95</v>
      </c>
      <c r="Q145" s="176">
        <v>4.95</v>
      </c>
      <c r="R145" s="176">
        <v>4.95</v>
      </c>
      <c r="S145" s="176">
        <v>4.95</v>
      </c>
      <c r="T145" s="176">
        <v>4.95</v>
      </c>
      <c r="U145" s="176">
        <v>4.95</v>
      </c>
      <c r="V145" s="176">
        <v>4.95</v>
      </c>
      <c r="W145" s="176">
        <v>4.95</v>
      </c>
      <c r="X145" s="176">
        <v>4.95</v>
      </c>
      <c r="Y145" s="176">
        <v>4.95</v>
      </c>
      <c r="Z145" s="176">
        <v>4.95</v>
      </c>
      <c r="AA145" s="176">
        <v>4.95</v>
      </c>
      <c r="AB145" s="176">
        <v>4.95</v>
      </c>
      <c r="AC145" s="176">
        <v>4.95</v>
      </c>
      <c r="AD145" s="176">
        <v>4.95</v>
      </c>
      <c r="AE145" s="176">
        <v>4.95</v>
      </c>
      <c r="AF145" s="176">
        <v>4.95</v>
      </c>
      <c r="AG145" s="100">
        <v>4.95</v>
      </c>
      <c r="AH145" s="54"/>
      <c r="AI145" s="55"/>
      <c r="AK145" s="56"/>
    </row>
    <row r="146" spans="1:37" x14ac:dyDescent="0.25">
      <c r="A146" s="164" t="s">
        <v>171</v>
      </c>
      <c r="B146" s="176">
        <v>4.95</v>
      </c>
      <c r="C146" s="176">
        <v>4.95</v>
      </c>
      <c r="D146" s="176">
        <v>4.95</v>
      </c>
      <c r="E146" s="176">
        <v>4.95</v>
      </c>
      <c r="F146" s="176">
        <v>4.95</v>
      </c>
      <c r="G146" s="176">
        <v>4.95</v>
      </c>
      <c r="H146" s="176">
        <v>4.95</v>
      </c>
      <c r="I146" s="176">
        <v>4.95</v>
      </c>
      <c r="J146" s="176">
        <v>4.95</v>
      </c>
      <c r="K146" s="176">
        <v>4.95</v>
      </c>
      <c r="L146" s="176">
        <v>4.95</v>
      </c>
      <c r="M146" s="176">
        <v>4.95</v>
      </c>
      <c r="N146" s="176">
        <v>4.95</v>
      </c>
      <c r="O146" s="176">
        <v>4.95</v>
      </c>
      <c r="P146" s="176">
        <v>4.95</v>
      </c>
      <c r="Q146" s="176">
        <v>4.95</v>
      </c>
      <c r="R146" s="176">
        <v>4.95</v>
      </c>
      <c r="S146" s="176">
        <v>4.95</v>
      </c>
      <c r="T146" s="176">
        <v>4.95</v>
      </c>
      <c r="U146" s="176">
        <v>4.95</v>
      </c>
      <c r="V146" s="176">
        <v>4.95</v>
      </c>
      <c r="W146" s="176">
        <v>4.95</v>
      </c>
      <c r="X146" s="176">
        <v>4.95</v>
      </c>
      <c r="Y146" s="176">
        <v>4.95</v>
      </c>
      <c r="Z146" s="176">
        <v>4.95</v>
      </c>
      <c r="AA146" s="176">
        <v>4.95</v>
      </c>
      <c r="AB146" s="176">
        <v>4.95</v>
      </c>
      <c r="AC146" s="176">
        <v>4.95</v>
      </c>
      <c r="AD146" s="176">
        <v>4.95</v>
      </c>
      <c r="AE146" s="176">
        <v>4.95</v>
      </c>
      <c r="AF146" s="176">
        <v>4.95</v>
      </c>
      <c r="AG146" s="100">
        <v>4.95</v>
      </c>
      <c r="AH146" s="54"/>
      <c r="AI146" s="55"/>
      <c r="AK146" s="56"/>
    </row>
    <row r="147" spans="1:37" x14ac:dyDescent="0.25">
      <c r="A147" s="164" t="s">
        <v>172</v>
      </c>
      <c r="B147" s="176">
        <v>4.8</v>
      </c>
      <c r="C147" s="176">
        <v>4.8</v>
      </c>
      <c r="D147" s="176">
        <v>4.8</v>
      </c>
      <c r="E147" s="176">
        <v>4.8</v>
      </c>
      <c r="F147" s="176">
        <v>4.8</v>
      </c>
      <c r="G147" s="176">
        <v>4.8</v>
      </c>
      <c r="H147" s="176">
        <v>4.8</v>
      </c>
      <c r="I147" s="176">
        <v>4.8</v>
      </c>
      <c r="J147" s="176">
        <v>4.8</v>
      </c>
      <c r="K147" s="176">
        <v>4.8</v>
      </c>
      <c r="L147" s="176">
        <v>4.8</v>
      </c>
      <c r="M147" s="176">
        <v>4.8</v>
      </c>
      <c r="N147" s="176">
        <v>4.8</v>
      </c>
      <c r="O147" s="176">
        <v>4.8</v>
      </c>
      <c r="P147" s="176">
        <v>4.8</v>
      </c>
      <c r="Q147" s="176">
        <v>4.8</v>
      </c>
      <c r="R147" s="176">
        <v>4.8</v>
      </c>
      <c r="S147" s="176">
        <v>4.8</v>
      </c>
      <c r="T147" s="176">
        <v>4.8</v>
      </c>
      <c r="U147" s="176">
        <v>4.8</v>
      </c>
      <c r="V147" s="176">
        <v>4.8</v>
      </c>
      <c r="W147" s="176">
        <v>4.8</v>
      </c>
      <c r="X147" s="176">
        <v>4.8</v>
      </c>
      <c r="Y147" s="176">
        <v>4.8</v>
      </c>
      <c r="Z147" s="176">
        <v>4.8</v>
      </c>
      <c r="AA147" s="176">
        <v>4.8</v>
      </c>
      <c r="AB147" s="176">
        <v>4.8</v>
      </c>
      <c r="AC147" s="176">
        <v>4.8</v>
      </c>
      <c r="AD147" s="176">
        <v>4.8</v>
      </c>
      <c r="AE147" s="176">
        <v>4.8</v>
      </c>
      <c r="AF147" s="176">
        <v>4.8</v>
      </c>
      <c r="AG147" s="100">
        <v>4.8</v>
      </c>
      <c r="AH147" s="54"/>
      <c r="AI147" s="55"/>
      <c r="AK147" s="56"/>
    </row>
    <row r="148" spans="1:37" x14ac:dyDescent="0.25">
      <c r="A148" s="164" t="s">
        <v>173</v>
      </c>
      <c r="B148" s="176">
        <v>4.8</v>
      </c>
      <c r="C148" s="176">
        <v>4.8</v>
      </c>
      <c r="D148" s="176">
        <v>4.8</v>
      </c>
      <c r="E148" s="176">
        <v>4.8</v>
      </c>
      <c r="F148" s="176">
        <v>4.8</v>
      </c>
      <c r="G148" s="176">
        <v>4.8</v>
      </c>
      <c r="H148" s="176">
        <v>4.8</v>
      </c>
      <c r="I148" s="176">
        <v>4.8</v>
      </c>
      <c r="J148" s="176">
        <v>4.8</v>
      </c>
      <c r="K148" s="176">
        <v>4.8</v>
      </c>
      <c r="L148" s="176">
        <v>4.8</v>
      </c>
      <c r="M148" s="176">
        <v>4.8</v>
      </c>
      <c r="N148" s="176">
        <v>4.8</v>
      </c>
      <c r="O148" s="176">
        <v>4.8</v>
      </c>
      <c r="P148" s="176">
        <v>4.8</v>
      </c>
      <c r="Q148" s="176">
        <v>4.8</v>
      </c>
      <c r="R148" s="176">
        <v>4.8</v>
      </c>
      <c r="S148" s="176">
        <v>4.8</v>
      </c>
      <c r="T148" s="176">
        <v>4.8</v>
      </c>
      <c r="U148" s="176">
        <v>4.8</v>
      </c>
      <c r="V148" s="176">
        <v>4.8</v>
      </c>
      <c r="W148" s="176">
        <v>4.8</v>
      </c>
      <c r="X148" s="176">
        <v>4.8</v>
      </c>
      <c r="Y148" s="176">
        <v>4.8</v>
      </c>
      <c r="Z148" s="176">
        <v>4.8</v>
      </c>
      <c r="AA148" s="176">
        <v>4.8</v>
      </c>
      <c r="AB148" s="176">
        <v>4.8</v>
      </c>
      <c r="AC148" s="176">
        <v>4.8</v>
      </c>
      <c r="AD148" s="176">
        <v>4.8</v>
      </c>
      <c r="AE148" s="176">
        <v>4.8</v>
      </c>
      <c r="AF148" s="176">
        <v>4.8</v>
      </c>
      <c r="AG148" s="100">
        <v>4.8</v>
      </c>
      <c r="AH148" s="54"/>
      <c r="AI148" s="55"/>
      <c r="AK148" s="56"/>
    </row>
    <row r="149" spans="1:37" x14ac:dyDescent="0.25">
      <c r="A149" s="163" t="s">
        <v>174</v>
      </c>
      <c r="B149" s="176">
        <v>4.5</v>
      </c>
      <c r="C149" s="176">
        <v>4.5</v>
      </c>
      <c r="D149" s="176">
        <v>4.5</v>
      </c>
      <c r="E149" s="176">
        <v>4.5</v>
      </c>
      <c r="F149" s="176">
        <v>4.5</v>
      </c>
      <c r="G149" s="176">
        <v>4.5</v>
      </c>
      <c r="H149" s="176">
        <v>4.5</v>
      </c>
      <c r="I149" s="176">
        <v>4.5</v>
      </c>
      <c r="J149" s="176">
        <v>4.5</v>
      </c>
      <c r="K149" s="176">
        <v>4.5</v>
      </c>
      <c r="L149" s="176">
        <v>4.5</v>
      </c>
      <c r="M149" s="176">
        <v>4.5</v>
      </c>
      <c r="N149" s="176">
        <v>4.5</v>
      </c>
      <c r="O149" s="176">
        <v>4.5</v>
      </c>
      <c r="P149" s="176">
        <v>4.5</v>
      </c>
      <c r="Q149" s="176">
        <v>4.5</v>
      </c>
      <c r="R149" s="176">
        <v>4.5</v>
      </c>
      <c r="S149" s="176">
        <v>4.5</v>
      </c>
      <c r="T149" s="176">
        <v>4.5</v>
      </c>
      <c r="U149" s="176">
        <v>4.5</v>
      </c>
      <c r="V149" s="176">
        <v>4.5</v>
      </c>
      <c r="W149" s="176">
        <v>4.5</v>
      </c>
      <c r="X149" s="176">
        <v>4.5</v>
      </c>
      <c r="Y149" s="176">
        <v>4.5</v>
      </c>
      <c r="Z149" s="176">
        <v>4.5</v>
      </c>
      <c r="AA149" s="176">
        <v>4.5</v>
      </c>
      <c r="AB149" s="176">
        <v>4.5</v>
      </c>
      <c r="AC149" s="176">
        <v>4.5</v>
      </c>
      <c r="AD149" s="176">
        <v>4.5</v>
      </c>
      <c r="AE149" s="176">
        <v>4.5</v>
      </c>
      <c r="AF149" s="176">
        <v>4.5</v>
      </c>
      <c r="AG149" s="99">
        <v>4.5</v>
      </c>
      <c r="AH149" s="54"/>
      <c r="AI149" s="55"/>
      <c r="AK149" s="56"/>
    </row>
    <row r="150" spans="1:37" x14ac:dyDescent="0.25">
      <c r="A150" s="164" t="s">
        <v>175</v>
      </c>
      <c r="B150" s="176">
        <v>4.5</v>
      </c>
      <c r="C150" s="176">
        <v>4.5</v>
      </c>
      <c r="D150" s="176">
        <v>4.5</v>
      </c>
      <c r="E150" s="176">
        <v>4.5</v>
      </c>
      <c r="F150" s="176">
        <v>4.5</v>
      </c>
      <c r="G150" s="176">
        <v>4.5</v>
      </c>
      <c r="H150" s="176">
        <v>4.5</v>
      </c>
      <c r="I150" s="176">
        <v>4.5</v>
      </c>
      <c r="J150" s="176">
        <v>4.5</v>
      </c>
      <c r="K150" s="176">
        <v>4.5</v>
      </c>
      <c r="L150" s="176">
        <v>4.5</v>
      </c>
      <c r="M150" s="176">
        <v>4.5</v>
      </c>
      <c r="N150" s="176">
        <v>4.5</v>
      </c>
      <c r="O150" s="176">
        <v>4.5</v>
      </c>
      <c r="P150" s="176">
        <v>4.5</v>
      </c>
      <c r="Q150" s="176">
        <v>4.5</v>
      </c>
      <c r="R150" s="176">
        <v>4.5</v>
      </c>
      <c r="S150" s="176">
        <v>4.5</v>
      </c>
      <c r="T150" s="176">
        <v>4.5</v>
      </c>
      <c r="U150" s="176">
        <v>4.5</v>
      </c>
      <c r="V150" s="176">
        <v>4.5</v>
      </c>
      <c r="W150" s="176">
        <v>4.5</v>
      </c>
      <c r="X150" s="176">
        <v>4.5</v>
      </c>
      <c r="Y150" s="176">
        <v>4.5</v>
      </c>
      <c r="Z150" s="176">
        <v>4.5</v>
      </c>
      <c r="AA150" s="176">
        <v>4.5</v>
      </c>
      <c r="AB150" s="176">
        <v>4.5</v>
      </c>
      <c r="AC150" s="176">
        <v>4.5</v>
      </c>
      <c r="AD150" s="176">
        <v>4.5</v>
      </c>
      <c r="AE150" s="176">
        <v>4.5</v>
      </c>
      <c r="AF150" s="176">
        <v>4.5</v>
      </c>
      <c r="AG150" s="100">
        <v>4.5</v>
      </c>
      <c r="AH150" s="54"/>
      <c r="AI150" s="55"/>
      <c r="AK150" s="56"/>
    </row>
    <row r="151" spans="1:37" x14ac:dyDescent="0.25">
      <c r="A151" s="164" t="s">
        <v>176</v>
      </c>
      <c r="B151" s="176">
        <v>4.4550000000000001</v>
      </c>
      <c r="C151" s="176">
        <v>4.4550000000000001</v>
      </c>
      <c r="D151" s="176">
        <v>4.4550000000000001</v>
      </c>
      <c r="E151" s="176">
        <v>4.4550000000000001</v>
      </c>
      <c r="F151" s="176">
        <v>4.4550000000000001</v>
      </c>
      <c r="G151" s="176">
        <v>4.4550000000000001</v>
      </c>
      <c r="H151" s="176">
        <v>4.4550000000000001</v>
      </c>
      <c r="I151" s="176">
        <v>4.4550000000000001</v>
      </c>
      <c r="J151" s="176">
        <v>4.4550000000000001</v>
      </c>
      <c r="K151" s="176">
        <v>4.4550000000000001</v>
      </c>
      <c r="L151" s="176">
        <v>4.4550000000000001</v>
      </c>
      <c r="M151" s="176">
        <v>4.4550000000000001</v>
      </c>
      <c r="N151" s="176">
        <v>4.4550000000000001</v>
      </c>
      <c r="O151" s="176">
        <v>4.4550000000000001</v>
      </c>
      <c r="P151" s="176">
        <v>4.4550000000000001</v>
      </c>
      <c r="Q151" s="176">
        <v>4.4550000000000001</v>
      </c>
      <c r="R151" s="176">
        <v>4.4550000000000001</v>
      </c>
      <c r="S151" s="176">
        <v>4.4550000000000001</v>
      </c>
      <c r="T151" s="176">
        <v>4.4550000000000001</v>
      </c>
      <c r="U151" s="176">
        <v>4.4550000000000001</v>
      </c>
      <c r="V151" s="176">
        <v>4.4550000000000001</v>
      </c>
      <c r="W151" s="176">
        <v>4.4550000000000001</v>
      </c>
      <c r="X151" s="176">
        <v>4.4550000000000001</v>
      </c>
      <c r="Y151" s="176">
        <v>4.4550000000000001</v>
      </c>
      <c r="Z151" s="176">
        <v>4.4550000000000001</v>
      </c>
      <c r="AA151" s="176">
        <v>4.4550000000000001</v>
      </c>
      <c r="AB151" s="176">
        <v>4.4550000000000001</v>
      </c>
      <c r="AC151" s="176">
        <v>4.4550000000000001</v>
      </c>
      <c r="AD151" s="176">
        <v>4.4550000000000001</v>
      </c>
      <c r="AE151" s="176">
        <v>4.4550000000000001</v>
      </c>
      <c r="AF151" s="176">
        <v>4.4550000000000001</v>
      </c>
      <c r="AG151" s="100">
        <v>4.4550000000000001</v>
      </c>
      <c r="AH151" s="54"/>
      <c r="AI151" s="55"/>
      <c r="AK151" s="56"/>
    </row>
    <row r="152" spans="1:37" x14ac:dyDescent="0.25">
      <c r="A152" s="164" t="s">
        <v>177</v>
      </c>
      <c r="B152" s="176">
        <v>4.41</v>
      </c>
      <c r="C152" s="176">
        <v>4.41</v>
      </c>
      <c r="D152" s="176">
        <v>4.41</v>
      </c>
      <c r="E152" s="176">
        <v>4.41</v>
      </c>
      <c r="F152" s="176">
        <v>4.41</v>
      </c>
      <c r="G152" s="176">
        <v>4.41</v>
      </c>
      <c r="H152" s="176">
        <v>4.41</v>
      </c>
      <c r="I152" s="176">
        <v>4.41</v>
      </c>
      <c r="J152" s="176">
        <v>4.41</v>
      </c>
      <c r="K152" s="176">
        <v>4.41</v>
      </c>
      <c r="L152" s="176">
        <v>4.41</v>
      </c>
      <c r="M152" s="176">
        <v>4.41</v>
      </c>
      <c r="N152" s="176">
        <v>4.41</v>
      </c>
      <c r="O152" s="176">
        <v>4.41</v>
      </c>
      <c r="P152" s="176">
        <v>4.41</v>
      </c>
      <c r="Q152" s="176">
        <v>4.41</v>
      </c>
      <c r="R152" s="176">
        <v>4.41</v>
      </c>
      <c r="S152" s="176">
        <v>4.41</v>
      </c>
      <c r="T152" s="176">
        <v>4.41</v>
      </c>
      <c r="U152" s="176">
        <v>4.41</v>
      </c>
      <c r="V152" s="176">
        <v>4.41</v>
      </c>
      <c r="W152" s="176">
        <v>4.41</v>
      </c>
      <c r="X152" s="176">
        <v>4.41</v>
      </c>
      <c r="Y152" s="176">
        <v>4.41</v>
      </c>
      <c r="Z152" s="176">
        <v>4.41</v>
      </c>
      <c r="AA152" s="176">
        <v>4.41</v>
      </c>
      <c r="AB152" s="176">
        <v>4.41</v>
      </c>
      <c r="AC152" s="176">
        <v>4.41</v>
      </c>
      <c r="AD152" s="176">
        <v>4.41</v>
      </c>
      <c r="AE152" s="176">
        <v>4.41</v>
      </c>
      <c r="AF152" s="176">
        <v>4.41</v>
      </c>
      <c r="AG152" s="100">
        <v>4.41</v>
      </c>
      <c r="AH152" s="54"/>
      <c r="AI152" s="55"/>
      <c r="AK152" s="56"/>
    </row>
    <row r="153" spans="1:37" x14ac:dyDescent="0.25">
      <c r="A153" s="164" t="s">
        <v>178</v>
      </c>
      <c r="B153" s="176">
        <v>4.4000000000000004</v>
      </c>
      <c r="C153" s="176">
        <v>4.4000000000000004</v>
      </c>
      <c r="D153" s="176">
        <v>4.4000000000000004</v>
      </c>
      <c r="E153" s="176">
        <v>4.4000000000000004</v>
      </c>
      <c r="F153" s="176">
        <v>4.4000000000000004</v>
      </c>
      <c r="G153" s="176">
        <v>4.4000000000000004</v>
      </c>
      <c r="H153" s="176">
        <v>4.4000000000000004</v>
      </c>
      <c r="I153" s="176">
        <v>4.4000000000000004</v>
      </c>
      <c r="J153" s="176">
        <v>4.4000000000000004</v>
      </c>
      <c r="K153" s="176">
        <v>4.4000000000000004</v>
      </c>
      <c r="L153" s="176">
        <v>4.4000000000000004</v>
      </c>
      <c r="M153" s="176">
        <v>4.4000000000000004</v>
      </c>
      <c r="N153" s="176">
        <v>4.4000000000000004</v>
      </c>
      <c r="O153" s="176">
        <v>4.4000000000000004</v>
      </c>
      <c r="P153" s="176">
        <v>4.4000000000000004</v>
      </c>
      <c r="Q153" s="176">
        <v>4.4000000000000004</v>
      </c>
      <c r="R153" s="176">
        <v>4.4000000000000004</v>
      </c>
      <c r="S153" s="176">
        <v>4.4000000000000004</v>
      </c>
      <c r="T153" s="176">
        <v>4.4000000000000004</v>
      </c>
      <c r="U153" s="176">
        <v>4.4000000000000004</v>
      </c>
      <c r="V153" s="176">
        <v>4.4000000000000004</v>
      </c>
      <c r="W153" s="176">
        <v>4.4000000000000004</v>
      </c>
      <c r="X153" s="176">
        <v>4.4000000000000004</v>
      </c>
      <c r="Y153" s="176">
        <v>4.4000000000000004</v>
      </c>
      <c r="Z153" s="176">
        <v>4.4000000000000004</v>
      </c>
      <c r="AA153" s="176">
        <v>4.4000000000000004</v>
      </c>
      <c r="AB153" s="176">
        <v>4.4000000000000004</v>
      </c>
      <c r="AC153" s="176">
        <v>4.4000000000000004</v>
      </c>
      <c r="AD153" s="176">
        <v>4.4000000000000004</v>
      </c>
      <c r="AE153" s="176">
        <v>4.4000000000000004</v>
      </c>
      <c r="AF153" s="176">
        <v>4.4000000000000004</v>
      </c>
      <c r="AG153" s="100">
        <v>4.4000000000000004</v>
      </c>
      <c r="AH153" s="54"/>
      <c r="AI153" s="55"/>
      <c r="AK153" s="56"/>
    </row>
    <row r="154" spans="1:37" x14ac:dyDescent="0.25">
      <c r="A154" s="164" t="s">
        <v>179</v>
      </c>
      <c r="B154" s="176">
        <v>4.3600000000000003</v>
      </c>
      <c r="C154" s="176">
        <v>4.3600000000000003</v>
      </c>
      <c r="D154" s="176">
        <v>4.3600000000000003</v>
      </c>
      <c r="E154" s="176">
        <v>4.3600000000000003</v>
      </c>
      <c r="F154" s="176">
        <v>4.3600000000000003</v>
      </c>
      <c r="G154" s="176">
        <v>4.3600000000000003</v>
      </c>
      <c r="H154" s="176">
        <v>4.3600000000000003</v>
      </c>
      <c r="I154" s="176">
        <v>4.3600000000000003</v>
      </c>
      <c r="J154" s="176">
        <v>4.3600000000000003</v>
      </c>
      <c r="K154" s="176">
        <v>4.3600000000000003</v>
      </c>
      <c r="L154" s="176">
        <v>4.3600000000000003</v>
      </c>
      <c r="M154" s="176">
        <v>4.3600000000000003</v>
      </c>
      <c r="N154" s="176">
        <v>4.3600000000000003</v>
      </c>
      <c r="O154" s="176">
        <v>4.3600000000000003</v>
      </c>
      <c r="P154" s="176">
        <v>4.3600000000000003</v>
      </c>
      <c r="Q154" s="176">
        <v>4.3600000000000003</v>
      </c>
      <c r="R154" s="176">
        <v>4.3600000000000003</v>
      </c>
      <c r="S154" s="176">
        <v>4.3600000000000003</v>
      </c>
      <c r="T154" s="176">
        <v>4.3600000000000003</v>
      </c>
      <c r="U154" s="176">
        <v>4.3600000000000003</v>
      </c>
      <c r="V154" s="176">
        <v>4.3600000000000003</v>
      </c>
      <c r="W154" s="176">
        <v>4.3600000000000003</v>
      </c>
      <c r="X154" s="176">
        <v>4.3600000000000003</v>
      </c>
      <c r="Y154" s="176">
        <v>4.3600000000000003</v>
      </c>
      <c r="Z154" s="176">
        <v>4.3600000000000003</v>
      </c>
      <c r="AA154" s="176">
        <v>4.3600000000000003</v>
      </c>
      <c r="AB154" s="176">
        <v>4.3600000000000003</v>
      </c>
      <c r="AC154" s="176">
        <v>4.3600000000000003</v>
      </c>
      <c r="AD154" s="176">
        <v>4.3600000000000003</v>
      </c>
      <c r="AE154" s="176">
        <v>4.3600000000000003</v>
      </c>
      <c r="AF154" s="176">
        <v>4.3600000000000003</v>
      </c>
      <c r="AG154" s="100">
        <v>4.3600000000000003</v>
      </c>
      <c r="AH154" s="54"/>
      <c r="AI154" s="55"/>
      <c r="AK154" s="56"/>
    </row>
    <row r="155" spans="1:37" x14ac:dyDescent="0.25">
      <c r="A155" s="164" t="s">
        <v>180</v>
      </c>
      <c r="B155" s="176">
        <v>4.2</v>
      </c>
      <c r="C155" s="176">
        <v>4.2</v>
      </c>
      <c r="D155" s="176">
        <v>4.2</v>
      </c>
      <c r="E155" s="176">
        <v>4.2</v>
      </c>
      <c r="F155" s="176">
        <v>4.2</v>
      </c>
      <c r="G155" s="176">
        <v>4.2</v>
      </c>
      <c r="H155" s="176">
        <v>4.2</v>
      </c>
      <c r="I155" s="176">
        <v>4.2</v>
      </c>
      <c r="J155" s="176">
        <v>4.2</v>
      </c>
      <c r="K155" s="176">
        <v>4.2</v>
      </c>
      <c r="L155" s="176">
        <v>4.2</v>
      </c>
      <c r="M155" s="176">
        <v>4.2</v>
      </c>
      <c r="N155" s="176">
        <v>4.2</v>
      </c>
      <c r="O155" s="176">
        <v>4.2</v>
      </c>
      <c r="P155" s="176">
        <v>4.2</v>
      </c>
      <c r="Q155" s="176">
        <v>4.2</v>
      </c>
      <c r="R155" s="176">
        <v>4.2</v>
      </c>
      <c r="S155" s="176">
        <v>4.2</v>
      </c>
      <c r="T155" s="176">
        <v>4.2</v>
      </c>
      <c r="U155" s="176">
        <v>4.2</v>
      </c>
      <c r="V155" s="176">
        <v>4.2</v>
      </c>
      <c r="W155" s="176">
        <v>4.2</v>
      </c>
      <c r="X155" s="176">
        <v>4.2</v>
      </c>
      <c r="Y155" s="176">
        <v>4.2</v>
      </c>
      <c r="Z155" s="176">
        <v>4.2</v>
      </c>
      <c r="AA155" s="176">
        <v>4.2</v>
      </c>
      <c r="AB155" s="176">
        <v>4.2</v>
      </c>
      <c r="AC155" s="176">
        <v>4.2</v>
      </c>
      <c r="AD155" s="176">
        <v>4.2</v>
      </c>
      <c r="AE155" s="176">
        <v>4.2</v>
      </c>
      <c r="AF155" s="176">
        <v>4.2</v>
      </c>
      <c r="AG155" s="100">
        <v>4.2</v>
      </c>
      <c r="AH155" s="54"/>
      <c r="AI155" s="55"/>
      <c r="AK155" s="56"/>
    </row>
    <row r="156" spans="1:37" x14ac:dyDescent="0.25">
      <c r="A156" s="164" t="s">
        <v>181</v>
      </c>
      <c r="B156" s="176">
        <v>4</v>
      </c>
      <c r="C156" s="176">
        <v>4</v>
      </c>
      <c r="D156" s="176">
        <v>4</v>
      </c>
      <c r="E156" s="176">
        <v>4</v>
      </c>
      <c r="F156" s="176">
        <v>4</v>
      </c>
      <c r="G156" s="176">
        <v>4</v>
      </c>
      <c r="H156" s="176">
        <v>4</v>
      </c>
      <c r="I156" s="176">
        <v>4</v>
      </c>
      <c r="J156" s="176">
        <v>4</v>
      </c>
      <c r="K156" s="176">
        <v>4</v>
      </c>
      <c r="L156" s="176">
        <v>4</v>
      </c>
      <c r="M156" s="176">
        <v>4</v>
      </c>
      <c r="N156" s="176">
        <v>4</v>
      </c>
      <c r="O156" s="176">
        <v>4</v>
      </c>
      <c r="P156" s="176">
        <v>4</v>
      </c>
      <c r="Q156" s="176">
        <v>4</v>
      </c>
      <c r="R156" s="176">
        <v>4</v>
      </c>
      <c r="S156" s="176">
        <v>4</v>
      </c>
      <c r="T156" s="176">
        <v>4</v>
      </c>
      <c r="U156" s="176">
        <v>4</v>
      </c>
      <c r="V156" s="176">
        <v>4</v>
      </c>
      <c r="W156" s="176">
        <v>4</v>
      </c>
      <c r="X156" s="176">
        <v>4</v>
      </c>
      <c r="Y156" s="176">
        <v>4</v>
      </c>
      <c r="Z156" s="176">
        <v>4</v>
      </c>
      <c r="AA156" s="176">
        <v>4</v>
      </c>
      <c r="AB156" s="176">
        <v>4</v>
      </c>
      <c r="AC156" s="176">
        <v>4</v>
      </c>
      <c r="AD156" s="176">
        <v>4</v>
      </c>
      <c r="AE156" s="176">
        <v>4</v>
      </c>
      <c r="AF156" s="176">
        <v>4</v>
      </c>
      <c r="AG156" s="100">
        <v>4</v>
      </c>
      <c r="AH156" s="54"/>
      <c r="AI156" s="55"/>
      <c r="AK156" s="56"/>
    </row>
    <row r="157" spans="1:37" x14ac:dyDescent="0.25">
      <c r="A157" s="164" t="s">
        <v>182</v>
      </c>
      <c r="B157" s="176">
        <v>4</v>
      </c>
      <c r="C157" s="176">
        <v>4</v>
      </c>
      <c r="D157" s="176">
        <v>4</v>
      </c>
      <c r="E157" s="176">
        <v>4</v>
      </c>
      <c r="F157" s="176">
        <v>4</v>
      </c>
      <c r="G157" s="176">
        <v>4</v>
      </c>
      <c r="H157" s="176">
        <v>4</v>
      </c>
      <c r="I157" s="176">
        <v>4</v>
      </c>
      <c r="J157" s="176">
        <v>4</v>
      </c>
      <c r="K157" s="176">
        <v>4</v>
      </c>
      <c r="L157" s="176">
        <v>4</v>
      </c>
      <c r="M157" s="176">
        <v>4</v>
      </c>
      <c r="N157" s="176">
        <v>4</v>
      </c>
      <c r="O157" s="176">
        <v>4</v>
      </c>
      <c r="P157" s="176">
        <v>4</v>
      </c>
      <c r="Q157" s="176">
        <v>4</v>
      </c>
      <c r="R157" s="176">
        <v>4</v>
      </c>
      <c r="S157" s="176">
        <v>4</v>
      </c>
      <c r="T157" s="176">
        <v>4</v>
      </c>
      <c r="U157" s="176">
        <v>4</v>
      </c>
      <c r="V157" s="176">
        <v>4</v>
      </c>
      <c r="W157" s="176">
        <v>4</v>
      </c>
      <c r="X157" s="176">
        <v>4</v>
      </c>
      <c r="Y157" s="176">
        <v>4</v>
      </c>
      <c r="Z157" s="176">
        <v>4</v>
      </c>
      <c r="AA157" s="176">
        <v>4</v>
      </c>
      <c r="AB157" s="176">
        <v>4</v>
      </c>
      <c r="AC157" s="176">
        <v>4</v>
      </c>
      <c r="AD157" s="176">
        <v>4</v>
      </c>
      <c r="AE157" s="176">
        <v>4</v>
      </c>
      <c r="AF157" s="176">
        <v>4</v>
      </c>
      <c r="AG157" s="100">
        <v>4</v>
      </c>
      <c r="AH157" s="54"/>
      <c r="AI157" s="55"/>
      <c r="AK157" s="56"/>
    </row>
    <row r="158" spans="1:37" x14ac:dyDescent="0.25">
      <c r="A158" s="164" t="s">
        <v>81</v>
      </c>
      <c r="B158" s="176">
        <v>4</v>
      </c>
      <c r="C158" s="176">
        <v>4</v>
      </c>
      <c r="D158" s="176">
        <v>4</v>
      </c>
      <c r="E158" s="176">
        <v>4</v>
      </c>
      <c r="F158" s="176">
        <v>4</v>
      </c>
      <c r="G158" s="176">
        <v>4</v>
      </c>
      <c r="H158" s="176">
        <v>4</v>
      </c>
      <c r="I158" s="176">
        <v>4</v>
      </c>
      <c r="J158" s="176">
        <v>4</v>
      </c>
      <c r="K158" s="176">
        <v>4</v>
      </c>
      <c r="L158" s="176">
        <v>4</v>
      </c>
      <c r="M158" s="176">
        <v>4</v>
      </c>
      <c r="N158" s="176">
        <v>4</v>
      </c>
      <c r="O158" s="176">
        <v>4</v>
      </c>
      <c r="P158" s="176">
        <v>4</v>
      </c>
      <c r="Q158" s="176">
        <v>4</v>
      </c>
      <c r="R158" s="176">
        <v>4</v>
      </c>
      <c r="S158" s="176">
        <v>4</v>
      </c>
      <c r="T158" s="176">
        <v>4</v>
      </c>
      <c r="U158" s="176">
        <v>4</v>
      </c>
      <c r="V158" s="176">
        <v>4</v>
      </c>
      <c r="W158" s="176">
        <v>4</v>
      </c>
      <c r="X158" s="176">
        <v>4</v>
      </c>
      <c r="Y158" s="176">
        <v>4</v>
      </c>
      <c r="Z158" s="176">
        <v>4</v>
      </c>
      <c r="AA158" s="176">
        <v>4</v>
      </c>
      <c r="AB158" s="176">
        <v>4</v>
      </c>
      <c r="AC158" s="176">
        <v>4</v>
      </c>
      <c r="AD158" s="176">
        <v>4</v>
      </c>
      <c r="AE158" s="176">
        <v>4</v>
      </c>
      <c r="AF158" s="176">
        <v>4</v>
      </c>
      <c r="AG158" s="100">
        <v>4</v>
      </c>
      <c r="AH158" s="54"/>
      <c r="AI158" s="55"/>
      <c r="AK158" s="56"/>
    </row>
    <row r="159" spans="1:37" x14ac:dyDescent="0.25">
      <c r="A159" s="164" t="s">
        <v>183</v>
      </c>
      <c r="B159" s="176">
        <v>4</v>
      </c>
      <c r="C159" s="176">
        <v>4</v>
      </c>
      <c r="D159" s="176">
        <v>4</v>
      </c>
      <c r="E159" s="176">
        <v>4</v>
      </c>
      <c r="F159" s="176">
        <v>4</v>
      </c>
      <c r="G159" s="176">
        <v>4</v>
      </c>
      <c r="H159" s="176">
        <v>4</v>
      </c>
      <c r="I159" s="176">
        <v>4</v>
      </c>
      <c r="J159" s="176">
        <v>4</v>
      </c>
      <c r="K159" s="176">
        <v>4</v>
      </c>
      <c r="L159" s="176">
        <v>4</v>
      </c>
      <c r="M159" s="176">
        <v>4</v>
      </c>
      <c r="N159" s="176">
        <v>4</v>
      </c>
      <c r="O159" s="176">
        <v>4</v>
      </c>
      <c r="P159" s="176">
        <v>4</v>
      </c>
      <c r="Q159" s="176">
        <v>4</v>
      </c>
      <c r="R159" s="176">
        <v>4</v>
      </c>
      <c r="S159" s="176">
        <v>4</v>
      </c>
      <c r="T159" s="176">
        <v>4</v>
      </c>
      <c r="U159" s="176">
        <v>4</v>
      </c>
      <c r="V159" s="176">
        <v>4</v>
      </c>
      <c r="W159" s="176">
        <v>4</v>
      </c>
      <c r="X159" s="176">
        <v>4</v>
      </c>
      <c r="Y159" s="176">
        <v>4</v>
      </c>
      <c r="Z159" s="176">
        <v>4</v>
      </c>
      <c r="AA159" s="176">
        <v>4</v>
      </c>
      <c r="AB159" s="176">
        <v>4</v>
      </c>
      <c r="AC159" s="176">
        <v>4</v>
      </c>
      <c r="AD159" s="176">
        <v>4</v>
      </c>
      <c r="AE159" s="176">
        <v>4</v>
      </c>
      <c r="AF159" s="176">
        <v>4</v>
      </c>
      <c r="AG159" s="100">
        <v>4</v>
      </c>
      <c r="AH159" s="54"/>
      <c r="AI159" s="55"/>
      <c r="AK159" s="56"/>
    </row>
    <row r="160" spans="1:37" x14ac:dyDescent="0.25">
      <c r="A160" s="164" t="s">
        <v>184</v>
      </c>
      <c r="B160" s="176">
        <v>4</v>
      </c>
      <c r="C160" s="176">
        <v>4</v>
      </c>
      <c r="D160" s="176">
        <v>4</v>
      </c>
      <c r="E160" s="176">
        <v>4</v>
      </c>
      <c r="F160" s="176">
        <v>4</v>
      </c>
      <c r="G160" s="176">
        <v>4</v>
      </c>
      <c r="H160" s="176">
        <v>4</v>
      </c>
      <c r="I160" s="176">
        <v>4</v>
      </c>
      <c r="J160" s="176">
        <v>4</v>
      </c>
      <c r="K160" s="176">
        <v>4</v>
      </c>
      <c r="L160" s="176">
        <v>4</v>
      </c>
      <c r="M160" s="176">
        <v>4</v>
      </c>
      <c r="N160" s="176">
        <v>4</v>
      </c>
      <c r="O160" s="176">
        <v>4</v>
      </c>
      <c r="P160" s="176">
        <v>4</v>
      </c>
      <c r="Q160" s="176">
        <v>4</v>
      </c>
      <c r="R160" s="176">
        <v>4</v>
      </c>
      <c r="S160" s="176">
        <v>4</v>
      </c>
      <c r="T160" s="176">
        <v>4</v>
      </c>
      <c r="U160" s="176">
        <v>4</v>
      </c>
      <c r="V160" s="176">
        <v>4</v>
      </c>
      <c r="W160" s="176">
        <v>4</v>
      </c>
      <c r="X160" s="176">
        <v>4</v>
      </c>
      <c r="Y160" s="176">
        <v>4</v>
      </c>
      <c r="Z160" s="176">
        <v>4</v>
      </c>
      <c r="AA160" s="176">
        <v>4</v>
      </c>
      <c r="AB160" s="176">
        <v>4</v>
      </c>
      <c r="AC160" s="176">
        <v>4</v>
      </c>
      <c r="AD160" s="176">
        <v>4</v>
      </c>
      <c r="AE160" s="176">
        <v>4</v>
      </c>
      <c r="AF160" s="176">
        <v>4</v>
      </c>
      <c r="AG160" s="100">
        <v>4</v>
      </c>
      <c r="AH160" s="54"/>
      <c r="AI160" s="55"/>
      <c r="AK160" s="56"/>
    </row>
    <row r="161" spans="1:37" x14ac:dyDescent="0.25">
      <c r="A161" s="164" t="s">
        <v>185</v>
      </c>
      <c r="B161" s="176">
        <v>4</v>
      </c>
      <c r="C161" s="176">
        <v>4</v>
      </c>
      <c r="D161" s="176">
        <v>4</v>
      </c>
      <c r="E161" s="176">
        <v>4</v>
      </c>
      <c r="F161" s="176">
        <v>4</v>
      </c>
      <c r="G161" s="176">
        <v>4</v>
      </c>
      <c r="H161" s="176">
        <v>4</v>
      </c>
      <c r="I161" s="176">
        <v>4</v>
      </c>
      <c r="J161" s="176">
        <v>4</v>
      </c>
      <c r="K161" s="176">
        <v>4</v>
      </c>
      <c r="L161" s="176">
        <v>4</v>
      </c>
      <c r="M161" s="176">
        <v>4</v>
      </c>
      <c r="N161" s="176">
        <v>4</v>
      </c>
      <c r="O161" s="176">
        <v>4</v>
      </c>
      <c r="P161" s="176">
        <v>4</v>
      </c>
      <c r="Q161" s="176">
        <v>4</v>
      </c>
      <c r="R161" s="176">
        <v>4</v>
      </c>
      <c r="S161" s="176">
        <v>4</v>
      </c>
      <c r="T161" s="176">
        <v>4</v>
      </c>
      <c r="U161" s="176">
        <v>4</v>
      </c>
      <c r="V161" s="176">
        <v>4</v>
      </c>
      <c r="W161" s="176">
        <v>4</v>
      </c>
      <c r="X161" s="176">
        <v>4</v>
      </c>
      <c r="Y161" s="176">
        <v>4</v>
      </c>
      <c r="Z161" s="176">
        <v>4</v>
      </c>
      <c r="AA161" s="176">
        <v>4</v>
      </c>
      <c r="AB161" s="176">
        <v>4</v>
      </c>
      <c r="AC161" s="176">
        <v>4</v>
      </c>
      <c r="AD161" s="176">
        <v>4</v>
      </c>
      <c r="AE161" s="176">
        <v>4</v>
      </c>
      <c r="AF161" s="176">
        <v>4</v>
      </c>
      <c r="AG161" s="100">
        <v>4</v>
      </c>
      <c r="AH161" s="54"/>
      <c r="AI161" s="55"/>
      <c r="AK161" s="56"/>
    </row>
    <row r="162" spans="1:37" x14ac:dyDescent="0.25">
      <c r="A162" s="164" t="s">
        <v>186</v>
      </c>
      <c r="B162" s="176">
        <v>3.8</v>
      </c>
      <c r="C162" s="176">
        <v>3.8</v>
      </c>
      <c r="D162" s="176">
        <v>3.8</v>
      </c>
      <c r="E162" s="176">
        <v>3.8</v>
      </c>
      <c r="F162" s="176">
        <v>3.8</v>
      </c>
      <c r="G162" s="176">
        <v>3.8</v>
      </c>
      <c r="H162" s="176">
        <v>3.8</v>
      </c>
      <c r="I162" s="176">
        <v>3.8</v>
      </c>
      <c r="J162" s="176">
        <v>3.8</v>
      </c>
      <c r="K162" s="176">
        <v>3.8</v>
      </c>
      <c r="L162" s="176">
        <v>3.8</v>
      </c>
      <c r="M162" s="176">
        <v>3.8</v>
      </c>
      <c r="N162" s="176">
        <v>3.8</v>
      </c>
      <c r="O162" s="176">
        <v>3.8</v>
      </c>
      <c r="P162" s="176">
        <v>3.8</v>
      </c>
      <c r="Q162" s="176">
        <v>3.8</v>
      </c>
      <c r="R162" s="176">
        <v>3.8</v>
      </c>
      <c r="S162" s="176">
        <v>3.8</v>
      </c>
      <c r="T162" s="176">
        <v>3.8</v>
      </c>
      <c r="U162" s="176">
        <v>3.8</v>
      </c>
      <c r="V162" s="176">
        <v>3.8</v>
      </c>
      <c r="W162" s="176">
        <v>3.8</v>
      </c>
      <c r="X162" s="176">
        <v>3.8</v>
      </c>
      <c r="Y162" s="176">
        <v>3.8</v>
      </c>
      <c r="Z162" s="176">
        <v>3.8</v>
      </c>
      <c r="AA162" s="176">
        <v>3.8</v>
      </c>
      <c r="AB162" s="176">
        <v>3.8</v>
      </c>
      <c r="AC162" s="176">
        <v>3.8</v>
      </c>
      <c r="AD162" s="176">
        <v>3.8</v>
      </c>
      <c r="AE162" s="176">
        <v>3.8</v>
      </c>
      <c r="AF162" s="176">
        <v>3.8</v>
      </c>
      <c r="AG162" s="100">
        <v>3.8</v>
      </c>
      <c r="AH162" s="54"/>
      <c r="AI162" s="55"/>
      <c r="AK162" s="56"/>
    </row>
    <row r="163" spans="1:37" x14ac:dyDescent="0.25">
      <c r="A163" s="164" t="s">
        <v>187</v>
      </c>
      <c r="B163" s="176">
        <v>3.75</v>
      </c>
      <c r="C163" s="176">
        <v>3.75</v>
      </c>
      <c r="D163" s="176">
        <v>3.75</v>
      </c>
      <c r="E163" s="176">
        <v>3.75</v>
      </c>
      <c r="F163" s="176">
        <v>3.75</v>
      </c>
      <c r="G163" s="176">
        <v>3.75</v>
      </c>
      <c r="H163" s="176">
        <v>3.75</v>
      </c>
      <c r="I163" s="176">
        <v>3.75</v>
      </c>
      <c r="J163" s="176">
        <v>3.75</v>
      </c>
      <c r="K163" s="176">
        <v>3.75</v>
      </c>
      <c r="L163" s="176">
        <v>3.75</v>
      </c>
      <c r="M163" s="176">
        <v>3.75</v>
      </c>
      <c r="N163" s="176">
        <v>3.75</v>
      </c>
      <c r="O163" s="176">
        <v>3.75</v>
      </c>
      <c r="P163" s="176">
        <v>3.75</v>
      </c>
      <c r="Q163" s="176">
        <v>3.75</v>
      </c>
      <c r="R163" s="176">
        <v>3.75</v>
      </c>
      <c r="S163" s="176">
        <v>3.75</v>
      </c>
      <c r="T163" s="176">
        <v>3.75</v>
      </c>
      <c r="U163" s="176">
        <v>3.75</v>
      </c>
      <c r="V163" s="176">
        <v>3.75</v>
      </c>
      <c r="W163" s="176">
        <v>3.75</v>
      </c>
      <c r="X163" s="176">
        <v>3.75</v>
      </c>
      <c r="Y163" s="176">
        <v>3.75</v>
      </c>
      <c r="Z163" s="176">
        <v>3.75</v>
      </c>
      <c r="AA163" s="176">
        <v>3.75</v>
      </c>
      <c r="AB163" s="176">
        <v>3.75</v>
      </c>
      <c r="AC163" s="176">
        <v>3.75</v>
      </c>
      <c r="AD163" s="176">
        <v>3.75</v>
      </c>
      <c r="AE163" s="176">
        <v>3.75</v>
      </c>
      <c r="AF163" s="176">
        <v>3.75</v>
      </c>
      <c r="AG163" s="100">
        <v>3.75</v>
      </c>
      <c r="AH163" s="54"/>
      <c r="AI163" s="55"/>
      <c r="AK163" s="56"/>
    </row>
    <row r="164" spans="1:37" x14ac:dyDescent="0.25">
      <c r="A164" s="164" t="s">
        <v>188</v>
      </c>
      <c r="B164" s="176">
        <v>3.52</v>
      </c>
      <c r="C164" s="176">
        <v>3.52</v>
      </c>
      <c r="D164" s="176">
        <v>3.52</v>
      </c>
      <c r="E164" s="176">
        <v>3.52</v>
      </c>
      <c r="F164" s="176">
        <v>3.52</v>
      </c>
      <c r="G164" s="176">
        <v>3.52</v>
      </c>
      <c r="H164" s="176">
        <v>3.52</v>
      </c>
      <c r="I164" s="176">
        <v>3.52</v>
      </c>
      <c r="J164" s="176">
        <v>3.52</v>
      </c>
      <c r="K164" s="176">
        <v>3.52</v>
      </c>
      <c r="L164" s="176">
        <v>3.52</v>
      </c>
      <c r="M164" s="176">
        <v>3.52</v>
      </c>
      <c r="N164" s="176">
        <v>3.52</v>
      </c>
      <c r="O164" s="176">
        <v>3.52</v>
      </c>
      <c r="P164" s="176">
        <v>3.52</v>
      </c>
      <c r="Q164" s="176">
        <v>3.52</v>
      </c>
      <c r="R164" s="176">
        <v>3.52</v>
      </c>
      <c r="S164" s="176">
        <v>3.52</v>
      </c>
      <c r="T164" s="176">
        <v>3.52</v>
      </c>
      <c r="U164" s="176">
        <v>3.52</v>
      </c>
      <c r="V164" s="176">
        <v>3.52</v>
      </c>
      <c r="W164" s="176">
        <v>3.52</v>
      </c>
      <c r="X164" s="176">
        <v>3.52</v>
      </c>
      <c r="Y164" s="176">
        <v>3.52</v>
      </c>
      <c r="Z164" s="176">
        <v>3.52</v>
      </c>
      <c r="AA164" s="176">
        <v>3.52</v>
      </c>
      <c r="AB164" s="176">
        <v>3.52</v>
      </c>
      <c r="AC164" s="176">
        <v>3.52</v>
      </c>
      <c r="AD164" s="176">
        <v>3.52</v>
      </c>
      <c r="AE164" s="176">
        <v>3.52</v>
      </c>
      <c r="AF164" s="176">
        <v>3.52</v>
      </c>
      <c r="AG164" s="100">
        <v>3.52</v>
      </c>
      <c r="AH164" s="54"/>
      <c r="AI164" s="55"/>
      <c r="AK164" s="56"/>
    </row>
    <row r="165" spans="1:37" x14ac:dyDescent="0.25">
      <c r="A165" s="164" t="s">
        <v>189</v>
      </c>
      <c r="B165" s="176">
        <v>3.33</v>
      </c>
      <c r="C165" s="176">
        <v>3.33</v>
      </c>
      <c r="D165" s="176">
        <v>3.33</v>
      </c>
      <c r="E165" s="176">
        <v>3.33</v>
      </c>
      <c r="F165" s="176">
        <v>3.33</v>
      </c>
      <c r="G165" s="176">
        <v>3.33</v>
      </c>
      <c r="H165" s="176">
        <v>3.33</v>
      </c>
      <c r="I165" s="176">
        <v>3.33</v>
      </c>
      <c r="J165" s="176">
        <v>3.33</v>
      </c>
      <c r="K165" s="176">
        <v>3.33</v>
      </c>
      <c r="L165" s="176">
        <v>3.33</v>
      </c>
      <c r="M165" s="176">
        <v>3.33</v>
      </c>
      <c r="N165" s="176">
        <v>3.33</v>
      </c>
      <c r="O165" s="176">
        <v>3.33</v>
      </c>
      <c r="P165" s="176">
        <v>3.33</v>
      </c>
      <c r="Q165" s="176">
        <v>3.33</v>
      </c>
      <c r="R165" s="176">
        <v>3.33</v>
      </c>
      <c r="S165" s="176">
        <v>3.33</v>
      </c>
      <c r="T165" s="176">
        <v>3.33</v>
      </c>
      <c r="U165" s="176">
        <v>3.33</v>
      </c>
      <c r="V165" s="176">
        <v>3.33</v>
      </c>
      <c r="W165" s="176">
        <v>3.33</v>
      </c>
      <c r="X165" s="176">
        <v>3.33</v>
      </c>
      <c r="Y165" s="176">
        <v>3.33</v>
      </c>
      <c r="Z165" s="176">
        <v>3.33</v>
      </c>
      <c r="AA165" s="176">
        <v>3.33</v>
      </c>
      <c r="AB165" s="176">
        <v>3.33</v>
      </c>
      <c r="AC165" s="176">
        <v>3.33</v>
      </c>
      <c r="AD165" s="176">
        <v>3.33</v>
      </c>
      <c r="AE165" s="176">
        <v>3.33</v>
      </c>
      <c r="AF165" s="176">
        <v>3.33</v>
      </c>
      <c r="AG165" s="100">
        <v>3.33</v>
      </c>
      <c r="AH165" s="54"/>
      <c r="AI165" s="55"/>
      <c r="AK165" s="56"/>
    </row>
    <row r="166" spans="1:37" x14ac:dyDescent="0.25">
      <c r="A166" s="164" t="s">
        <v>190</v>
      </c>
      <c r="B166" s="176">
        <v>3</v>
      </c>
      <c r="C166" s="176">
        <v>3</v>
      </c>
      <c r="D166" s="176">
        <v>3</v>
      </c>
      <c r="E166" s="176">
        <v>3</v>
      </c>
      <c r="F166" s="176">
        <v>3</v>
      </c>
      <c r="G166" s="176">
        <v>3</v>
      </c>
      <c r="H166" s="176">
        <v>3</v>
      </c>
      <c r="I166" s="176">
        <v>3</v>
      </c>
      <c r="J166" s="176">
        <v>3</v>
      </c>
      <c r="K166" s="176">
        <v>3</v>
      </c>
      <c r="L166" s="176">
        <v>3</v>
      </c>
      <c r="M166" s="176">
        <v>3</v>
      </c>
      <c r="N166" s="176">
        <v>3</v>
      </c>
      <c r="O166" s="176">
        <v>3</v>
      </c>
      <c r="P166" s="176">
        <v>3</v>
      </c>
      <c r="Q166" s="176">
        <v>3</v>
      </c>
      <c r="R166" s="176">
        <v>3</v>
      </c>
      <c r="S166" s="176">
        <v>3</v>
      </c>
      <c r="T166" s="176">
        <v>3</v>
      </c>
      <c r="U166" s="176">
        <v>3</v>
      </c>
      <c r="V166" s="176">
        <v>3</v>
      </c>
      <c r="W166" s="176">
        <v>3</v>
      </c>
      <c r="X166" s="176">
        <v>3</v>
      </c>
      <c r="Y166" s="176">
        <v>3</v>
      </c>
      <c r="Z166" s="176">
        <v>3</v>
      </c>
      <c r="AA166" s="176">
        <v>3</v>
      </c>
      <c r="AB166" s="176">
        <v>3</v>
      </c>
      <c r="AC166" s="176">
        <v>3</v>
      </c>
      <c r="AD166" s="176">
        <v>3</v>
      </c>
      <c r="AE166" s="176">
        <v>3</v>
      </c>
      <c r="AF166" s="176">
        <v>3</v>
      </c>
      <c r="AG166" s="100">
        <v>3</v>
      </c>
      <c r="AH166" s="54"/>
      <c r="AI166" s="55"/>
      <c r="AK166" s="56"/>
    </row>
    <row r="167" spans="1:37" x14ac:dyDescent="0.25">
      <c r="A167" s="164" t="s">
        <v>191</v>
      </c>
      <c r="B167" s="176">
        <v>3</v>
      </c>
      <c r="C167" s="176">
        <v>3</v>
      </c>
      <c r="D167" s="176">
        <v>3</v>
      </c>
      <c r="E167" s="176">
        <v>3</v>
      </c>
      <c r="F167" s="176">
        <v>3</v>
      </c>
      <c r="G167" s="176">
        <v>3</v>
      </c>
      <c r="H167" s="176">
        <v>3</v>
      </c>
      <c r="I167" s="176">
        <v>3</v>
      </c>
      <c r="J167" s="176">
        <v>3</v>
      </c>
      <c r="K167" s="176">
        <v>3</v>
      </c>
      <c r="L167" s="176">
        <v>3</v>
      </c>
      <c r="M167" s="176">
        <v>3</v>
      </c>
      <c r="N167" s="176">
        <v>3</v>
      </c>
      <c r="O167" s="176">
        <v>3</v>
      </c>
      <c r="P167" s="176">
        <v>3</v>
      </c>
      <c r="Q167" s="176">
        <v>3</v>
      </c>
      <c r="R167" s="176">
        <v>3</v>
      </c>
      <c r="S167" s="176">
        <v>3</v>
      </c>
      <c r="T167" s="176">
        <v>3</v>
      </c>
      <c r="U167" s="176">
        <v>3</v>
      </c>
      <c r="V167" s="176">
        <v>3</v>
      </c>
      <c r="W167" s="176">
        <v>3</v>
      </c>
      <c r="X167" s="176">
        <v>3</v>
      </c>
      <c r="Y167" s="176">
        <v>3</v>
      </c>
      <c r="Z167" s="176">
        <v>3</v>
      </c>
      <c r="AA167" s="176">
        <v>3</v>
      </c>
      <c r="AB167" s="176">
        <v>3</v>
      </c>
      <c r="AC167" s="176">
        <v>3</v>
      </c>
      <c r="AD167" s="176">
        <v>3</v>
      </c>
      <c r="AE167" s="176">
        <v>3</v>
      </c>
      <c r="AF167" s="176">
        <v>3</v>
      </c>
      <c r="AG167" s="100">
        <v>3</v>
      </c>
      <c r="AH167" s="54"/>
      <c r="AI167" s="55"/>
      <c r="AK167" s="56"/>
    </row>
    <row r="168" spans="1:37" x14ac:dyDescent="0.25">
      <c r="A168" s="164" t="s">
        <v>192</v>
      </c>
      <c r="B168" s="176">
        <v>3</v>
      </c>
      <c r="C168" s="176">
        <v>3</v>
      </c>
      <c r="D168" s="176">
        <v>3</v>
      </c>
      <c r="E168" s="176">
        <v>3</v>
      </c>
      <c r="F168" s="176">
        <v>3</v>
      </c>
      <c r="G168" s="176">
        <v>3</v>
      </c>
      <c r="H168" s="176">
        <v>3</v>
      </c>
      <c r="I168" s="176">
        <v>3</v>
      </c>
      <c r="J168" s="176">
        <v>3</v>
      </c>
      <c r="K168" s="176">
        <v>3</v>
      </c>
      <c r="L168" s="176">
        <v>3</v>
      </c>
      <c r="M168" s="176">
        <v>3</v>
      </c>
      <c r="N168" s="176">
        <v>3</v>
      </c>
      <c r="O168" s="176">
        <v>3</v>
      </c>
      <c r="P168" s="176">
        <v>3</v>
      </c>
      <c r="Q168" s="176">
        <v>3</v>
      </c>
      <c r="R168" s="176">
        <v>3</v>
      </c>
      <c r="S168" s="176">
        <v>3</v>
      </c>
      <c r="T168" s="176">
        <v>3</v>
      </c>
      <c r="U168" s="176">
        <v>3</v>
      </c>
      <c r="V168" s="176">
        <v>3</v>
      </c>
      <c r="W168" s="176">
        <v>3</v>
      </c>
      <c r="X168" s="176">
        <v>3</v>
      </c>
      <c r="Y168" s="176">
        <v>3</v>
      </c>
      <c r="Z168" s="176">
        <v>3</v>
      </c>
      <c r="AA168" s="176">
        <v>3</v>
      </c>
      <c r="AB168" s="176">
        <v>3</v>
      </c>
      <c r="AC168" s="176">
        <v>3</v>
      </c>
      <c r="AD168" s="176">
        <v>3</v>
      </c>
      <c r="AE168" s="176">
        <v>3</v>
      </c>
      <c r="AF168" s="176">
        <v>3</v>
      </c>
      <c r="AG168" s="100">
        <v>3</v>
      </c>
      <c r="AH168" s="54"/>
      <c r="AI168" s="55"/>
      <c r="AK168" s="56"/>
    </row>
    <row r="169" spans="1:37" x14ac:dyDescent="0.25">
      <c r="A169" s="164" t="s">
        <v>193</v>
      </c>
      <c r="B169" s="176">
        <v>3</v>
      </c>
      <c r="C169" s="176">
        <v>3</v>
      </c>
      <c r="D169" s="176">
        <v>3</v>
      </c>
      <c r="E169" s="176">
        <v>3</v>
      </c>
      <c r="F169" s="176">
        <v>3</v>
      </c>
      <c r="G169" s="176">
        <v>3</v>
      </c>
      <c r="H169" s="176">
        <v>3</v>
      </c>
      <c r="I169" s="176">
        <v>3</v>
      </c>
      <c r="J169" s="176">
        <v>3</v>
      </c>
      <c r="K169" s="176">
        <v>3</v>
      </c>
      <c r="L169" s="176">
        <v>3</v>
      </c>
      <c r="M169" s="176">
        <v>3</v>
      </c>
      <c r="N169" s="176">
        <v>3</v>
      </c>
      <c r="O169" s="176">
        <v>3</v>
      </c>
      <c r="P169" s="176">
        <v>3</v>
      </c>
      <c r="Q169" s="176">
        <v>3</v>
      </c>
      <c r="R169" s="176">
        <v>3</v>
      </c>
      <c r="S169" s="176">
        <v>3</v>
      </c>
      <c r="T169" s="176">
        <v>3</v>
      </c>
      <c r="U169" s="176">
        <v>3</v>
      </c>
      <c r="V169" s="176">
        <v>3</v>
      </c>
      <c r="W169" s="176">
        <v>3</v>
      </c>
      <c r="X169" s="176">
        <v>3</v>
      </c>
      <c r="Y169" s="176">
        <v>3</v>
      </c>
      <c r="Z169" s="176">
        <v>3</v>
      </c>
      <c r="AA169" s="176">
        <v>3</v>
      </c>
      <c r="AB169" s="176">
        <v>3</v>
      </c>
      <c r="AC169" s="176">
        <v>3</v>
      </c>
      <c r="AD169" s="176">
        <v>3</v>
      </c>
      <c r="AE169" s="176">
        <v>3</v>
      </c>
      <c r="AF169" s="176">
        <v>3</v>
      </c>
      <c r="AG169" s="100">
        <v>3</v>
      </c>
      <c r="AH169" s="54"/>
      <c r="AI169" s="55"/>
      <c r="AK169" s="56"/>
    </row>
    <row r="170" spans="1:37" x14ac:dyDescent="0.25">
      <c r="A170" s="164" t="s">
        <v>194</v>
      </c>
      <c r="B170" s="176">
        <v>3</v>
      </c>
      <c r="C170" s="176">
        <v>3</v>
      </c>
      <c r="D170" s="176">
        <v>3</v>
      </c>
      <c r="E170" s="176">
        <v>3</v>
      </c>
      <c r="F170" s="176">
        <v>3</v>
      </c>
      <c r="G170" s="176">
        <v>3</v>
      </c>
      <c r="H170" s="176">
        <v>3</v>
      </c>
      <c r="I170" s="176">
        <v>3</v>
      </c>
      <c r="J170" s="176">
        <v>3</v>
      </c>
      <c r="K170" s="176">
        <v>3</v>
      </c>
      <c r="L170" s="176">
        <v>3</v>
      </c>
      <c r="M170" s="176">
        <v>3</v>
      </c>
      <c r="N170" s="176">
        <v>3</v>
      </c>
      <c r="O170" s="176">
        <v>3</v>
      </c>
      <c r="P170" s="176">
        <v>3</v>
      </c>
      <c r="Q170" s="176">
        <v>3</v>
      </c>
      <c r="R170" s="176">
        <v>3</v>
      </c>
      <c r="S170" s="176">
        <v>3</v>
      </c>
      <c r="T170" s="176">
        <v>3</v>
      </c>
      <c r="U170" s="176">
        <v>3</v>
      </c>
      <c r="V170" s="176">
        <v>3</v>
      </c>
      <c r="W170" s="176">
        <v>3</v>
      </c>
      <c r="X170" s="176">
        <v>3</v>
      </c>
      <c r="Y170" s="176">
        <v>3</v>
      </c>
      <c r="Z170" s="176">
        <v>3</v>
      </c>
      <c r="AA170" s="176">
        <v>3</v>
      </c>
      <c r="AB170" s="176">
        <v>3</v>
      </c>
      <c r="AC170" s="176">
        <v>3</v>
      </c>
      <c r="AD170" s="176">
        <v>3</v>
      </c>
      <c r="AE170" s="176">
        <v>3</v>
      </c>
      <c r="AF170" s="176">
        <v>3</v>
      </c>
      <c r="AG170" s="100">
        <v>3</v>
      </c>
      <c r="AH170" s="54"/>
      <c r="AI170" s="55"/>
      <c r="AK170" s="56"/>
    </row>
    <row r="171" spans="1:37" x14ac:dyDescent="0.25">
      <c r="A171" s="164" t="s">
        <v>195</v>
      </c>
      <c r="B171" s="176">
        <v>3</v>
      </c>
      <c r="C171" s="176">
        <v>3</v>
      </c>
      <c r="D171" s="176">
        <v>3</v>
      </c>
      <c r="E171" s="176">
        <v>3</v>
      </c>
      <c r="F171" s="176">
        <v>3</v>
      </c>
      <c r="G171" s="176">
        <v>3</v>
      </c>
      <c r="H171" s="176">
        <v>3</v>
      </c>
      <c r="I171" s="176">
        <v>3</v>
      </c>
      <c r="J171" s="176">
        <v>3</v>
      </c>
      <c r="K171" s="176">
        <v>3</v>
      </c>
      <c r="L171" s="176">
        <v>3</v>
      </c>
      <c r="M171" s="176">
        <v>3</v>
      </c>
      <c r="N171" s="176">
        <v>3</v>
      </c>
      <c r="O171" s="176">
        <v>3</v>
      </c>
      <c r="P171" s="176">
        <v>3</v>
      </c>
      <c r="Q171" s="176">
        <v>3</v>
      </c>
      <c r="R171" s="176">
        <v>3</v>
      </c>
      <c r="S171" s="176">
        <v>3</v>
      </c>
      <c r="T171" s="176">
        <v>3</v>
      </c>
      <c r="U171" s="176">
        <v>3</v>
      </c>
      <c r="V171" s="176">
        <v>3</v>
      </c>
      <c r="W171" s="176">
        <v>3</v>
      </c>
      <c r="X171" s="176">
        <v>3</v>
      </c>
      <c r="Y171" s="176">
        <v>3</v>
      </c>
      <c r="Z171" s="176">
        <v>3</v>
      </c>
      <c r="AA171" s="176">
        <v>3</v>
      </c>
      <c r="AB171" s="176">
        <v>3</v>
      </c>
      <c r="AC171" s="176">
        <v>3</v>
      </c>
      <c r="AD171" s="176">
        <v>3</v>
      </c>
      <c r="AE171" s="176">
        <v>3</v>
      </c>
      <c r="AF171" s="176">
        <v>3</v>
      </c>
      <c r="AG171" s="100">
        <v>3</v>
      </c>
      <c r="AH171" s="54"/>
      <c r="AI171" s="55"/>
      <c r="AK171" s="56"/>
    </row>
    <row r="172" spans="1:37" x14ac:dyDescent="0.25">
      <c r="A172" s="164" t="s">
        <v>196</v>
      </c>
      <c r="B172" s="176">
        <v>3</v>
      </c>
      <c r="C172" s="176">
        <v>3</v>
      </c>
      <c r="D172" s="176">
        <v>3</v>
      </c>
      <c r="E172" s="176">
        <v>3</v>
      </c>
      <c r="F172" s="176">
        <v>3</v>
      </c>
      <c r="G172" s="176">
        <v>3</v>
      </c>
      <c r="H172" s="176">
        <v>3</v>
      </c>
      <c r="I172" s="176">
        <v>3</v>
      </c>
      <c r="J172" s="176">
        <v>3</v>
      </c>
      <c r="K172" s="176">
        <v>3</v>
      </c>
      <c r="L172" s="176">
        <v>3</v>
      </c>
      <c r="M172" s="176">
        <v>3</v>
      </c>
      <c r="N172" s="176">
        <v>3</v>
      </c>
      <c r="O172" s="176">
        <v>3</v>
      </c>
      <c r="P172" s="176">
        <v>3</v>
      </c>
      <c r="Q172" s="176">
        <v>3</v>
      </c>
      <c r="R172" s="176">
        <v>3</v>
      </c>
      <c r="S172" s="176">
        <v>3</v>
      </c>
      <c r="T172" s="176">
        <v>3</v>
      </c>
      <c r="U172" s="176">
        <v>3</v>
      </c>
      <c r="V172" s="176">
        <v>3</v>
      </c>
      <c r="W172" s="176">
        <v>3</v>
      </c>
      <c r="X172" s="176">
        <v>3</v>
      </c>
      <c r="Y172" s="176">
        <v>3</v>
      </c>
      <c r="Z172" s="176">
        <v>3</v>
      </c>
      <c r="AA172" s="176">
        <v>3</v>
      </c>
      <c r="AB172" s="176">
        <v>3</v>
      </c>
      <c r="AC172" s="176">
        <v>3</v>
      </c>
      <c r="AD172" s="176">
        <v>3</v>
      </c>
      <c r="AE172" s="176">
        <v>3</v>
      </c>
      <c r="AF172" s="176">
        <v>3</v>
      </c>
      <c r="AG172" s="100">
        <v>3</v>
      </c>
      <c r="AH172" s="54"/>
      <c r="AI172" s="55"/>
      <c r="AK172" s="56"/>
    </row>
    <row r="173" spans="1:37" x14ac:dyDescent="0.25">
      <c r="A173" s="164" t="s">
        <v>197</v>
      </c>
      <c r="B173" s="176">
        <v>3</v>
      </c>
      <c r="C173" s="176">
        <v>3</v>
      </c>
      <c r="D173" s="176">
        <v>3</v>
      </c>
      <c r="E173" s="176">
        <v>3</v>
      </c>
      <c r="F173" s="176">
        <v>3</v>
      </c>
      <c r="G173" s="176">
        <v>3</v>
      </c>
      <c r="H173" s="176">
        <v>3</v>
      </c>
      <c r="I173" s="176">
        <v>3</v>
      </c>
      <c r="J173" s="176">
        <v>3</v>
      </c>
      <c r="K173" s="176">
        <v>3</v>
      </c>
      <c r="L173" s="176">
        <v>3</v>
      </c>
      <c r="M173" s="176">
        <v>3</v>
      </c>
      <c r="N173" s="176">
        <v>3</v>
      </c>
      <c r="O173" s="176">
        <v>3</v>
      </c>
      <c r="P173" s="176">
        <v>3</v>
      </c>
      <c r="Q173" s="176">
        <v>3</v>
      </c>
      <c r="R173" s="176">
        <v>3</v>
      </c>
      <c r="S173" s="176">
        <v>3</v>
      </c>
      <c r="T173" s="176">
        <v>3</v>
      </c>
      <c r="U173" s="176">
        <v>3</v>
      </c>
      <c r="V173" s="176">
        <v>3</v>
      </c>
      <c r="W173" s="176">
        <v>3</v>
      </c>
      <c r="X173" s="176">
        <v>3</v>
      </c>
      <c r="Y173" s="176">
        <v>3</v>
      </c>
      <c r="Z173" s="176">
        <v>3</v>
      </c>
      <c r="AA173" s="176">
        <v>3</v>
      </c>
      <c r="AB173" s="176">
        <v>3</v>
      </c>
      <c r="AC173" s="176">
        <v>3</v>
      </c>
      <c r="AD173" s="176">
        <v>3</v>
      </c>
      <c r="AE173" s="176">
        <v>3</v>
      </c>
      <c r="AF173" s="176">
        <v>3</v>
      </c>
      <c r="AG173" s="100">
        <v>3</v>
      </c>
      <c r="AH173" s="54"/>
      <c r="AI173" s="55"/>
      <c r="AK173" s="56"/>
    </row>
    <row r="174" spans="1:37" x14ac:dyDescent="0.25">
      <c r="A174" s="164" t="s">
        <v>198</v>
      </c>
      <c r="B174" s="176">
        <v>3</v>
      </c>
      <c r="C174" s="176">
        <v>3</v>
      </c>
      <c r="D174" s="176">
        <v>3</v>
      </c>
      <c r="E174" s="176">
        <v>3</v>
      </c>
      <c r="F174" s="176">
        <v>3</v>
      </c>
      <c r="G174" s="176">
        <v>3</v>
      </c>
      <c r="H174" s="176">
        <v>3</v>
      </c>
      <c r="I174" s="176">
        <v>3</v>
      </c>
      <c r="J174" s="176">
        <v>3</v>
      </c>
      <c r="K174" s="176">
        <v>3</v>
      </c>
      <c r="L174" s="176">
        <v>3</v>
      </c>
      <c r="M174" s="176">
        <v>3</v>
      </c>
      <c r="N174" s="176">
        <v>3</v>
      </c>
      <c r="O174" s="176">
        <v>3</v>
      </c>
      <c r="P174" s="176">
        <v>3</v>
      </c>
      <c r="Q174" s="176">
        <v>3</v>
      </c>
      <c r="R174" s="176">
        <v>3</v>
      </c>
      <c r="S174" s="176">
        <v>3</v>
      </c>
      <c r="T174" s="176">
        <v>3</v>
      </c>
      <c r="U174" s="176">
        <v>3</v>
      </c>
      <c r="V174" s="176">
        <v>3</v>
      </c>
      <c r="W174" s="176">
        <v>3</v>
      </c>
      <c r="X174" s="176">
        <v>3</v>
      </c>
      <c r="Y174" s="176">
        <v>3</v>
      </c>
      <c r="Z174" s="176">
        <v>3</v>
      </c>
      <c r="AA174" s="176">
        <v>3</v>
      </c>
      <c r="AB174" s="176">
        <v>3</v>
      </c>
      <c r="AC174" s="176">
        <v>3</v>
      </c>
      <c r="AD174" s="176">
        <v>3</v>
      </c>
      <c r="AE174" s="176">
        <v>3</v>
      </c>
      <c r="AF174" s="176">
        <v>3</v>
      </c>
      <c r="AG174" s="100">
        <v>3</v>
      </c>
      <c r="AH174" s="54"/>
      <c r="AI174" s="55"/>
      <c r="AK174" s="56"/>
    </row>
    <row r="175" spans="1:37" x14ac:dyDescent="0.25">
      <c r="A175" s="164" t="s">
        <v>199</v>
      </c>
      <c r="B175" s="176">
        <v>2.83</v>
      </c>
      <c r="C175" s="176">
        <v>2.83</v>
      </c>
      <c r="D175" s="176">
        <v>2.83</v>
      </c>
      <c r="E175" s="176">
        <v>2.83</v>
      </c>
      <c r="F175" s="176">
        <v>2.83</v>
      </c>
      <c r="G175" s="176">
        <v>2.83</v>
      </c>
      <c r="H175" s="176">
        <v>2.83</v>
      </c>
      <c r="I175" s="176">
        <v>2.83</v>
      </c>
      <c r="J175" s="176">
        <v>2.83</v>
      </c>
      <c r="K175" s="176">
        <v>2.83</v>
      </c>
      <c r="L175" s="176">
        <v>2.83</v>
      </c>
      <c r="M175" s="176">
        <v>2.83</v>
      </c>
      <c r="N175" s="176">
        <v>2.83</v>
      </c>
      <c r="O175" s="176">
        <v>2.83</v>
      </c>
      <c r="P175" s="176">
        <v>2.83</v>
      </c>
      <c r="Q175" s="176">
        <v>2.83</v>
      </c>
      <c r="R175" s="176">
        <v>2.83</v>
      </c>
      <c r="S175" s="176">
        <v>2.83</v>
      </c>
      <c r="T175" s="176">
        <v>2.83</v>
      </c>
      <c r="U175" s="176">
        <v>2.83</v>
      </c>
      <c r="V175" s="176">
        <v>2.83</v>
      </c>
      <c r="W175" s="176">
        <v>2.83</v>
      </c>
      <c r="X175" s="176">
        <v>2.83</v>
      </c>
      <c r="Y175" s="176">
        <v>2.83</v>
      </c>
      <c r="Z175" s="176">
        <v>2.83</v>
      </c>
      <c r="AA175" s="176">
        <v>2.83</v>
      </c>
      <c r="AB175" s="176">
        <v>2.83</v>
      </c>
      <c r="AC175" s="176">
        <v>2.83</v>
      </c>
      <c r="AD175" s="176">
        <v>2.83</v>
      </c>
      <c r="AE175" s="176">
        <v>2.83</v>
      </c>
      <c r="AF175" s="176">
        <v>2.83</v>
      </c>
      <c r="AG175" s="100">
        <v>2.83</v>
      </c>
      <c r="AH175" s="54"/>
      <c r="AI175" s="55"/>
      <c r="AK175" s="56"/>
    </row>
    <row r="176" spans="1:37" x14ac:dyDescent="0.25">
      <c r="A176" s="164" t="s">
        <v>200</v>
      </c>
      <c r="B176" s="176">
        <v>2.5</v>
      </c>
      <c r="C176" s="176">
        <v>2.5</v>
      </c>
      <c r="D176" s="176">
        <v>2.5</v>
      </c>
      <c r="E176" s="176">
        <v>2.5</v>
      </c>
      <c r="F176" s="176">
        <v>2.5</v>
      </c>
      <c r="G176" s="176">
        <v>2.5</v>
      </c>
      <c r="H176" s="176">
        <v>2.5</v>
      </c>
      <c r="I176" s="176">
        <v>2.5</v>
      </c>
      <c r="J176" s="176">
        <v>2.5</v>
      </c>
      <c r="K176" s="176">
        <v>2.5</v>
      </c>
      <c r="L176" s="176">
        <v>2.5</v>
      </c>
      <c r="M176" s="176">
        <v>2.5</v>
      </c>
      <c r="N176" s="176">
        <v>2.5</v>
      </c>
      <c r="O176" s="176">
        <v>2.5</v>
      </c>
      <c r="P176" s="176">
        <v>2.5</v>
      </c>
      <c r="Q176" s="176">
        <v>2.5</v>
      </c>
      <c r="R176" s="176">
        <v>2.5</v>
      </c>
      <c r="S176" s="176">
        <v>2.5</v>
      </c>
      <c r="T176" s="176">
        <v>2.5</v>
      </c>
      <c r="U176" s="176">
        <v>2.5</v>
      </c>
      <c r="V176" s="176">
        <v>2.5</v>
      </c>
      <c r="W176" s="176">
        <v>2.5</v>
      </c>
      <c r="X176" s="176">
        <v>2.5</v>
      </c>
      <c r="Y176" s="176">
        <v>2.5</v>
      </c>
      <c r="Z176" s="176">
        <v>2.5</v>
      </c>
      <c r="AA176" s="176">
        <v>2.5</v>
      </c>
      <c r="AB176" s="176">
        <v>2.5</v>
      </c>
      <c r="AC176" s="176">
        <v>2.5</v>
      </c>
      <c r="AD176" s="176">
        <v>2.5</v>
      </c>
      <c r="AE176" s="176">
        <v>2.5</v>
      </c>
      <c r="AF176" s="176">
        <v>2.5</v>
      </c>
      <c r="AG176" s="100">
        <v>2.5</v>
      </c>
      <c r="AH176" s="54"/>
      <c r="AI176" s="55"/>
      <c r="AK176" s="56"/>
    </row>
    <row r="177" spans="1:37" x14ac:dyDescent="0.25">
      <c r="A177" s="164" t="s">
        <v>201</v>
      </c>
      <c r="B177" s="176">
        <v>2.5</v>
      </c>
      <c r="C177" s="176">
        <v>2.5</v>
      </c>
      <c r="D177" s="176">
        <v>2.5</v>
      </c>
      <c r="E177" s="176">
        <v>2.5</v>
      </c>
      <c r="F177" s="176">
        <v>2.5</v>
      </c>
      <c r="G177" s="176">
        <v>2.5</v>
      </c>
      <c r="H177" s="176">
        <v>2.5</v>
      </c>
      <c r="I177" s="176">
        <v>2.5</v>
      </c>
      <c r="J177" s="176">
        <v>2.5</v>
      </c>
      <c r="K177" s="176">
        <v>2.5</v>
      </c>
      <c r="L177" s="176">
        <v>2.5</v>
      </c>
      <c r="M177" s="176">
        <v>2.5</v>
      </c>
      <c r="N177" s="176">
        <v>2.5</v>
      </c>
      <c r="O177" s="176">
        <v>2.5</v>
      </c>
      <c r="P177" s="176">
        <v>2.5</v>
      </c>
      <c r="Q177" s="176">
        <v>2.5</v>
      </c>
      <c r="R177" s="176">
        <v>2.5</v>
      </c>
      <c r="S177" s="176">
        <v>2.5</v>
      </c>
      <c r="T177" s="176">
        <v>2.5</v>
      </c>
      <c r="U177" s="176">
        <v>2.5</v>
      </c>
      <c r="V177" s="176">
        <v>2.5</v>
      </c>
      <c r="W177" s="176">
        <v>2.5</v>
      </c>
      <c r="X177" s="176">
        <v>2.5</v>
      </c>
      <c r="Y177" s="176">
        <v>2.5</v>
      </c>
      <c r="Z177" s="176">
        <v>2.5</v>
      </c>
      <c r="AA177" s="176">
        <v>2.5</v>
      </c>
      <c r="AB177" s="176">
        <v>2.5</v>
      </c>
      <c r="AC177" s="176">
        <v>2.5</v>
      </c>
      <c r="AD177" s="176">
        <v>2.5</v>
      </c>
      <c r="AE177" s="176">
        <v>2.5</v>
      </c>
      <c r="AF177" s="176">
        <v>2.5</v>
      </c>
      <c r="AG177" s="100">
        <v>2.5</v>
      </c>
      <c r="AH177" s="54"/>
      <c r="AI177" s="55"/>
      <c r="AK177" s="56"/>
    </row>
    <row r="178" spans="1:37" x14ac:dyDescent="0.25">
      <c r="A178" s="164" t="s">
        <v>202</v>
      </c>
      <c r="B178" s="176">
        <v>2.4</v>
      </c>
      <c r="C178" s="176">
        <v>2.4</v>
      </c>
      <c r="D178" s="176">
        <v>2.4</v>
      </c>
      <c r="E178" s="176">
        <v>2.4</v>
      </c>
      <c r="F178" s="176">
        <v>2.4</v>
      </c>
      <c r="G178" s="176">
        <v>2.4</v>
      </c>
      <c r="H178" s="176">
        <v>2.4</v>
      </c>
      <c r="I178" s="176">
        <v>2.4</v>
      </c>
      <c r="J178" s="176">
        <v>2.4</v>
      </c>
      <c r="K178" s="176">
        <v>2.4</v>
      </c>
      <c r="L178" s="176">
        <v>2.4</v>
      </c>
      <c r="M178" s="176">
        <v>2.4</v>
      </c>
      <c r="N178" s="176">
        <v>2.4</v>
      </c>
      <c r="O178" s="176">
        <v>2.4</v>
      </c>
      <c r="P178" s="176">
        <v>2.4</v>
      </c>
      <c r="Q178" s="176">
        <v>2.4</v>
      </c>
      <c r="R178" s="176">
        <v>2.4</v>
      </c>
      <c r="S178" s="176">
        <v>2.4</v>
      </c>
      <c r="T178" s="176">
        <v>2.4</v>
      </c>
      <c r="U178" s="176">
        <v>2.4</v>
      </c>
      <c r="V178" s="176">
        <v>2.4</v>
      </c>
      <c r="W178" s="176">
        <v>2.4</v>
      </c>
      <c r="X178" s="176">
        <v>2.4</v>
      </c>
      <c r="Y178" s="176">
        <v>2.4</v>
      </c>
      <c r="Z178" s="176">
        <v>2.4</v>
      </c>
      <c r="AA178" s="176">
        <v>2.4</v>
      </c>
      <c r="AB178" s="176">
        <v>2.4</v>
      </c>
      <c r="AC178" s="176">
        <v>2.4</v>
      </c>
      <c r="AD178" s="176">
        <v>2.4</v>
      </c>
      <c r="AE178" s="176">
        <v>2.4</v>
      </c>
      <c r="AF178" s="176">
        <v>2.4</v>
      </c>
      <c r="AG178" s="100">
        <v>2.4</v>
      </c>
      <c r="AH178" s="54"/>
      <c r="AI178" s="55"/>
      <c r="AK178" s="56"/>
    </row>
    <row r="179" spans="1:37" x14ac:dyDescent="0.25">
      <c r="A179" s="164" t="s">
        <v>203</v>
      </c>
      <c r="B179" s="176">
        <v>2.4</v>
      </c>
      <c r="C179" s="176">
        <v>2.4</v>
      </c>
      <c r="D179" s="176">
        <v>2.4</v>
      </c>
      <c r="E179" s="176">
        <v>2.4</v>
      </c>
      <c r="F179" s="176">
        <v>2.4</v>
      </c>
      <c r="G179" s="176">
        <v>2.4</v>
      </c>
      <c r="H179" s="176">
        <v>2.4</v>
      </c>
      <c r="I179" s="176">
        <v>2.4</v>
      </c>
      <c r="J179" s="176">
        <v>2.4</v>
      </c>
      <c r="K179" s="176">
        <v>2.4</v>
      </c>
      <c r="L179" s="176">
        <v>2.4</v>
      </c>
      <c r="M179" s="176">
        <v>2.4</v>
      </c>
      <c r="N179" s="176">
        <v>2.4</v>
      </c>
      <c r="O179" s="176">
        <v>2.4</v>
      </c>
      <c r="P179" s="176">
        <v>2.4</v>
      </c>
      <c r="Q179" s="176">
        <v>2.4</v>
      </c>
      <c r="R179" s="176">
        <v>2.4</v>
      </c>
      <c r="S179" s="176">
        <v>2.4</v>
      </c>
      <c r="T179" s="176">
        <v>2.4</v>
      </c>
      <c r="U179" s="176">
        <v>2.4</v>
      </c>
      <c r="V179" s="176">
        <v>2.4</v>
      </c>
      <c r="W179" s="176">
        <v>2.4</v>
      </c>
      <c r="X179" s="176">
        <v>2.4</v>
      </c>
      <c r="Y179" s="176">
        <v>2.4</v>
      </c>
      <c r="Z179" s="176">
        <v>2.4</v>
      </c>
      <c r="AA179" s="176">
        <v>2.4</v>
      </c>
      <c r="AB179" s="176">
        <v>2.4</v>
      </c>
      <c r="AC179" s="176">
        <v>2.4</v>
      </c>
      <c r="AD179" s="176">
        <v>2.4</v>
      </c>
      <c r="AE179" s="176">
        <v>2.4</v>
      </c>
      <c r="AF179" s="176">
        <v>2.4</v>
      </c>
      <c r="AG179" s="100">
        <v>2.4</v>
      </c>
      <c r="AH179" s="54"/>
      <c r="AI179" s="55"/>
      <c r="AK179" s="56"/>
    </row>
    <row r="180" spans="1:37" x14ac:dyDescent="0.25">
      <c r="A180" s="164" t="s">
        <v>204</v>
      </c>
      <c r="B180" s="176">
        <v>2.2000000000000002</v>
      </c>
      <c r="C180" s="176">
        <v>2.2000000000000002</v>
      </c>
      <c r="D180" s="176">
        <v>2.2000000000000002</v>
      </c>
      <c r="E180" s="176">
        <v>2.2000000000000002</v>
      </c>
      <c r="F180" s="176">
        <v>2.2000000000000002</v>
      </c>
      <c r="G180" s="176">
        <v>2.2000000000000002</v>
      </c>
      <c r="H180" s="176">
        <v>2.2000000000000002</v>
      </c>
      <c r="I180" s="176">
        <v>2.2000000000000002</v>
      </c>
      <c r="J180" s="176">
        <v>2.2000000000000002</v>
      </c>
      <c r="K180" s="176">
        <v>2.2000000000000002</v>
      </c>
      <c r="L180" s="176">
        <v>2.2000000000000002</v>
      </c>
      <c r="M180" s="176">
        <v>2.2000000000000002</v>
      </c>
      <c r="N180" s="176">
        <v>2.2000000000000002</v>
      </c>
      <c r="O180" s="176">
        <v>2.2000000000000002</v>
      </c>
      <c r="P180" s="176">
        <v>2.2000000000000002</v>
      </c>
      <c r="Q180" s="176">
        <v>2.2000000000000002</v>
      </c>
      <c r="R180" s="176">
        <v>2.2000000000000002</v>
      </c>
      <c r="S180" s="176">
        <v>2.2000000000000002</v>
      </c>
      <c r="T180" s="176">
        <v>2.2000000000000002</v>
      </c>
      <c r="U180" s="176">
        <v>2.2000000000000002</v>
      </c>
      <c r="V180" s="176">
        <v>2.2000000000000002</v>
      </c>
      <c r="W180" s="176">
        <v>2.2000000000000002</v>
      </c>
      <c r="X180" s="176">
        <v>2.2000000000000002</v>
      </c>
      <c r="Y180" s="176">
        <v>2.2000000000000002</v>
      </c>
      <c r="Z180" s="176">
        <v>2.2000000000000002</v>
      </c>
      <c r="AA180" s="176">
        <v>2.2000000000000002</v>
      </c>
      <c r="AB180" s="176">
        <v>2.2000000000000002</v>
      </c>
      <c r="AC180" s="176">
        <v>2.2000000000000002</v>
      </c>
      <c r="AD180" s="176">
        <v>2.2000000000000002</v>
      </c>
      <c r="AE180" s="176">
        <v>2.2000000000000002</v>
      </c>
      <c r="AF180" s="176">
        <v>2.2000000000000002</v>
      </c>
      <c r="AG180" s="100">
        <v>2.2000000000000002</v>
      </c>
      <c r="AH180" s="54"/>
      <c r="AI180" s="55"/>
      <c r="AK180" s="56"/>
    </row>
    <row r="181" spans="1:37" x14ac:dyDescent="0.25">
      <c r="A181" s="164" t="s">
        <v>205</v>
      </c>
      <c r="B181" s="176">
        <v>2</v>
      </c>
      <c r="C181" s="176">
        <v>2</v>
      </c>
      <c r="D181" s="176">
        <v>2</v>
      </c>
      <c r="E181" s="176">
        <v>2</v>
      </c>
      <c r="F181" s="176">
        <v>2</v>
      </c>
      <c r="G181" s="176">
        <v>2</v>
      </c>
      <c r="H181" s="176">
        <v>2</v>
      </c>
      <c r="I181" s="176">
        <v>2</v>
      </c>
      <c r="J181" s="176">
        <v>2</v>
      </c>
      <c r="K181" s="176">
        <v>2</v>
      </c>
      <c r="L181" s="176">
        <v>2</v>
      </c>
      <c r="M181" s="176">
        <v>2</v>
      </c>
      <c r="N181" s="176">
        <v>2</v>
      </c>
      <c r="O181" s="176">
        <v>2</v>
      </c>
      <c r="P181" s="176">
        <v>2</v>
      </c>
      <c r="Q181" s="176">
        <v>2</v>
      </c>
      <c r="R181" s="176">
        <v>2</v>
      </c>
      <c r="S181" s="176">
        <v>2</v>
      </c>
      <c r="T181" s="176">
        <v>2</v>
      </c>
      <c r="U181" s="176">
        <v>2</v>
      </c>
      <c r="V181" s="176">
        <v>2</v>
      </c>
      <c r="W181" s="176">
        <v>2</v>
      </c>
      <c r="X181" s="176">
        <v>2</v>
      </c>
      <c r="Y181" s="176">
        <v>2</v>
      </c>
      <c r="Z181" s="176">
        <v>2</v>
      </c>
      <c r="AA181" s="176">
        <v>2</v>
      </c>
      <c r="AB181" s="176">
        <v>2</v>
      </c>
      <c r="AC181" s="176">
        <v>2</v>
      </c>
      <c r="AD181" s="176">
        <v>2</v>
      </c>
      <c r="AE181" s="176">
        <v>2</v>
      </c>
      <c r="AF181" s="176">
        <v>2</v>
      </c>
      <c r="AG181" s="100">
        <v>2</v>
      </c>
      <c r="AH181" s="54"/>
      <c r="AI181" s="55"/>
      <c r="AK181" s="56"/>
    </row>
    <row r="182" spans="1:37" x14ac:dyDescent="0.25">
      <c r="A182" s="164" t="s">
        <v>206</v>
      </c>
      <c r="B182" s="176">
        <v>2</v>
      </c>
      <c r="C182" s="176">
        <v>2</v>
      </c>
      <c r="D182" s="176">
        <v>2</v>
      </c>
      <c r="E182" s="176">
        <v>2</v>
      </c>
      <c r="F182" s="176">
        <v>2</v>
      </c>
      <c r="G182" s="176">
        <v>2</v>
      </c>
      <c r="H182" s="176">
        <v>2</v>
      </c>
      <c r="I182" s="176">
        <v>2</v>
      </c>
      <c r="J182" s="176">
        <v>2</v>
      </c>
      <c r="K182" s="176">
        <v>2</v>
      </c>
      <c r="L182" s="176">
        <v>2</v>
      </c>
      <c r="M182" s="176">
        <v>2</v>
      </c>
      <c r="N182" s="176">
        <v>2</v>
      </c>
      <c r="O182" s="176">
        <v>2</v>
      </c>
      <c r="P182" s="176">
        <v>2</v>
      </c>
      <c r="Q182" s="176">
        <v>2</v>
      </c>
      <c r="R182" s="176">
        <v>2</v>
      </c>
      <c r="S182" s="176">
        <v>2</v>
      </c>
      <c r="T182" s="176">
        <v>2</v>
      </c>
      <c r="U182" s="176">
        <v>2</v>
      </c>
      <c r="V182" s="176">
        <v>2</v>
      </c>
      <c r="W182" s="176">
        <v>2</v>
      </c>
      <c r="X182" s="176">
        <v>2</v>
      </c>
      <c r="Y182" s="176">
        <v>2</v>
      </c>
      <c r="Z182" s="176">
        <v>2</v>
      </c>
      <c r="AA182" s="176">
        <v>2</v>
      </c>
      <c r="AB182" s="176">
        <v>2</v>
      </c>
      <c r="AC182" s="176">
        <v>2</v>
      </c>
      <c r="AD182" s="176">
        <v>2</v>
      </c>
      <c r="AE182" s="176">
        <v>2</v>
      </c>
      <c r="AF182" s="176">
        <v>2</v>
      </c>
      <c r="AG182" s="100">
        <v>2</v>
      </c>
      <c r="AH182" s="54"/>
      <c r="AI182" s="55"/>
      <c r="AK182" s="56"/>
    </row>
    <row r="183" spans="1:37" x14ac:dyDescent="0.25">
      <c r="A183" s="164" t="s">
        <v>207</v>
      </c>
      <c r="B183" s="176">
        <v>2</v>
      </c>
      <c r="C183" s="176">
        <v>2</v>
      </c>
      <c r="D183" s="176">
        <v>2</v>
      </c>
      <c r="E183" s="176">
        <v>2</v>
      </c>
      <c r="F183" s="176">
        <v>2</v>
      </c>
      <c r="G183" s="176">
        <v>2</v>
      </c>
      <c r="H183" s="176">
        <v>2</v>
      </c>
      <c r="I183" s="176">
        <v>2</v>
      </c>
      <c r="J183" s="176">
        <v>2</v>
      </c>
      <c r="K183" s="176">
        <v>2</v>
      </c>
      <c r="L183" s="176">
        <v>2</v>
      </c>
      <c r="M183" s="176">
        <v>2</v>
      </c>
      <c r="N183" s="176">
        <v>2</v>
      </c>
      <c r="O183" s="176">
        <v>2</v>
      </c>
      <c r="P183" s="176">
        <v>2</v>
      </c>
      <c r="Q183" s="176">
        <v>2</v>
      </c>
      <c r="R183" s="176">
        <v>2</v>
      </c>
      <c r="S183" s="176">
        <v>2</v>
      </c>
      <c r="T183" s="176">
        <v>2</v>
      </c>
      <c r="U183" s="176">
        <v>2</v>
      </c>
      <c r="V183" s="176">
        <v>2</v>
      </c>
      <c r="W183" s="176">
        <v>2</v>
      </c>
      <c r="X183" s="176">
        <v>2</v>
      </c>
      <c r="Y183" s="176">
        <v>2</v>
      </c>
      <c r="Z183" s="176">
        <v>2</v>
      </c>
      <c r="AA183" s="176">
        <v>2</v>
      </c>
      <c r="AB183" s="176">
        <v>2</v>
      </c>
      <c r="AC183" s="176">
        <v>2</v>
      </c>
      <c r="AD183" s="176">
        <v>2</v>
      </c>
      <c r="AE183" s="176">
        <v>2</v>
      </c>
      <c r="AF183" s="176">
        <v>2</v>
      </c>
      <c r="AG183" s="100">
        <v>2</v>
      </c>
      <c r="AH183" s="54"/>
      <c r="AI183" s="55"/>
      <c r="AK183" s="56"/>
    </row>
    <row r="184" spans="1:37" x14ac:dyDescent="0.25">
      <c r="A184" s="164" t="s">
        <v>208</v>
      </c>
      <c r="B184" s="176">
        <v>1.8</v>
      </c>
      <c r="C184" s="176">
        <v>1.8</v>
      </c>
      <c r="D184" s="176">
        <v>1.8</v>
      </c>
      <c r="E184" s="176">
        <v>1.8</v>
      </c>
      <c r="F184" s="176">
        <v>1.8</v>
      </c>
      <c r="G184" s="176">
        <v>1.8</v>
      </c>
      <c r="H184" s="176">
        <v>1.8</v>
      </c>
      <c r="I184" s="176">
        <v>1.8</v>
      </c>
      <c r="J184" s="176">
        <v>1.8</v>
      </c>
      <c r="K184" s="176">
        <v>1.8</v>
      </c>
      <c r="L184" s="176">
        <v>1.8</v>
      </c>
      <c r="M184" s="176">
        <v>1.8</v>
      </c>
      <c r="N184" s="176">
        <v>1.8</v>
      </c>
      <c r="O184" s="176">
        <v>1.8</v>
      </c>
      <c r="P184" s="176">
        <v>1.8</v>
      </c>
      <c r="Q184" s="176">
        <v>1.8</v>
      </c>
      <c r="R184" s="176">
        <v>1.8</v>
      </c>
      <c r="S184" s="176">
        <v>1.8</v>
      </c>
      <c r="T184" s="176">
        <v>1.8</v>
      </c>
      <c r="U184" s="176">
        <v>1.8</v>
      </c>
      <c r="V184" s="176">
        <v>1.8</v>
      </c>
      <c r="W184" s="176">
        <v>1.8</v>
      </c>
      <c r="X184" s="176">
        <v>1.8</v>
      </c>
      <c r="Y184" s="176">
        <v>1.8</v>
      </c>
      <c r="Z184" s="176">
        <v>1.8</v>
      </c>
      <c r="AA184" s="176">
        <v>1.8</v>
      </c>
      <c r="AB184" s="176">
        <v>1.8</v>
      </c>
      <c r="AC184" s="176">
        <v>1.8</v>
      </c>
      <c r="AD184" s="176">
        <v>1.8</v>
      </c>
      <c r="AE184" s="176">
        <v>1.8</v>
      </c>
      <c r="AF184" s="176">
        <v>1.8</v>
      </c>
      <c r="AG184" s="100">
        <v>1.8</v>
      </c>
      <c r="AH184" s="54"/>
      <c r="AI184" s="55"/>
      <c r="AK184" s="56"/>
    </row>
    <row r="185" spans="1:37" x14ac:dyDescent="0.25">
      <c r="A185" s="164" t="s">
        <v>209</v>
      </c>
      <c r="B185" s="176">
        <v>1.8</v>
      </c>
      <c r="C185" s="176">
        <v>1.8</v>
      </c>
      <c r="D185" s="176">
        <v>1.8</v>
      </c>
      <c r="E185" s="176">
        <v>1.8</v>
      </c>
      <c r="F185" s="176">
        <v>1.8</v>
      </c>
      <c r="G185" s="176">
        <v>1.8</v>
      </c>
      <c r="H185" s="176">
        <v>1.8</v>
      </c>
      <c r="I185" s="176">
        <v>1.8</v>
      </c>
      <c r="J185" s="176">
        <v>1.8</v>
      </c>
      <c r="K185" s="176">
        <v>1.8</v>
      </c>
      <c r="L185" s="176">
        <v>1.8</v>
      </c>
      <c r="M185" s="176">
        <v>1.8</v>
      </c>
      <c r="N185" s="176">
        <v>1.8</v>
      </c>
      <c r="O185" s="176">
        <v>1.8</v>
      </c>
      <c r="P185" s="176">
        <v>1.8</v>
      </c>
      <c r="Q185" s="176">
        <v>1.8</v>
      </c>
      <c r="R185" s="176">
        <v>1.8</v>
      </c>
      <c r="S185" s="176">
        <v>1.8</v>
      </c>
      <c r="T185" s="176">
        <v>1.8</v>
      </c>
      <c r="U185" s="176">
        <v>1.8</v>
      </c>
      <c r="V185" s="176">
        <v>1.8</v>
      </c>
      <c r="W185" s="176">
        <v>1.8</v>
      </c>
      <c r="X185" s="176">
        <v>1.8</v>
      </c>
      <c r="Y185" s="176">
        <v>1.8</v>
      </c>
      <c r="Z185" s="176">
        <v>1.8</v>
      </c>
      <c r="AA185" s="176">
        <v>1.8</v>
      </c>
      <c r="AB185" s="176">
        <v>1.8</v>
      </c>
      <c r="AC185" s="176">
        <v>1.8</v>
      </c>
      <c r="AD185" s="176">
        <v>1.8</v>
      </c>
      <c r="AE185" s="176">
        <v>1.8</v>
      </c>
      <c r="AF185" s="176">
        <v>1.8</v>
      </c>
      <c r="AG185" s="100">
        <v>1.8</v>
      </c>
      <c r="AH185" s="54"/>
      <c r="AI185" s="55"/>
      <c r="AK185" s="56"/>
    </row>
    <row r="186" spans="1:37" x14ac:dyDescent="0.25">
      <c r="A186" s="164" t="s">
        <v>210</v>
      </c>
      <c r="B186" s="176">
        <v>1.65</v>
      </c>
      <c r="C186" s="176">
        <v>1.65</v>
      </c>
      <c r="D186" s="176">
        <v>1.65</v>
      </c>
      <c r="E186" s="176">
        <v>1.65</v>
      </c>
      <c r="F186" s="176">
        <v>1.65</v>
      </c>
      <c r="G186" s="176">
        <v>1.65</v>
      </c>
      <c r="H186" s="176">
        <v>1.65</v>
      </c>
      <c r="I186" s="176">
        <v>1.65</v>
      </c>
      <c r="J186" s="176">
        <v>1.65</v>
      </c>
      <c r="K186" s="176">
        <v>1.65</v>
      </c>
      <c r="L186" s="176">
        <v>1.65</v>
      </c>
      <c r="M186" s="176">
        <v>1.65</v>
      </c>
      <c r="N186" s="176">
        <v>1.65</v>
      </c>
      <c r="O186" s="176">
        <v>1.65</v>
      </c>
      <c r="P186" s="176">
        <v>1.65</v>
      </c>
      <c r="Q186" s="176">
        <v>1.65</v>
      </c>
      <c r="R186" s="176">
        <v>1.65</v>
      </c>
      <c r="S186" s="176">
        <v>1.65</v>
      </c>
      <c r="T186" s="176">
        <v>1.65</v>
      </c>
      <c r="U186" s="176">
        <v>1.65</v>
      </c>
      <c r="V186" s="176">
        <v>1.65</v>
      </c>
      <c r="W186" s="176">
        <v>1.65</v>
      </c>
      <c r="X186" s="176">
        <v>1.65</v>
      </c>
      <c r="Y186" s="176">
        <v>1.65</v>
      </c>
      <c r="Z186" s="176">
        <v>1.65</v>
      </c>
      <c r="AA186" s="176">
        <v>1.65</v>
      </c>
      <c r="AB186" s="176">
        <v>1.65</v>
      </c>
      <c r="AC186" s="176">
        <v>1.65</v>
      </c>
      <c r="AD186" s="176">
        <v>1.65</v>
      </c>
      <c r="AE186" s="176">
        <v>1.65</v>
      </c>
      <c r="AF186" s="176">
        <v>1.65</v>
      </c>
      <c r="AG186" s="100">
        <v>1.65</v>
      </c>
      <c r="AH186" s="54"/>
      <c r="AI186" s="55"/>
      <c r="AK186" s="56"/>
    </row>
    <row r="187" spans="1:37" x14ac:dyDescent="0.25">
      <c r="A187" s="164" t="s">
        <v>211</v>
      </c>
      <c r="B187" s="176">
        <v>1.5</v>
      </c>
      <c r="C187" s="176">
        <v>1.5</v>
      </c>
      <c r="D187" s="176">
        <v>1.5</v>
      </c>
      <c r="E187" s="176">
        <v>1.5</v>
      </c>
      <c r="F187" s="176">
        <v>1.5</v>
      </c>
      <c r="G187" s="176">
        <v>1.5</v>
      </c>
      <c r="H187" s="176">
        <v>1.5</v>
      </c>
      <c r="I187" s="176">
        <v>1.5</v>
      </c>
      <c r="J187" s="176">
        <v>1.5</v>
      </c>
      <c r="K187" s="176">
        <v>1.5</v>
      </c>
      <c r="L187" s="176">
        <v>1.5</v>
      </c>
      <c r="M187" s="176">
        <v>1.5</v>
      </c>
      <c r="N187" s="176">
        <v>1.5</v>
      </c>
      <c r="O187" s="176">
        <v>1.5</v>
      </c>
      <c r="P187" s="176">
        <v>1.5</v>
      </c>
      <c r="Q187" s="176">
        <v>1.5</v>
      </c>
      <c r="R187" s="176">
        <v>1.5</v>
      </c>
      <c r="S187" s="176">
        <v>1.5</v>
      </c>
      <c r="T187" s="176">
        <v>1.5</v>
      </c>
      <c r="U187" s="176">
        <v>1.5</v>
      </c>
      <c r="V187" s="176">
        <v>1.5</v>
      </c>
      <c r="W187" s="176">
        <v>1.5</v>
      </c>
      <c r="X187" s="176">
        <v>1.5</v>
      </c>
      <c r="Y187" s="176">
        <v>1.5</v>
      </c>
      <c r="Z187" s="176">
        <v>1.5</v>
      </c>
      <c r="AA187" s="176">
        <v>1.5</v>
      </c>
      <c r="AB187" s="176">
        <v>1.5</v>
      </c>
      <c r="AC187" s="176">
        <v>1.5</v>
      </c>
      <c r="AD187" s="176">
        <v>1.5</v>
      </c>
      <c r="AE187" s="176">
        <v>1.5</v>
      </c>
      <c r="AF187" s="176">
        <v>1.5</v>
      </c>
      <c r="AG187" s="100">
        <v>1.5</v>
      </c>
      <c r="AH187" s="54"/>
      <c r="AI187" s="55"/>
      <c r="AK187" s="56"/>
    </row>
    <row r="188" spans="1:37" x14ac:dyDescent="0.25">
      <c r="A188" s="164" t="s">
        <v>212</v>
      </c>
      <c r="B188" s="176">
        <v>1</v>
      </c>
      <c r="C188" s="176">
        <v>1</v>
      </c>
      <c r="D188" s="176">
        <v>1</v>
      </c>
      <c r="E188" s="176">
        <v>1</v>
      </c>
      <c r="F188" s="176">
        <v>1</v>
      </c>
      <c r="G188" s="176">
        <v>1</v>
      </c>
      <c r="H188" s="176">
        <v>1</v>
      </c>
      <c r="I188" s="176">
        <v>1</v>
      </c>
      <c r="J188" s="176">
        <v>1</v>
      </c>
      <c r="K188" s="176">
        <v>1</v>
      </c>
      <c r="L188" s="176">
        <v>1</v>
      </c>
      <c r="M188" s="176">
        <v>1</v>
      </c>
      <c r="N188" s="176">
        <v>1</v>
      </c>
      <c r="O188" s="176">
        <v>1</v>
      </c>
      <c r="P188" s="176">
        <v>1</v>
      </c>
      <c r="Q188" s="176">
        <v>1</v>
      </c>
      <c r="R188" s="176">
        <v>1</v>
      </c>
      <c r="S188" s="176">
        <v>1</v>
      </c>
      <c r="T188" s="176">
        <v>1</v>
      </c>
      <c r="U188" s="176">
        <v>1</v>
      </c>
      <c r="V188" s="176">
        <v>1</v>
      </c>
      <c r="W188" s="176">
        <v>1</v>
      </c>
      <c r="X188" s="176">
        <v>1</v>
      </c>
      <c r="Y188" s="176">
        <v>1</v>
      </c>
      <c r="Z188" s="176">
        <v>1</v>
      </c>
      <c r="AA188" s="176">
        <v>1</v>
      </c>
      <c r="AB188" s="176">
        <v>1</v>
      </c>
      <c r="AC188" s="176">
        <v>1</v>
      </c>
      <c r="AD188" s="176">
        <v>1</v>
      </c>
      <c r="AE188" s="176">
        <v>1</v>
      </c>
      <c r="AF188" s="176">
        <v>1</v>
      </c>
      <c r="AG188" s="100">
        <v>1</v>
      </c>
      <c r="AH188" s="54"/>
      <c r="AI188" s="55"/>
      <c r="AK188" s="56"/>
    </row>
    <row r="189" spans="1:37" x14ac:dyDescent="0.25">
      <c r="A189" s="164" t="s">
        <v>213</v>
      </c>
      <c r="B189" s="176">
        <v>0.998</v>
      </c>
      <c r="C189" s="176">
        <v>0.998</v>
      </c>
      <c r="D189" s="176">
        <v>0.998</v>
      </c>
      <c r="E189" s="176">
        <v>0.998</v>
      </c>
      <c r="F189" s="176">
        <v>0.998</v>
      </c>
      <c r="G189" s="176">
        <v>0.998</v>
      </c>
      <c r="H189" s="176">
        <v>0.998</v>
      </c>
      <c r="I189" s="176">
        <v>0.998</v>
      </c>
      <c r="J189" s="176">
        <v>0.998</v>
      </c>
      <c r="K189" s="176">
        <v>0.998</v>
      </c>
      <c r="L189" s="176">
        <v>0.998</v>
      </c>
      <c r="M189" s="176">
        <v>0.998</v>
      </c>
      <c r="N189" s="176">
        <v>0.998</v>
      </c>
      <c r="O189" s="176">
        <v>0.998</v>
      </c>
      <c r="P189" s="176">
        <v>0.998</v>
      </c>
      <c r="Q189" s="176">
        <v>0.998</v>
      </c>
      <c r="R189" s="176">
        <v>0.998</v>
      </c>
      <c r="S189" s="176">
        <v>0.998</v>
      </c>
      <c r="T189" s="176">
        <v>0.998</v>
      </c>
      <c r="U189" s="176">
        <v>0.998</v>
      </c>
      <c r="V189" s="176">
        <v>0.998</v>
      </c>
      <c r="W189" s="176">
        <v>0.998</v>
      </c>
      <c r="X189" s="176">
        <v>0.998</v>
      </c>
      <c r="Y189" s="176">
        <v>0.998</v>
      </c>
      <c r="Z189" s="176">
        <v>0.998</v>
      </c>
      <c r="AA189" s="176">
        <v>0.998</v>
      </c>
      <c r="AB189" s="176">
        <v>0.998</v>
      </c>
      <c r="AC189" s="176">
        <v>0.998</v>
      </c>
      <c r="AD189" s="176">
        <v>0.998</v>
      </c>
      <c r="AE189" s="176">
        <v>0.998</v>
      </c>
      <c r="AF189" s="176">
        <v>0.998</v>
      </c>
      <c r="AG189" s="100">
        <v>0.998</v>
      </c>
      <c r="AH189" s="54"/>
      <c r="AI189" s="55"/>
      <c r="AK189" s="56"/>
    </row>
    <row r="190" spans="1:37" x14ac:dyDescent="0.25">
      <c r="A190" s="164" t="s">
        <v>214</v>
      </c>
      <c r="B190" s="176">
        <v>0.997</v>
      </c>
      <c r="C190" s="176">
        <v>0.997</v>
      </c>
      <c r="D190" s="176">
        <v>0.997</v>
      </c>
      <c r="E190" s="176">
        <v>0.997</v>
      </c>
      <c r="F190" s="176">
        <v>0.997</v>
      </c>
      <c r="G190" s="176">
        <v>0.997</v>
      </c>
      <c r="H190" s="176">
        <v>0.997</v>
      </c>
      <c r="I190" s="176">
        <v>0.997</v>
      </c>
      <c r="J190" s="176">
        <v>0.997</v>
      </c>
      <c r="K190" s="176">
        <v>0.997</v>
      </c>
      <c r="L190" s="176">
        <v>0.997</v>
      </c>
      <c r="M190" s="176">
        <v>0.997</v>
      </c>
      <c r="N190" s="176">
        <v>0.997</v>
      </c>
      <c r="O190" s="176">
        <v>0.997</v>
      </c>
      <c r="P190" s="176">
        <v>0.997</v>
      </c>
      <c r="Q190" s="176">
        <v>0.997</v>
      </c>
      <c r="R190" s="176">
        <v>0.997</v>
      </c>
      <c r="S190" s="176">
        <v>0.997</v>
      </c>
      <c r="T190" s="176">
        <v>0.997</v>
      </c>
      <c r="U190" s="176">
        <v>0.997</v>
      </c>
      <c r="V190" s="176">
        <v>0.997</v>
      </c>
      <c r="W190" s="176">
        <v>0.997</v>
      </c>
      <c r="X190" s="176">
        <v>0.997</v>
      </c>
      <c r="Y190" s="176">
        <v>0.997</v>
      </c>
      <c r="Z190" s="176">
        <v>0.997</v>
      </c>
      <c r="AA190" s="176">
        <v>0.997</v>
      </c>
      <c r="AB190" s="176">
        <v>0.997</v>
      </c>
      <c r="AC190" s="176">
        <v>0.997</v>
      </c>
      <c r="AD190" s="176">
        <v>0.997</v>
      </c>
      <c r="AE190" s="176">
        <v>0.997</v>
      </c>
      <c r="AF190" s="176">
        <v>0.997</v>
      </c>
      <c r="AG190" s="100">
        <v>0.997</v>
      </c>
      <c r="AH190" s="54"/>
      <c r="AI190" s="55"/>
      <c r="AK190" s="56"/>
    </row>
    <row r="191" spans="1:37" x14ac:dyDescent="0.25">
      <c r="A191" s="164" t="s">
        <v>215</v>
      </c>
      <c r="B191" s="176">
        <v>0.997</v>
      </c>
      <c r="C191" s="176">
        <v>0.997</v>
      </c>
      <c r="D191" s="176">
        <v>0.997</v>
      </c>
      <c r="E191" s="176">
        <v>0.997</v>
      </c>
      <c r="F191" s="176">
        <v>0.997</v>
      </c>
      <c r="G191" s="176">
        <v>0.997</v>
      </c>
      <c r="H191" s="176">
        <v>0.997</v>
      </c>
      <c r="I191" s="176">
        <v>0.997</v>
      </c>
      <c r="J191" s="176">
        <v>0.997</v>
      </c>
      <c r="K191" s="176">
        <v>0.997</v>
      </c>
      <c r="L191" s="176">
        <v>0.997</v>
      </c>
      <c r="M191" s="176">
        <v>0.997</v>
      </c>
      <c r="N191" s="176">
        <v>0.997</v>
      </c>
      <c r="O191" s="176">
        <v>0.997</v>
      </c>
      <c r="P191" s="176">
        <v>0.997</v>
      </c>
      <c r="Q191" s="176">
        <v>0.997</v>
      </c>
      <c r="R191" s="176">
        <v>0.997</v>
      </c>
      <c r="S191" s="176">
        <v>0.997</v>
      </c>
      <c r="T191" s="176">
        <v>0.997</v>
      </c>
      <c r="U191" s="176">
        <v>0.997</v>
      </c>
      <c r="V191" s="176">
        <v>0.997</v>
      </c>
      <c r="W191" s="176">
        <v>0.997</v>
      </c>
      <c r="X191" s="176">
        <v>0.997</v>
      </c>
      <c r="Y191" s="176">
        <v>0.997</v>
      </c>
      <c r="Z191" s="176">
        <v>0.997</v>
      </c>
      <c r="AA191" s="176">
        <v>0.997</v>
      </c>
      <c r="AB191" s="176">
        <v>0.997</v>
      </c>
      <c r="AC191" s="176">
        <v>0.997</v>
      </c>
      <c r="AD191" s="176">
        <v>0.997</v>
      </c>
      <c r="AE191" s="176">
        <v>0.997</v>
      </c>
      <c r="AF191" s="176">
        <v>0.997</v>
      </c>
      <c r="AG191" s="100">
        <v>0.997</v>
      </c>
      <c r="AH191" s="54"/>
      <c r="AI191" s="55"/>
      <c r="AK191" s="56"/>
    </row>
    <row r="192" spans="1:37" x14ac:dyDescent="0.25">
      <c r="A192" s="164" t="s">
        <v>216</v>
      </c>
      <c r="B192" s="176">
        <v>0.996</v>
      </c>
      <c r="C192" s="176">
        <v>0.996</v>
      </c>
      <c r="D192" s="176">
        <v>0.996</v>
      </c>
      <c r="E192" s="176">
        <v>0.996</v>
      </c>
      <c r="F192" s="176">
        <v>0.996</v>
      </c>
      <c r="G192" s="176">
        <v>0.996</v>
      </c>
      <c r="H192" s="176">
        <v>0.996</v>
      </c>
      <c r="I192" s="176">
        <v>0.996</v>
      </c>
      <c r="J192" s="176">
        <v>0.996</v>
      </c>
      <c r="K192" s="176">
        <v>0.996</v>
      </c>
      <c r="L192" s="176">
        <v>0.996</v>
      </c>
      <c r="M192" s="176">
        <v>0.996</v>
      </c>
      <c r="N192" s="176">
        <v>0.996</v>
      </c>
      <c r="O192" s="176">
        <v>0.996</v>
      </c>
      <c r="P192" s="176">
        <v>0.996</v>
      </c>
      <c r="Q192" s="176">
        <v>0.996</v>
      </c>
      <c r="R192" s="176">
        <v>0.996</v>
      </c>
      <c r="S192" s="176">
        <v>0.996</v>
      </c>
      <c r="T192" s="176">
        <v>0.996</v>
      </c>
      <c r="U192" s="176">
        <v>0.996</v>
      </c>
      <c r="V192" s="176">
        <v>0.996</v>
      </c>
      <c r="W192" s="176">
        <v>0.996</v>
      </c>
      <c r="X192" s="176">
        <v>0.996</v>
      </c>
      <c r="Y192" s="176">
        <v>0.996</v>
      </c>
      <c r="Z192" s="176">
        <v>0.996</v>
      </c>
      <c r="AA192" s="176">
        <v>0.996</v>
      </c>
      <c r="AB192" s="176">
        <v>0.996</v>
      </c>
      <c r="AC192" s="176">
        <v>0.996</v>
      </c>
      <c r="AD192" s="176">
        <v>0.996</v>
      </c>
      <c r="AE192" s="176">
        <v>0.996</v>
      </c>
      <c r="AF192" s="176">
        <v>0.996</v>
      </c>
      <c r="AG192" s="100">
        <v>0.996</v>
      </c>
      <c r="AH192" s="54"/>
      <c r="AI192" s="55"/>
      <c r="AK192" s="56"/>
    </row>
    <row r="193" spans="1:37" x14ac:dyDescent="0.25">
      <c r="A193" s="164" t="s">
        <v>217</v>
      </c>
      <c r="B193" s="176">
        <v>0.996</v>
      </c>
      <c r="C193" s="176">
        <v>0.996</v>
      </c>
      <c r="D193" s="176">
        <v>0.996</v>
      </c>
      <c r="E193" s="176">
        <v>0.996</v>
      </c>
      <c r="F193" s="176">
        <v>0.996</v>
      </c>
      <c r="G193" s="176">
        <v>0.996</v>
      </c>
      <c r="H193" s="176">
        <v>0.996</v>
      </c>
      <c r="I193" s="176">
        <v>0.996</v>
      </c>
      <c r="J193" s="176">
        <v>0.996</v>
      </c>
      <c r="K193" s="176">
        <v>0.996</v>
      </c>
      <c r="L193" s="176">
        <v>0.996</v>
      </c>
      <c r="M193" s="176">
        <v>0.996</v>
      </c>
      <c r="N193" s="176">
        <v>0.996</v>
      </c>
      <c r="O193" s="176">
        <v>0.996</v>
      </c>
      <c r="P193" s="176">
        <v>0.996</v>
      </c>
      <c r="Q193" s="176">
        <v>0.996</v>
      </c>
      <c r="R193" s="176">
        <v>0.996</v>
      </c>
      <c r="S193" s="176">
        <v>0.996</v>
      </c>
      <c r="T193" s="176">
        <v>0.996</v>
      </c>
      <c r="U193" s="176">
        <v>0.996</v>
      </c>
      <c r="V193" s="176">
        <v>0.996</v>
      </c>
      <c r="W193" s="176">
        <v>0.996</v>
      </c>
      <c r="X193" s="176">
        <v>0.996</v>
      </c>
      <c r="Y193" s="176">
        <v>0.996</v>
      </c>
      <c r="Z193" s="176">
        <v>0.996</v>
      </c>
      <c r="AA193" s="176">
        <v>0.996</v>
      </c>
      <c r="AB193" s="176">
        <v>0.996</v>
      </c>
      <c r="AC193" s="176">
        <v>0.996</v>
      </c>
      <c r="AD193" s="176">
        <v>0.996</v>
      </c>
      <c r="AE193" s="176">
        <v>0.996</v>
      </c>
      <c r="AF193" s="176">
        <v>0.996</v>
      </c>
      <c r="AG193" s="100">
        <v>0.996</v>
      </c>
      <c r="AH193" s="54"/>
      <c r="AI193" s="55"/>
      <c r="AK193" s="56"/>
    </row>
    <row r="194" spans="1:37" x14ac:dyDescent="0.25">
      <c r="A194" s="164" t="s">
        <v>218</v>
      </c>
      <c r="B194" s="176">
        <v>0.996</v>
      </c>
      <c r="C194" s="176">
        <v>0.996</v>
      </c>
      <c r="D194" s="176">
        <v>0.996</v>
      </c>
      <c r="E194" s="176">
        <v>0.996</v>
      </c>
      <c r="F194" s="176">
        <v>0.996</v>
      </c>
      <c r="G194" s="176">
        <v>0.996</v>
      </c>
      <c r="H194" s="176">
        <v>0.996</v>
      </c>
      <c r="I194" s="176">
        <v>0.996</v>
      </c>
      <c r="J194" s="176">
        <v>0.996</v>
      </c>
      <c r="K194" s="176">
        <v>0.996</v>
      </c>
      <c r="L194" s="176">
        <v>0.996</v>
      </c>
      <c r="M194" s="176">
        <v>0.996</v>
      </c>
      <c r="N194" s="176">
        <v>0.996</v>
      </c>
      <c r="O194" s="176">
        <v>0.996</v>
      </c>
      <c r="P194" s="176">
        <v>0.996</v>
      </c>
      <c r="Q194" s="176">
        <v>0.996</v>
      </c>
      <c r="R194" s="176">
        <v>0.996</v>
      </c>
      <c r="S194" s="176">
        <v>0.996</v>
      </c>
      <c r="T194" s="176">
        <v>0.996</v>
      </c>
      <c r="U194" s="176">
        <v>0.996</v>
      </c>
      <c r="V194" s="176">
        <v>0.996</v>
      </c>
      <c r="W194" s="176">
        <v>0.996</v>
      </c>
      <c r="X194" s="176">
        <v>0.996</v>
      </c>
      <c r="Y194" s="176">
        <v>0.996</v>
      </c>
      <c r="Z194" s="176">
        <v>0.996</v>
      </c>
      <c r="AA194" s="176">
        <v>0.996</v>
      </c>
      <c r="AB194" s="176">
        <v>0.996</v>
      </c>
      <c r="AC194" s="176">
        <v>0.996</v>
      </c>
      <c r="AD194" s="176">
        <v>0.996</v>
      </c>
      <c r="AE194" s="176">
        <v>0.996</v>
      </c>
      <c r="AF194" s="176">
        <v>0.996</v>
      </c>
      <c r="AG194" s="100">
        <v>0.996</v>
      </c>
      <c r="AH194" s="54"/>
      <c r="AI194" s="55"/>
      <c r="AK194" s="56"/>
    </row>
    <row r="195" spans="1:37" x14ac:dyDescent="0.25">
      <c r="A195" s="164" t="s">
        <v>219</v>
      </c>
      <c r="B195" s="176">
        <v>0.995</v>
      </c>
      <c r="C195" s="176">
        <v>0.995</v>
      </c>
      <c r="D195" s="176">
        <v>0.995</v>
      </c>
      <c r="E195" s="176">
        <v>0.995</v>
      </c>
      <c r="F195" s="176">
        <v>0.995</v>
      </c>
      <c r="G195" s="176">
        <v>0.995</v>
      </c>
      <c r="H195" s="176">
        <v>0.995</v>
      </c>
      <c r="I195" s="176">
        <v>0.995</v>
      </c>
      <c r="J195" s="176">
        <v>0.995</v>
      </c>
      <c r="K195" s="176">
        <v>0.995</v>
      </c>
      <c r="L195" s="176">
        <v>0.995</v>
      </c>
      <c r="M195" s="176">
        <v>0.995</v>
      </c>
      <c r="N195" s="176">
        <v>0.995</v>
      </c>
      <c r="O195" s="176">
        <v>0.995</v>
      </c>
      <c r="P195" s="176">
        <v>0.995</v>
      </c>
      <c r="Q195" s="176">
        <v>0.995</v>
      </c>
      <c r="R195" s="176">
        <v>0.995</v>
      </c>
      <c r="S195" s="176">
        <v>0.995</v>
      </c>
      <c r="T195" s="176">
        <v>0.995</v>
      </c>
      <c r="U195" s="176">
        <v>0.995</v>
      </c>
      <c r="V195" s="176">
        <v>0.995</v>
      </c>
      <c r="W195" s="176">
        <v>0.995</v>
      </c>
      <c r="X195" s="176">
        <v>0.995</v>
      </c>
      <c r="Y195" s="176">
        <v>0.995</v>
      </c>
      <c r="Z195" s="176">
        <v>0.995</v>
      </c>
      <c r="AA195" s="176">
        <v>0.995</v>
      </c>
      <c r="AB195" s="176">
        <v>0.995</v>
      </c>
      <c r="AC195" s="176">
        <v>0.995</v>
      </c>
      <c r="AD195" s="176">
        <v>0.995</v>
      </c>
      <c r="AE195" s="176">
        <v>0.995</v>
      </c>
      <c r="AF195" s="176">
        <v>0.995</v>
      </c>
      <c r="AG195" s="100">
        <v>0.995</v>
      </c>
      <c r="AH195" s="54"/>
      <c r="AI195" s="55"/>
      <c r="AK195" s="56"/>
    </row>
    <row r="196" spans="1:37" x14ac:dyDescent="0.25">
      <c r="A196" s="164" t="s">
        <v>220</v>
      </c>
      <c r="B196" s="176">
        <v>0.99299999999999999</v>
      </c>
      <c r="C196" s="176">
        <v>0.99299999999999999</v>
      </c>
      <c r="D196" s="176">
        <v>0.99299999999999999</v>
      </c>
      <c r="E196" s="176">
        <v>0.99299999999999999</v>
      </c>
      <c r="F196" s="176">
        <v>0.99299999999999999</v>
      </c>
      <c r="G196" s="176">
        <v>0.99299999999999999</v>
      </c>
      <c r="H196" s="176">
        <v>0.99299999999999999</v>
      </c>
      <c r="I196" s="176">
        <v>0.99299999999999999</v>
      </c>
      <c r="J196" s="176">
        <v>0.99299999999999999</v>
      </c>
      <c r="K196" s="176">
        <v>0.99299999999999999</v>
      </c>
      <c r="L196" s="176">
        <v>0.99299999999999999</v>
      </c>
      <c r="M196" s="176">
        <v>0.99299999999999999</v>
      </c>
      <c r="N196" s="176">
        <v>0.99299999999999999</v>
      </c>
      <c r="O196" s="176">
        <v>0.99299999999999999</v>
      </c>
      <c r="P196" s="176">
        <v>0.99299999999999999</v>
      </c>
      <c r="Q196" s="176">
        <v>0.99299999999999999</v>
      </c>
      <c r="R196" s="176">
        <v>0.99299999999999999</v>
      </c>
      <c r="S196" s="176">
        <v>0.99299999999999999</v>
      </c>
      <c r="T196" s="176">
        <v>0.99299999999999999</v>
      </c>
      <c r="U196" s="176">
        <v>0.99299999999999999</v>
      </c>
      <c r="V196" s="176">
        <v>0.99299999999999999</v>
      </c>
      <c r="W196" s="176">
        <v>0.99299999999999999</v>
      </c>
      <c r="X196" s="176">
        <v>0.99299999999999999</v>
      </c>
      <c r="Y196" s="176">
        <v>0.99299999999999999</v>
      </c>
      <c r="Z196" s="176">
        <v>0.99299999999999999</v>
      </c>
      <c r="AA196" s="176">
        <v>0.99299999999999999</v>
      </c>
      <c r="AB196" s="176">
        <v>0.99299999999999999</v>
      </c>
      <c r="AC196" s="176">
        <v>0.99299999999999999</v>
      </c>
      <c r="AD196" s="176">
        <v>0.99299999999999999</v>
      </c>
      <c r="AE196" s="176">
        <v>0.99299999999999999</v>
      </c>
      <c r="AF196" s="176">
        <v>0.99299999999999999</v>
      </c>
      <c r="AG196" s="100">
        <v>0.99299999999999999</v>
      </c>
      <c r="AH196" s="54"/>
      <c r="AI196" s="55"/>
      <c r="AK196" s="56"/>
    </row>
    <row r="197" spans="1:37" x14ac:dyDescent="0.25">
      <c r="A197" s="164" t="s">
        <v>221</v>
      </c>
      <c r="B197" s="176">
        <v>0.99099999999999999</v>
      </c>
      <c r="C197" s="176">
        <v>0.99099999999999999</v>
      </c>
      <c r="D197" s="176">
        <v>0.99099999999999999</v>
      </c>
      <c r="E197" s="176">
        <v>0.99099999999999999</v>
      </c>
      <c r="F197" s="176">
        <v>0.99099999999999999</v>
      </c>
      <c r="G197" s="176">
        <v>0.99099999999999999</v>
      </c>
      <c r="H197" s="176">
        <v>0.99099999999999999</v>
      </c>
      <c r="I197" s="176">
        <v>0.99099999999999999</v>
      </c>
      <c r="J197" s="176">
        <v>0.99099999999999999</v>
      </c>
      <c r="K197" s="176">
        <v>0.99099999999999999</v>
      </c>
      <c r="L197" s="176">
        <v>0.99099999999999999</v>
      </c>
      <c r="M197" s="176">
        <v>0.99099999999999999</v>
      </c>
      <c r="N197" s="176">
        <v>0.99099999999999999</v>
      </c>
      <c r="O197" s="176">
        <v>0.99099999999999999</v>
      </c>
      <c r="P197" s="176">
        <v>0.99099999999999999</v>
      </c>
      <c r="Q197" s="176">
        <v>0.99099999999999999</v>
      </c>
      <c r="R197" s="176">
        <v>0.99099999999999999</v>
      </c>
      <c r="S197" s="176">
        <v>0.99099999999999999</v>
      </c>
      <c r="T197" s="176">
        <v>0.99099999999999999</v>
      </c>
      <c r="U197" s="176">
        <v>0.99099999999999999</v>
      </c>
      <c r="V197" s="176">
        <v>0.99099999999999999</v>
      </c>
      <c r="W197" s="176">
        <v>0.99099999999999999</v>
      </c>
      <c r="X197" s="176">
        <v>0.99099999999999999</v>
      </c>
      <c r="Y197" s="176">
        <v>0.99099999999999999</v>
      </c>
      <c r="Z197" s="176">
        <v>0.99099999999999999</v>
      </c>
      <c r="AA197" s="176">
        <v>0.99099999999999999</v>
      </c>
      <c r="AB197" s="176">
        <v>0.99099999999999999</v>
      </c>
      <c r="AC197" s="176">
        <v>0.99099999999999999</v>
      </c>
      <c r="AD197" s="176">
        <v>0.99099999999999999</v>
      </c>
      <c r="AE197" s="176">
        <v>0.99099999999999999</v>
      </c>
      <c r="AF197" s="176">
        <v>0.99099999999999999</v>
      </c>
      <c r="AG197" s="100">
        <v>0.99099999999999999</v>
      </c>
      <c r="AH197" s="54"/>
      <c r="AI197" s="55"/>
      <c r="AK197" s="56"/>
    </row>
    <row r="198" spans="1:37" x14ac:dyDescent="0.25">
      <c r="A198" s="164" t="s">
        <v>222</v>
      </c>
      <c r="B198" s="176">
        <v>0.99</v>
      </c>
      <c r="C198" s="176">
        <v>0.99</v>
      </c>
      <c r="D198" s="176">
        <v>0.99</v>
      </c>
      <c r="E198" s="176">
        <v>0.99</v>
      </c>
      <c r="F198" s="176">
        <v>0.99</v>
      </c>
      <c r="G198" s="176">
        <v>0.99</v>
      </c>
      <c r="H198" s="176">
        <v>0.99</v>
      </c>
      <c r="I198" s="176">
        <v>0.99</v>
      </c>
      <c r="J198" s="176">
        <v>0.99</v>
      </c>
      <c r="K198" s="176">
        <v>0.99</v>
      </c>
      <c r="L198" s="176">
        <v>0.99</v>
      </c>
      <c r="M198" s="176">
        <v>0.99</v>
      </c>
      <c r="N198" s="176">
        <v>0.99</v>
      </c>
      <c r="O198" s="176">
        <v>0.99</v>
      </c>
      <c r="P198" s="176">
        <v>0.99</v>
      </c>
      <c r="Q198" s="176">
        <v>0.99</v>
      </c>
      <c r="R198" s="176">
        <v>0.99</v>
      </c>
      <c r="S198" s="176">
        <v>0.99</v>
      </c>
      <c r="T198" s="176">
        <v>0.99</v>
      </c>
      <c r="U198" s="176">
        <v>0.99</v>
      </c>
      <c r="V198" s="176">
        <v>0.99</v>
      </c>
      <c r="W198" s="176">
        <v>0.99</v>
      </c>
      <c r="X198" s="176">
        <v>0.99</v>
      </c>
      <c r="Y198" s="176">
        <v>0.99</v>
      </c>
      <c r="Z198" s="176">
        <v>0.99</v>
      </c>
      <c r="AA198" s="176">
        <v>0.99</v>
      </c>
      <c r="AB198" s="176">
        <v>0.99</v>
      </c>
      <c r="AC198" s="176">
        <v>0.99</v>
      </c>
      <c r="AD198" s="176">
        <v>0.99</v>
      </c>
      <c r="AE198" s="176">
        <v>0.99</v>
      </c>
      <c r="AF198" s="176">
        <v>0.99</v>
      </c>
      <c r="AG198" s="100">
        <v>0.99</v>
      </c>
      <c r="AH198" s="54"/>
      <c r="AI198" s="55"/>
      <c r="AK198" s="56"/>
    </row>
    <row r="199" spans="1:37" x14ac:dyDescent="0.25">
      <c r="A199" s="164" t="s">
        <v>223</v>
      </c>
      <c r="B199" s="176">
        <v>0.97899999999999998</v>
      </c>
      <c r="C199" s="176">
        <v>0.97899999999999998</v>
      </c>
      <c r="D199" s="176">
        <v>0.97899999999999998</v>
      </c>
      <c r="E199" s="176">
        <v>0.97899999999999998</v>
      </c>
      <c r="F199" s="176">
        <v>0.97899999999999998</v>
      </c>
      <c r="G199" s="176">
        <v>0.97899999999999998</v>
      </c>
      <c r="H199" s="176">
        <v>0.97899999999999998</v>
      </c>
      <c r="I199" s="176">
        <v>0.97899999999999998</v>
      </c>
      <c r="J199" s="176">
        <v>0.97899999999999998</v>
      </c>
      <c r="K199" s="176">
        <v>0.97899999999999998</v>
      </c>
      <c r="L199" s="176">
        <v>0.97899999999999998</v>
      </c>
      <c r="M199" s="176">
        <v>0.97899999999999998</v>
      </c>
      <c r="N199" s="176">
        <v>0.97899999999999998</v>
      </c>
      <c r="O199" s="176">
        <v>0.97899999999999998</v>
      </c>
      <c r="P199" s="176">
        <v>0.97899999999999998</v>
      </c>
      <c r="Q199" s="176">
        <v>0.97899999999999998</v>
      </c>
      <c r="R199" s="176">
        <v>0.97899999999999998</v>
      </c>
      <c r="S199" s="176">
        <v>0.97899999999999998</v>
      </c>
      <c r="T199" s="176">
        <v>0.97899999999999998</v>
      </c>
      <c r="U199" s="176">
        <v>0.97899999999999998</v>
      </c>
      <c r="V199" s="176">
        <v>0.97899999999999998</v>
      </c>
      <c r="W199" s="176">
        <v>0.97899999999999998</v>
      </c>
      <c r="X199" s="176">
        <v>0.97899999999999998</v>
      </c>
      <c r="Y199" s="176">
        <v>0.97899999999999998</v>
      </c>
      <c r="Z199" s="176">
        <v>0.97899999999999998</v>
      </c>
      <c r="AA199" s="176">
        <v>0.97899999999999998</v>
      </c>
      <c r="AB199" s="176">
        <v>0.97899999999999998</v>
      </c>
      <c r="AC199" s="176">
        <v>0.97899999999999998</v>
      </c>
      <c r="AD199" s="176">
        <v>0.97899999999999998</v>
      </c>
      <c r="AE199" s="176">
        <v>0.97899999999999998</v>
      </c>
      <c r="AF199" s="176">
        <v>0.97899999999999998</v>
      </c>
      <c r="AG199" s="100">
        <v>0.97899999999999998</v>
      </c>
      <c r="AH199" s="54"/>
      <c r="AI199" s="55"/>
      <c r="AK199" s="56"/>
    </row>
    <row r="200" spans="1:37" x14ac:dyDescent="0.25">
      <c r="A200" s="164" t="s">
        <v>224</v>
      </c>
      <c r="B200" s="176">
        <v>0.96</v>
      </c>
      <c r="C200" s="176">
        <v>0.96</v>
      </c>
      <c r="D200" s="176">
        <v>0.96</v>
      </c>
      <c r="E200" s="176">
        <v>0.96</v>
      </c>
      <c r="F200" s="176">
        <v>0.96</v>
      </c>
      <c r="G200" s="176">
        <v>0.96</v>
      </c>
      <c r="H200" s="176">
        <v>0.96</v>
      </c>
      <c r="I200" s="176">
        <v>0.96</v>
      </c>
      <c r="J200" s="176">
        <v>0.96</v>
      </c>
      <c r="K200" s="176">
        <v>0.96</v>
      </c>
      <c r="L200" s="176">
        <v>0.96</v>
      </c>
      <c r="M200" s="176">
        <v>0.96</v>
      </c>
      <c r="N200" s="176">
        <v>0.96</v>
      </c>
      <c r="O200" s="176">
        <v>0.96</v>
      </c>
      <c r="P200" s="176">
        <v>0.96</v>
      </c>
      <c r="Q200" s="176">
        <v>0.96</v>
      </c>
      <c r="R200" s="176">
        <v>0.96</v>
      </c>
      <c r="S200" s="176">
        <v>0.96</v>
      </c>
      <c r="T200" s="176">
        <v>0.96</v>
      </c>
      <c r="U200" s="176">
        <v>0.96</v>
      </c>
      <c r="V200" s="176">
        <v>0.96</v>
      </c>
      <c r="W200" s="176">
        <v>0.96</v>
      </c>
      <c r="X200" s="176">
        <v>0.96</v>
      </c>
      <c r="Y200" s="176">
        <v>0.96</v>
      </c>
      <c r="Z200" s="176">
        <v>0.96</v>
      </c>
      <c r="AA200" s="176">
        <v>0.96</v>
      </c>
      <c r="AB200" s="176">
        <v>0.96</v>
      </c>
      <c r="AC200" s="176">
        <v>0.96</v>
      </c>
      <c r="AD200" s="176">
        <v>0.96</v>
      </c>
      <c r="AE200" s="176">
        <v>0.96</v>
      </c>
      <c r="AF200" s="176">
        <v>0.96</v>
      </c>
      <c r="AG200" s="100">
        <v>0.96</v>
      </c>
      <c r="AH200" s="54"/>
      <c r="AI200" s="55"/>
      <c r="AK200" s="56"/>
    </row>
    <row r="201" spans="1:37" x14ac:dyDescent="0.25">
      <c r="A201" s="164" t="s">
        <v>225</v>
      </c>
      <c r="B201" s="176">
        <v>0.75</v>
      </c>
      <c r="C201" s="176">
        <v>0.75</v>
      </c>
      <c r="D201" s="176">
        <v>0.75</v>
      </c>
      <c r="E201" s="176">
        <v>0.75</v>
      </c>
      <c r="F201" s="176">
        <v>0.75</v>
      </c>
      <c r="G201" s="176">
        <v>0.75</v>
      </c>
      <c r="H201" s="176">
        <v>0.75</v>
      </c>
      <c r="I201" s="176">
        <v>0.75</v>
      </c>
      <c r="J201" s="176">
        <v>0.75</v>
      </c>
      <c r="K201" s="176">
        <v>0.75</v>
      </c>
      <c r="L201" s="176">
        <v>0.75</v>
      </c>
      <c r="M201" s="176">
        <v>0.75</v>
      </c>
      <c r="N201" s="176">
        <v>0.75</v>
      </c>
      <c r="O201" s="176">
        <v>0.75</v>
      </c>
      <c r="P201" s="176">
        <v>0.75</v>
      </c>
      <c r="Q201" s="176">
        <v>0.75</v>
      </c>
      <c r="R201" s="176">
        <v>0.75</v>
      </c>
      <c r="S201" s="176">
        <v>0.75</v>
      </c>
      <c r="T201" s="176">
        <v>0.75</v>
      </c>
      <c r="U201" s="176">
        <v>0.75</v>
      </c>
      <c r="V201" s="176">
        <v>0.75</v>
      </c>
      <c r="W201" s="176">
        <v>0.75</v>
      </c>
      <c r="X201" s="176">
        <v>0.75</v>
      </c>
      <c r="Y201" s="176">
        <v>0.75</v>
      </c>
      <c r="Z201" s="176">
        <v>0.75</v>
      </c>
      <c r="AA201" s="176">
        <v>0.75</v>
      </c>
      <c r="AB201" s="176">
        <v>0.75</v>
      </c>
      <c r="AC201" s="176">
        <v>0.75</v>
      </c>
      <c r="AD201" s="176">
        <v>0.75</v>
      </c>
      <c r="AE201" s="176">
        <v>0.75</v>
      </c>
      <c r="AF201" s="176">
        <v>0.75</v>
      </c>
      <c r="AG201" s="100">
        <v>0.75</v>
      </c>
      <c r="AH201" s="54"/>
      <c r="AI201" s="55"/>
      <c r="AK201" s="56"/>
    </row>
    <row r="202" spans="1:37" x14ac:dyDescent="0.25">
      <c r="A202" s="164" t="s">
        <v>226</v>
      </c>
      <c r="B202" s="176">
        <v>0.6804</v>
      </c>
      <c r="C202" s="176">
        <v>0.6804</v>
      </c>
      <c r="D202" s="176">
        <v>0.6804</v>
      </c>
      <c r="E202" s="176">
        <v>0.6804</v>
      </c>
      <c r="F202" s="176">
        <v>0.6804</v>
      </c>
      <c r="G202" s="176">
        <v>0.6804</v>
      </c>
      <c r="H202" s="176">
        <v>0.6804</v>
      </c>
      <c r="I202" s="176">
        <v>0.6804</v>
      </c>
      <c r="J202" s="176">
        <v>0.6804</v>
      </c>
      <c r="K202" s="176">
        <v>0.6804</v>
      </c>
      <c r="L202" s="176">
        <v>0.6804</v>
      </c>
      <c r="M202" s="176">
        <v>0.6804</v>
      </c>
      <c r="N202" s="176">
        <v>0.6804</v>
      </c>
      <c r="O202" s="176">
        <v>0.6804</v>
      </c>
      <c r="P202" s="176">
        <v>0.6804</v>
      </c>
      <c r="Q202" s="176">
        <v>0.6804</v>
      </c>
      <c r="R202" s="176">
        <v>0.6804</v>
      </c>
      <c r="S202" s="176">
        <v>0.6804</v>
      </c>
      <c r="T202" s="176">
        <v>0.6804</v>
      </c>
      <c r="U202" s="176">
        <v>0.6804</v>
      </c>
      <c r="V202" s="176">
        <v>0.6804</v>
      </c>
      <c r="W202" s="176">
        <v>0.6804</v>
      </c>
      <c r="X202" s="176">
        <v>0.6804</v>
      </c>
      <c r="Y202" s="176">
        <v>0.6804</v>
      </c>
      <c r="Z202" s="176">
        <v>0.6804</v>
      </c>
      <c r="AA202" s="176">
        <v>0.6804</v>
      </c>
      <c r="AB202" s="176">
        <v>0.6804</v>
      </c>
      <c r="AC202" s="176">
        <v>0.6804</v>
      </c>
      <c r="AD202" s="176">
        <v>0.6804</v>
      </c>
      <c r="AE202" s="176">
        <v>0.6804</v>
      </c>
      <c r="AF202" s="176">
        <v>0.6804</v>
      </c>
      <c r="AG202" s="100">
        <v>0.6804</v>
      </c>
      <c r="AH202" s="54"/>
      <c r="AI202" s="55"/>
      <c r="AK202" s="56"/>
    </row>
    <row r="203" spans="1:37" x14ac:dyDescent="0.25">
      <c r="A203" s="164" t="s">
        <v>227</v>
      </c>
      <c r="B203" s="176">
        <v>0.6</v>
      </c>
      <c r="C203" s="176">
        <v>0.6</v>
      </c>
      <c r="D203" s="176">
        <v>0.6</v>
      </c>
      <c r="E203" s="176">
        <v>0.6</v>
      </c>
      <c r="F203" s="176">
        <v>0.6</v>
      </c>
      <c r="G203" s="176">
        <v>0.6</v>
      </c>
      <c r="H203" s="176">
        <v>0.6</v>
      </c>
      <c r="I203" s="176">
        <v>0.6</v>
      </c>
      <c r="J203" s="176">
        <v>0.6</v>
      </c>
      <c r="K203" s="176">
        <v>0.6</v>
      </c>
      <c r="L203" s="176">
        <v>0.6</v>
      </c>
      <c r="M203" s="176">
        <v>0.6</v>
      </c>
      <c r="N203" s="176">
        <v>0.6</v>
      </c>
      <c r="O203" s="176">
        <v>0.6</v>
      </c>
      <c r="P203" s="176">
        <v>0.6</v>
      </c>
      <c r="Q203" s="176">
        <v>0.6</v>
      </c>
      <c r="R203" s="176">
        <v>0.6</v>
      </c>
      <c r="S203" s="176">
        <v>0.6</v>
      </c>
      <c r="T203" s="176">
        <v>0.6</v>
      </c>
      <c r="U203" s="176">
        <v>0.6</v>
      </c>
      <c r="V203" s="176">
        <v>0.6</v>
      </c>
      <c r="W203" s="176">
        <v>0.6</v>
      </c>
      <c r="X203" s="176">
        <v>0.6</v>
      </c>
      <c r="Y203" s="176">
        <v>0.6</v>
      </c>
      <c r="Z203" s="176">
        <v>0.6</v>
      </c>
      <c r="AA203" s="176">
        <v>0.6</v>
      </c>
      <c r="AB203" s="176">
        <v>0.6</v>
      </c>
      <c r="AC203" s="176">
        <v>0.6</v>
      </c>
      <c r="AD203" s="176">
        <v>0.6</v>
      </c>
      <c r="AE203" s="176">
        <v>0.6</v>
      </c>
      <c r="AF203" s="176">
        <v>0.6</v>
      </c>
      <c r="AG203" s="100">
        <v>0.6</v>
      </c>
      <c r="AH203" s="54"/>
      <c r="AI203" s="55"/>
      <c r="AK203" s="56"/>
    </row>
    <row r="204" spans="1:37" x14ac:dyDescent="0.25">
      <c r="A204" s="164" t="s">
        <v>228</v>
      </c>
      <c r="B204" s="176">
        <v>0.51800000000000002</v>
      </c>
      <c r="C204" s="176">
        <v>0.51800000000000002</v>
      </c>
      <c r="D204" s="176">
        <v>0.51800000000000002</v>
      </c>
      <c r="E204" s="176">
        <v>0.51800000000000002</v>
      </c>
      <c r="F204" s="176">
        <v>0.51800000000000002</v>
      </c>
      <c r="G204" s="176">
        <v>0.51800000000000002</v>
      </c>
      <c r="H204" s="176">
        <v>0.51800000000000002</v>
      </c>
      <c r="I204" s="176">
        <v>0.51800000000000002</v>
      </c>
      <c r="J204" s="176">
        <v>0.51800000000000002</v>
      </c>
      <c r="K204" s="176">
        <v>0.51800000000000002</v>
      </c>
      <c r="L204" s="176">
        <v>0.51800000000000002</v>
      </c>
      <c r="M204" s="176">
        <v>0.51800000000000002</v>
      </c>
      <c r="N204" s="176">
        <v>0.51800000000000002</v>
      </c>
      <c r="O204" s="176">
        <v>0.51800000000000002</v>
      </c>
      <c r="P204" s="176">
        <v>0.51800000000000002</v>
      </c>
      <c r="Q204" s="176">
        <v>0.51800000000000002</v>
      </c>
      <c r="R204" s="176">
        <v>0.51800000000000002</v>
      </c>
      <c r="S204" s="176">
        <v>0.51800000000000002</v>
      </c>
      <c r="T204" s="176">
        <v>0.51800000000000002</v>
      </c>
      <c r="U204" s="176">
        <v>0.51800000000000002</v>
      </c>
      <c r="V204" s="176">
        <v>0.51800000000000002</v>
      </c>
      <c r="W204" s="176">
        <v>0.51800000000000002</v>
      </c>
      <c r="X204" s="176">
        <v>0.51800000000000002</v>
      </c>
      <c r="Y204" s="176">
        <v>0.51800000000000002</v>
      </c>
      <c r="Z204" s="176">
        <v>0.51800000000000002</v>
      </c>
      <c r="AA204" s="176">
        <v>0.51800000000000002</v>
      </c>
      <c r="AB204" s="176">
        <v>0.51800000000000002</v>
      </c>
      <c r="AC204" s="176">
        <v>0.51800000000000002</v>
      </c>
      <c r="AD204" s="176">
        <v>0.51800000000000002</v>
      </c>
      <c r="AE204" s="176">
        <v>0.51800000000000002</v>
      </c>
      <c r="AF204" s="176">
        <v>0.51800000000000002</v>
      </c>
      <c r="AG204" s="100">
        <v>0.51800000000000002</v>
      </c>
      <c r="AH204" s="54"/>
      <c r="AI204" s="55"/>
      <c r="AK204" s="56"/>
    </row>
    <row r="205" spans="1:37" x14ac:dyDescent="0.25">
      <c r="A205" s="164" t="s">
        <v>229</v>
      </c>
      <c r="B205" s="176">
        <v>0.5</v>
      </c>
      <c r="C205" s="176">
        <v>0.5</v>
      </c>
      <c r="D205" s="176">
        <v>0.5</v>
      </c>
      <c r="E205" s="176">
        <v>0.5</v>
      </c>
      <c r="F205" s="176">
        <v>0.5</v>
      </c>
      <c r="G205" s="176">
        <v>0.5</v>
      </c>
      <c r="H205" s="176">
        <v>0.5</v>
      </c>
      <c r="I205" s="176">
        <v>0.5</v>
      </c>
      <c r="J205" s="176">
        <v>0.5</v>
      </c>
      <c r="K205" s="176">
        <v>0.5</v>
      </c>
      <c r="L205" s="176">
        <v>0.5</v>
      </c>
      <c r="M205" s="176">
        <v>0.5</v>
      </c>
      <c r="N205" s="176">
        <v>0.5</v>
      </c>
      <c r="O205" s="176">
        <v>0.5</v>
      </c>
      <c r="P205" s="176">
        <v>0.5</v>
      </c>
      <c r="Q205" s="176">
        <v>0.5</v>
      </c>
      <c r="R205" s="176">
        <v>0.5</v>
      </c>
      <c r="S205" s="176">
        <v>0.5</v>
      </c>
      <c r="T205" s="176">
        <v>0.5</v>
      </c>
      <c r="U205" s="176">
        <v>0.5</v>
      </c>
      <c r="V205" s="176">
        <v>0.5</v>
      </c>
      <c r="W205" s="176">
        <v>0.5</v>
      </c>
      <c r="X205" s="176">
        <v>0.5</v>
      </c>
      <c r="Y205" s="176">
        <v>0.5</v>
      </c>
      <c r="Z205" s="176">
        <v>0.5</v>
      </c>
      <c r="AA205" s="176">
        <v>0.5</v>
      </c>
      <c r="AB205" s="176">
        <v>0.5</v>
      </c>
      <c r="AC205" s="176">
        <v>0.5</v>
      </c>
      <c r="AD205" s="176">
        <v>0.5</v>
      </c>
      <c r="AE205" s="176">
        <v>0.5</v>
      </c>
      <c r="AF205" s="176">
        <v>0.5</v>
      </c>
      <c r="AG205" s="100">
        <v>0.5</v>
      </c>
      <c r="AH205" s="54"/>
      <c r="AI205" s="55"/>
      <c r="AK205" s="56"/>
    </row>
    <row r="206" spans="1:37" x14ac:dyDescent="0.25">
      <c r="A206" s="164" t="s">
        <v>230</v>
      </c>
      <c r="B206" s="176">
        <v>0.25</v>
      </c>
      <c r="C206" s="176">
        <v>0.25</v>
      </c>
      <c r="D206" s="176">
        <v>0.25</v>
      </c>
      <c r="E206" s="176">
        <v>0.25</v>
      </c>
      <c r="F206" s="176">
        <v>0.25</v>
      </c>
      <c r="G206" s="176">
        <v>0.25</v>
      </c>
      <c r="H206" s="176">
        <v>0.25</v>
      </c>
      <c r="I206" s="176">
        <v>0.25</v>
      </c>
      <c r="J206" s="176">
        <v>0.25</v>
      </c>
      <c r="K206" s="176">
        <v>0.25</v>
      </c>
      <c r="L206" s="176">
        <v>0.25</v>
      </c>
      <c r="M206" s="176">
        <v>0.25</v>
      </c>
      <c r="N206" s="176">
        <v>0.25</v>
      </c>
      <c r="O206" s="176">
        <v>0.25</v>
      </c>
      <c r="P206" s="176">
        <v>0.25</v>
      </c>
      <c r="Q206" s="176">
        <v>0.25</v>
      </c>
      <c r="R206" s="176">
        <v>0.25</v>
      </c>
      <c r="S206" s="176">
        <v>0.25</v>
      </c>
      <c r="T206" s="176">
        <v>0.25</v>
      </c>
      <c r="U206" s="176">
        <v>0.25</v>
      </c>
      <c r="V206" s="176">
        <v>0.25</v>
      </c>
      <c r="W206" s="176">
        <v>0.25</v>
      </c>
      <c r="X206" s="176">
        <v>0.25</v>
      </c>
      <c r="Y206" s="176">
        <v>0.25</v>
      </c>
      <c r="Z206" s="176">
        <v>0.25</v>
      </c>
      <c r="AA206" s="176">
        <v>0.25</v>
      </c>
      <c r="AB206" s="176">
        <v>0.25</v>
      </c>
      <c r="AC206" s="176">
        <v>0.25</v>
      </c>
      <c r="AD206" s="176">
        <v>0.25</v>
      </c>
      <c r="AE206" s="176">
        <v>0.25</v>
      </c>
      <c r="AF206" s="176">
        <v>0.25</v>
      </c>
      <c r="AG206" s="100">
        <v>0.25</v>
      </c>
      <c r="AH206" s="54"/>
      <c r="AI206" s="55"/>
      <c r="AK206" s="56"/>
    </row>
    <row r="207" spans="1:37" x14ac:dyDescent="0.25">
      <c r="A207" s="164" t="s">
        <v>231</v>
      </c>
      <c r="B207" s="176">
        <v>0.183</v>
      </c>
      <c r="C207" s="176">
        <v>0.183</v>
      </c>
      <c r="D207" s="176">
        <v>0.183</v>
      </c>
      <c r="E207" s="176">
        <v>0.183</v>
      </c>
      <c r="F207" s="176">
        <v>0.183</v>
      </c>
      <c r="G207" s="176">
        <v>0.183</v>
      </c>
      <c r="H207" s="176">
        <v>0.183</v>
      </c>
      <c r="I207" s="176">
        <v>0.183</v>
      </c>
      <c r="J207" s="176">
        <v>0.183</v>
      </c>
      <c r="K207" s="176">
        <v>0.183</v>
      </c>
      <c r="L207" s="176">
        <v>0.183</v>
      </c>
      <c r="M207" s="176">
        <v>0.183</v>
      </c>
      <c r="N207" s="176">
        <v>0.183</v>
      </c>
      <c r="O207" s="176">
        <v>0.183</v>
      </c>
      <c r="P207" s="176">
        <v>0.183</v>
      </c>
      <c r="Q207" s="176">
        <v>0.183</v>
      </c>
      <c r="R207" s="176">
        <v>0.183</v>
      </c>
      <c r="S207" s="176">
        <v>0.183</v>
      </c>
      <c r="T207" s="176">
        <v>0.183</v>
      </c>
      <c r="U207" s="176">
        <v>0.183</v>
      </c>
      <c r="V207" s="176">
        <v>0.183</v>
      </c>
      <c r="W207" s="176">
        <v>0.183</v>
      </c>
      <c r="X207" s="176">
        <v>0.183</v>
      </c>
      <c r="Y207" s="176">
        <v>0.183</v>
      </c>
      <c r="Z207" s="176">
        <v>0.183</v>
      </c>
      <c r="AA207" s="176">
        <v>0.183</v>
      </c>
      <c r="AB207" s="176">
        <v>0.183</v>
      </c>
      <c r="AC207" s="176">
        <v>0.183</v>
      </c>
      <c r="AD207" s="176">
        <v>0.183</v>
      </c>
      <c r="AE207" s="176">
        <v>0.183</v>
      </c>
      <c r="AF207" s="176">
        <v>0.183</v>
      </c>
      <c r="AG207" s="100">
        <v>0.183</v>
      </c>
      <c r="AH207" s="54"/>
      <c r="AI207" s="55"/>
      <c r="AK207" s="56"/>
    </row>
    <row r="208" spans="1:37" x14ac:dyDescent="0.25">
      <c r="A208" s="164" t="s">
        <v>232</v>
      </c>
      <c r="B208" s="176">
        <v>0.1</v>
      </c>
      <c r="C208" s="176">
        <v>0.1</v>
      </c>
      <c r="D208" s="176">
        <v>0.1</v>
      </c>
      <c r="E208" s="176">
        <v>0.1</v>
      </c>
      <c r="F208" s="176">
        <v>0.1</v>
      </c>
      <c r="G208" s="176">
        <v>0.1</v>
      </c>
      <c r="H208" s="176">
        <v>0.1</v>
      </c>
      <c r="I208" s="176">
        <v>0.1</v>
      </c>
      <c r="J208" s="176">
        <v>0.1</v>
      </c>
      <c r="K208" s="176">
        <v>0.1</v>
      </c>
      <c r="L208" s="176">
        <v>0.1</v>
      </c>
      <c r="M208" s="176">
        <v>0.1</v>
      </c>
      <c r="N208" s="176">
        <v>0.1</v>
      </c>
      <c r="O208" s="176">
        <v>0.1</v>
      </c>
      <c r="P208" s="176">
        <v>0.1</v>
      </c>
      <c r="Q208" s="176">
        <v>0.1</v>
      </c>
      <c r="R208" s="176">
        <v>0.1</v>
      </c>
      <c r="S208" s="176">
        <v>0.1</v>
      </c>
      <c r="T208" s="176">
        <v>0.1</v>
      </c>
      <c r="U208" s="176">
        <v>0.1</v>
      </c>
      <c r="V208" s="176">
        <v>0.1</v>
      </c>
      <c r="W208" s="176">
        <v>0.1</v>
      </c>
      <c r="X208" s="176">
        <v>0.1</v>
      </c>
      <c r="Y208" s="176">
        <v>0.1</v>
      </c>
      <c r="Z208" s="176">
        <v>0.1</v>
      </c>
      <c r="AA208" s="176">
        <v>0.1</v>
      </c>
      <c r="AB208" s="176">
        <v>0.1</v>
      </c>
      <c r="AC208" s="176">
        <v>0.1</v>
      </c>
      <c r="AD208" s="176">
        <v>0.1</v>
      </c>
      <c r="AE208" s="176">
        <v>0.1</v>
      </c>
      <c r="AF208" s="176">
        <v>0.1</v>
      </c>
      <c r="AG208" s="100">
        <v>0.1</v>
      </c>
      <c r="AH208" s="54"/>
      <c r="AI208" s="55"/>
      <c r="AK208" s="56"/>
    </row>
    <row r="209" spans="1:37" x14ac:dyDescent="0.25">
      <c r="A209" s="164" t="s">
        <v>233</v>
      </c>
      <c r="B209" s="176">
        <v>0.09</v>
      </c>
      <c r="C209" s="176">
        <v>0.09</v>
      </c>
      <c r="D209" s="176">
        <v>0.09</v>
      </c>
      <c r="E209" s="176">
        <v>0.09</v>
      </c>
      <c r="F209" s="176">
        <v>0.09</v>
      </c>
      <c r="G209" s="176">
        <v>0.09</v>
      </c>
      <c r="H209" s="176">
        <v>0.09</v>
      </c>
      <c r="I209" s="176">
        <v>0.09</v>
      </c>
      <c r="J209" s="176">
        <v>0.09</v>
      </c>
      <c r="K209" s="176">
        <v>0.09</v>
      </c>
      <c r="L209" s="176">
        <v>0.09</v>
      </c>
      <c r="M209" s="176">
        <v>0.09</v>
      </c>
      <c r="N209" s="176">
        <v>0.09</v>
      </c>
      <c r="O209" s="176">
        <v>0.09</v>
      </c>
      <c r="P209" s="176">
        <v>0.09</v>
      </c>
      <c r="Q209" s="176">
        <v>0.09</v>
      </c>
      <c r="R209" s="176">
        <v>0.09</v>
      </c>
      <c r="S209" s="176">
        <v>0.09</v>
      </c>
      <c r="T209" s="176">
        <v>0.09</v>
      </c>
      <c r="U209" s="176">
        <v>0.09</v>
      </c>
      <c r="V209" s="176">
        <v>0.09</v>
      </c>
      <c r="W209" s="176">
        <v>0.09</v>
      </c>
      <c r="X209" s="176">
        <v>0.09</v>
      </c>
      <c r="Y209" s="176">
        <v>0.09</v>
      </c>
      <c r="Z209" s="176">
        <v>0.09</v>
      </c>
      <c r="AA209" s="176">
        <v>0.09</v>
      </c>
      <c r="AB209" s="176">
        <v>0.09</v>
      </c>
      <c r="AC209" s="176">
        <v>0.09</v>
      </c>
      <c r="AD209" s="176">
        <v>0.09</v>
      </c>
      <c r="AE209" s="176">
        <v>0.09</v>
      </c>
      <c r="AF209" s="176">
        <v>0.09</v>
      </c>
      <c r="AG209" s="100">
        <v>0.09</v>
      </c>
      <c r="AH209" s="54"/>
      <c r="AI209" s="55"/>
      <c r="AK209" s="56"/>
    </row>
    <row r="210" spans="1:37" x14ac:dyDescent="0.25">
      <c r="A210" s="164" t="s">
        <v>234</v>
      </c>
      <c r="B210" s="176">
        <v>0.04</v>
      </c>
      <c r="C210" s="176">
        <v>0.04</v>
      </c>
      <c r="D210" s="176">
        <v>0.04</v>
      </c>
      <c r="E210" s="176">
        <v>0.04</v>
      </c>
      <c r="F210" s="176">
        <v>0.04</v>
      </c>
      <c r="G210" s="176">
        <v>0.04</v>
      </c>
      <c r="H210" s="176">
        <v>0.04</v>
      </c>
      <c r="I210" s="176">
        <v>0.04</v>
      </c>
      <c r="J210" s="176">
        <v>0.04</v>
      </c>
      <c r="K210" s="176">
        <v>0.04</v>
      </c>
      <c r="L210" s="176">
        <v>0.04</v>
      </c>
      <c r="M210" s="176">
        <v>0.04</v>
      </c>
      <c r="N210" s="176">
        <v>0.04</v>
      </c>
      <c r="O210" s="176">
        <v>0.04</v>
      </c>
      <c r="P210" s="176">
        <v>0.04</v>
      </c>
      <c r="Q210" s="176">
        <v>0.04</v>
      </c>
      <c r="R210" s="176">
        <v>0.04</v>
      </c>
      <c r="S210" s="176">
        <v>0.04</v>
      </c>
      <c r="T210" s="176">
        <v>0.04</v>
      </c>
      <c r="U210" s="176">
        <v>0.04</v>
      </c>
      <c r="V210" s="176">
        <v>0.04</v>
      </c>
      <c r="W210" s="176">
        <v>0.04</v>
      </c>
      <c r="X210" s="176">
        <v>0.04</v>
      </c>
      <c r="Y210" s="176">
        <v>0.04</v>
      </c>
      <c r="Z210" s="176">
        <v>0.04</v>
      </c>
      <c r="AA210" s="176">
        <v>0.04</v>
      </c>
      <c r="AB210" s="176">
        <v>0.04</v>
      </c>
      <c r="AC210" s="176">
        <v>0.04</v>
      </c>
      <c r="AD210" s="176">
        <v>0.04</v>
      </c>
      <c r="AE210" s="176">
        <v>0.04</v>
      </c>
      <c r="AF210" s="176">
        <v>0.04</v>
      </c>
      <c r="AG210" s="100">
        <v>0.04</v>
      </c>
      <c r="AH210" s="54"/>
      <c r="AI210" s="55"/>
      <c r="AK210" s="56"/>
    </row>
    <row r="211" spans="1:37" ht="15.75" thickBot="1" x14ac:dyDescent="0.3">
      <c r="A211" s="164" t="s">
        <v>235</v>
      </c>
      <c r="B211" s="177">
        <v>2.3E-2</v>
      </c>
      <c r="C211" s="177">
        <v>2.3E-2</v>
      </c>
      <c r="D211" s="177">
        <v>2.3E-2</v>
      </c>
      <c r="E211" s="177">
        <v>2.3E-2</v>
      </c>
      <c r="F211" s="177">
        <v>2.3E-2</v>
      </c>
      <c r="G211" s="177">
        <v>2.3E-2</v>
      </c>
      <c r="H211" s="177">
        <v>2.3E-2</v>
      </c>
      <c r="I211" s="177">
        <v>2.3E-2</v>
      </c>
      <c r="J211" s="177">
        <v>2.3E-2</v>
      </c>
      <c r="K211" s="177">
        <v>2.3E-2</v>
      </c>
      <c r="L211" s="177">
        <v>2.3E-2</v>
      </c>
      <c r="M211" s="177">
        <v>2.3E-2</v>
      </c>
      <c r="N211" s="177">
        <v>2.3E-2</v>
      </c>
      <c r="O211" s="177">
        <v>2.3E-2</v>
      </c>
      <c r="P211" s="177">
        <v>2.3E-2</v>
      </c>
      <c r="Q211" s="177">
        <v>2.3E-2</v>
      </c>
      <c r="R211" s="177">
        <v>2.3E-2</v>
      </c>
      <c r="S211" s="177">
        <v>2.3E-2</v>
      </c>
      <c r="T211" s="177">
        <v>2.3E-2</v>
      </c>
      <c r="U211" s="177">
        <v>2.3E-2</v>
      </c>
      <c r="V211" s="177">
        <v>2.3E-2</v>
      </c>
      <c r="W211" s="177">
        <v>2.3E-2</v>
      </c>
      <c r="X211" s="177">
        <v>2.3E-2</v>
      </c>
      <c r="Y211" s="177">
        <v>2.3E-2</v>
      </c>
      <c r="Z211" s="177">
        <v>2.3E-2</v>
      </c>
      <c r="AA211" s="177">
        <v>2.3E-2</v>
      </c>
      <c r="AB211" s="177">
        <v>2.3E-2</v>
      </c>
      <c r="AC211" s="177">
        <v>2.3E-2</v>
      </c>
      <c r="AD211" s="177">
        <v>2.3E-2</v>
      </c>
      <c r="AE211" s="177">
        <v>2.3E-2</v>
      </c>
      <c r="AF211" s="177">
        <v>2.3E-2</v>
      </c>
      <c r="AG211" s="100">
        <v>2.3E-2</v>
      </c>
      <c r="AH211" s="54"/>
      <c r="AI211" s="55"/>
      <c r="AK211" s="56"/>
    </row>
    <row r="212" spans="1:37" ht="15.75" thickBot="1" x14ac:dyDescent="0.3">
      <c r="A212" s="165" t="s">
        <v>82</v>
      </c>
      <c r="B212" s="167">
        <f>SUM(B107:B211)</f>
        <v>434.88839999999982</v>
      </c>
      <c r="C212" s="103">
        <f t="shared" ref="C212:AG212" si="31">SUM(C107:C211)</f>
        <v>434.88839999999982</v>
      </c>
      <c r="D212" s="103">
        <f t="shared" si="31"/>
        <v>434.88839999999982</v>
      </c>
      <c r="E212" s="103">
        <f t="shared" si="31"/>
        <v>434.88839999999982</v>
      </c>
      <c r="F212" s="103">
        <f t="shared" si="31"/>
        <v>434.88839999999982</v>
      </c>
      <c r="G212" s="103">
        <f t="shared" si="31"/>
        <v>434.88839999999982</v>
      </c>
      <c r="H212" s="103">
        <f t="shared" si="31"/>
        <v>434.88839999999982</v>
      </c>
      <c r="I212" s="103">
        <f t="shared" si="31"/>
        <v>434.88839999999982</v>
      </c>
      <c r="J212" s="103">
        <f t="shared" si="31"/>
        <v>434.88839999999982</v>
      </c>
      <c r="K212" s="103">
        <f t="shared" si="31"/>
        <v>434.88839999999982</v>
      </c>
      <c r="L212" s="103">
        <f t="shared" si="31"/>
        <v>434.88839999999982</v>
      </c>
      <c r="M212" s="103">
        <f t="shared" si="31"/>
        <v>434.88839999999982</v>
      </c>
      <c r="N212" s="103">
        <f t="shared" si="31"/>
        <v>434.88839999999982</v>
      </c>
      <c r="O212" s="103">
        <f t="shared" si="31"/>
        <v>434.88839999999982</v>
      </c>
      <c r="P212" s="103">
        <f t="shared" si="31"/>
        <v>434.88839999999982</v>
      </c>
      <c r="Q212" s="103">
        <f t="shared" si="31"/>
        <v>434.88839999999982</v>
      </c>
      <c r="R212" s="103">
        <f t="shared" si="31"/>
        <v>434.88839999999982</v>
      </c>
      <c r="S212" s="103">
        <f t="shared" si="31"/>
        <v>434.88839999999982</v>
      </c>
      <c r="T212" s="103">
        <f t="shared" si="31"/>
        <v>434.88839999999982</v>
      </c>
      <c r="U212" s="103">
        <f t="shared" si="31"/>
        <v>434.88839999999982</v>
      </c>
      <c r="V212" s="103">
        <f t="shared" si="31"/>
        <v>434.88839999999982</v>
      </c>
      <c r="W212" s="103">
        <f t="shared" si="31"/>
        <v>434.88839999999982</v>
      </c>
      <c r="X212" s="103">
        <f t="shared" si="31"/>
        <v>434.88839999999982</v>
      </c>
      <c r="Y212" s="103">
        <f t="shared" si="31"/>
        <v>434.88839999999982</v>
      </c>
      <c r="Z212" s="103">
        <f t="shared" si="31"/>
        <v>434.88839999999982</v>
      </c>
      <c r="AA212" s="103">
        <f t="shared" si="31"/>
        <v>434.88839999999982</v>
      </c>
      <c r="AB212" s="103">
        <f t="shared" si="31"/>
        <v>434.88839999999982</v>
      </c>
      <c r="AC212" s="103">
        <f t="shared" si="31"/>
        <v>434.88839999999982</v>
      </c>
      <c r="AD212" s="103">
        <f t="shared" si="31"/>
        <v>434.88839999999982</v>
      </c>
      <c r="AE212" s="103">
        <f t="shared" si="31"/>
        <v>434.88839999999982</v>
      </c>
      <c r="AF212" s="168">
        <f t="shared" si="31"/>
        <v>426.88839999999982</v>
      </c>
      <c r="AG212" s="169">
        <f t="shared" si="31"/>
        <v>434.88839999999982</v>
      </c>
      <c r="AH212" s="54"/>
      <c r="AI212" s="55"/>
      <c r="AK212" s="56"/>
    </row>
    <row r="213" spans="1:37" ht="15.75" thickBot="1" x14ac:dyDescent="0.3">
      <c r="A213" s="28" t="s">
        <v>35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149"/>
      <c r="AH213" s="54"/>
      <c r="AI213" s="55"/>
      <c r="AK213" s="56"/>
    </row>
    <row r="214" spans="1:37" x14ac:dyDescent="0.25">
      <c r="A214" s="170" t="s">
        <v>83</v>
      </c>
      <c r="B214" s="101">
        <f t="shared" ref="B214:B219" si="32">AF214</f>
        <v>0</v>
      </c>
      <c r="C214" s="101">
        <v>0.3</v>
      </c>
      <c r="D214" s="101">
        <f t="shared" ref="D214:P219" si="33">C214</f>
        <v>0.3</v>
      </c>
      <c r="E214" s="101">
        <f t="shared" si="33"/>
        <v>0.3</v>
      </c>
      <c r="F214" s="101">
        <f t="shared" si="33"/>
        <v>0.3</v>
      </c>
      <c r="G214" s="101">
        <f t="shared" si="33"/>
        <v>0.3</v>
      </c>
      <c r="H214" s="101">
        <f t="shared" si="33"/>
        <v>0.3</v>
      </c>
      <c r="I214" s="101">
        <f t="shared" si="33"/>
        <v>0.3</v>
      </c>
      <c r="J214" s="101">
        <f t="shared" si="33"/>
        <v>0.3</v>
      </c>
      <c r="K214" s="101">
        <f t="shared" si="33"/>
        <v>0.3</v>
      </c>
      <c r="L214" s="101">
        <f t="shared" si="33"/>
        <v>0.3</v>
      </c>
      <c r="M214" s="101">
        <f t="shared" si="33"/>
        <v>0.3</v>
      </c>
      <c r="N214" s="101">
        <f t="shared" si="33"/>
        <v>0.3</v>
      </c>
      <c r="O214" s="101">
        <f t="shared" si="33"/>
        <v>0.3</v>
      </c>
      <c r="P214" s="101">
        <f t="shared" si="33"/>
        <v>0.3</v>
      </c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55">
        <v>2.4</v>
      </c>
      <c r="AH214" s="54"/>
      <c r="AI214" s="55"/>
      <c r="AK214" s="56"/>
    </row>
    <row r="215" spans="1:37" x14ac:dyDescent="0.25">
      <c r="A215" s="163" t="s">
        <v>84</v>
      </c>
      <c r="B215" s="97">
        <f t="shared" si="32"/>
        <v>0</v>
      </c>
      <c r="C215" s="97">
        <v>0.4</v>
      </c>
      <c r="D215" s="97">
        <f t="shared" si="33"/>
        <v>0.4</v>
      </c>
      <c r="E215" s="97">
        <f t="shared" si="33"/>
        <v>0.4</v>
      </c>
      <c r="F215" s="97">
        <f t="shared" si="33"/>
        <v>0.4</v>
      </c>
      <c r="G215" s="97">
        <f t="shared" si="33"/>
        <v>0.4</v>
      </c>
      <c r="H215" s="97">
        <f t="shared" si="33"/>
        <v>0.4</v>
      </c>
      <c r="I215" s="97">
        <f t="shared" si="33"/>
        <v>0.4</v>
      </c>
      <c r="J215" s="97">
        <f t="shared" si="33"/>
        <v>0.4</v>
      </c>
      <c r="K215" s="97">
        <f t="shared" si="33"/>
        <v>0.4</v>
      </c>
      <c r="L215" s="97">
        <f t="shared" si="33"/>
        <v>0.4</v>
      </c>
      <c r="M215" s="97">
        <f t="shared" si="33"/>
        <v>0.4</v>
      </c>
      <c r="N215" s="97">
        <f t="shared" si="33"/>
        <v>0.4</v>
      </c>
      <c r="O215" s="97">
        <f t="shared" si="33"/>
        <v>0.4</v>
      </c>
      <c r="P215" s="97">
        <f t="shared" si="33"/>
        <v>0.4</v>
      </c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56">
        <v>2</v>
      </c>
      <c r="AH215" s="54"/>
      <c r="AI215" s="55"/>
      <c r="AK215" s="56"/>
    </row>
    <row r="216" spans="1:37" x14ac:dyDescent="0.25">
      <c r="A216" s="163" t="s">
        <v>85</v>
      </c>
      <c r="B216" s="97">
        <f t="shared" si="32"/>
        <v>0</v>
      </c>
      <c r="C216" s="97">
        <v>1.5</v>
      </c>
      <c r="D216" s="97">
        <f t="shared" si="33"/>
        <v>1.5</v>
      </c>
      <c r="E216" s="97">
        <f t="shared" si="33"/>
        <v>1.5</v>
      </c>
      <c r="F216" s="97">
        <f t="shared" si="33"/>
        <v>1.5</v>
      </c>
      <c r="G216" s="97">
        <f t="shared" si="33"/>
        <v>1.5</v>
      </c>
      <c r="H216" s="97">
        <f t="shared" si="33"/>
        <v>1.5</v>
      </c>
      <c r="I216" s="97">
        <f t="shared" si="33"/>
        <v>1.5</v>
      </c>
      <c r="J216" s="97">
        <f t="shared" si="33"/>
        <v>1.5</v>
      </c>
      <c r="K216" s="97">
        <f t="shared" si="33"/>
        <v>1.5</v>
      </c>
      <c r="L216" s="97">
        <f t="shared" si="33"/>
        <v>1.5</v>
      </c>
      <c r="M216" s="97">
        <f t="shared" si="33"/>
        <v>1.5</v>
      </c>
      <c r="N216" s="97">
        <f t="shared" si="33"/>
        <v>1.5</v>
      </c>
      <c r="O216" s="97">
        <f t="shared" si="33"/>
        <v>1.5</v>
      </c>
      <c r="P216" s="97">
        <f t="shared" si="33"/>
        <v>1.5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1.5</v>
      </c>
      <c r="AH216" s="54"/>
      <c r="AI216" s="55"/>
      <c r="AK216" s="56"/>
    </row>
    <row r="217" spans="1:37" x14ac:dyDescent="0.25">
      <c r="A217" s="163" t="s">
        <v>86</v>
      </c>
      <c r="B217" s="97">
        <f t="shared" si="32"/>
        <v>0</v>
      </c>
      <c r="C217" s="97">
        <v>0.3</v>
      </c>
      <c r="D217" s="97">
        <f t="shared" si="33"/>
        <v>0.3</v>
      </c>
      <c r="E217" s="97">
        <f t="shared" si="33"/>
        <v>0.3</v>
      </c>
      <c r="F217" s="97">
        <f t="shared" si="33"/>
        <v>0.3</v>
      </c>
      <c r="G217" s="97">
        <f t="shared" si="33"/>
        <v>0.3</v>
      </c>
      <c r="H217" s="97">
        <f t="shared" si="33"/>
        <v>0.3</v>
      </c>
      <c r="I217" s="97">
        <f t="shared" si="33"/>
        <v>0.3</v>
      </c>
      <c r="J217" s="97">
        <f t="shared" si="33"/>
        <v>0.3</v>
      </c>
      <c r="K217" s="97">
        <f t="shared" si="33"/>
        <v>0.3</v>
      </c>
      <c r="L217" s="97">
        <f t="shared" si="33"/>
        <v>0.3</v>
      </c>
      <c r="M217" s="97">
        <f t="shared" si="33"/>
        <v>0.3</v>
      </c>
      <c r="N217" s="97">
        <f t="shared" si="33"/>
        <v>0.3</v>
      </c>
      <c r="O217" s="97">
        <f t="shared" si="33"/>
        <v>0.3</v>
      </c>
      <c r="P217" s="97">
        <f t="shared" si="33"/>
        <v>0.3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</v>
      </c>
      <c r="AH217" s="54"/>
      <c r="AI217" s="55"/>
      <c r="AK217" s="56"/>
    </row>
    <row r="218" spans="1:37" x14ac:dyDescent="0.25">
      <c r="A218" s="163" t="s">
        <v>87</v>
      </c>
      <c r="B218" s="97">
        <f t="shared" si="32"/>
        <v>0</v>
      </c>
      <c r="C218" s="97">
        <v>0.4</v>
      </c>
      <c r="D218" s="97">
        <f t="shared" si="33"/>
        <v>0.4</v>
      </c>
      <c r="E218" s="97">
        <f t="shared" si="33"/>
        <v>0.4</v>
      </c>
      <c r="F218" s="97">
        <f t="shared" si="33"/>
        <v>0.4</v>
      </c>
      <c r="G218" s="97">
        <f t="shared" si="33"/>
        <v>0.4</v>
      </c>
      <c r="H218" s="97">
        <f t="shared" si="33"/>
        <v>0.4</v>
      </c>
      <c r="I218" s="97">
        <f t="shared" si="33"/>
        <v>0.4</v>
      </c>
      <c r="J218" s="97">
        <f t="shared" si="33"/>
        <v>0.4</v>
      </c>
      <c r="K218" s="97">
        <f t="shared" si="33"/>
        <v>0.4</v>
      </c>
      <c r="L218" s="97">
        <f t="shared" si="33"/>
        <v>0.4</v>
      </c>
      <c r="M218" s="97">
        <f t="shared" si="33"/>
        <v>0.4</v>
      </c>
      <c r="N218" s="97">
        <f t="shared" si="33"/>
        <v>0.4</v>
      </c>
      <c r="O218" s="97">
        <f t="shared" si="33"/>
        <v>0.4</v>
      </c>
      <c r="P218" s="97">
        <f t="shared" si="33"/>
        <v>0.4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ht="15.75" thickBot="1" x14ac:dyDescent="0.3">
      <c r="A219" s="164" t="s">
        <v>88</v>
      </c>
      <c r="B219" s="102">
        <f t="shared" si="32"/>
        <v>0</v>
      </c>
      <c r="C219" s="102">
        <v>0.64</v>
      </c>
      <c r="D219" s="102">
        <f t="shared" si="33"/>
        <v>0.64</v>
      </c>
      <c r="E219" s="102">
        <f t="shared" si="33"/>
        <v>0.64</v>
      </c>
      <c r="F219" s="102">
        <f t="shared" si="33"/>
        <v>0.64</v>
      </c>
      <c r="G219" s="102">
        <f t="shared" si="33"/>
        <v>0.64</v>
      </c>
      <c r="H219" s="102">
        <f t="shared" si="33"/>
        <v>0.64</v>
      </c>
      <c r="I219" s="102">
        <f t="shared" si="33"/>
        <v>0.64</v>
      </c>
      <c r="J219" s="102">
        <f t="shared" si="33"/>
        <v>0.64</v>
      </c>
      <c r="K219" s="102">
        <f t="shared" si="33"/>
        <v>0.64</v>
      </c>
      <c r="L219" s="102">
        <f t="shared" si="33"/>
        <v>0.64</v>
      </c>
      <c r="M219" s="102">
        <f t="shared" si="33"/>
        <v>0.64</v>
      </c>
      <c r="N219" s="102">
        <f t="shared" si="33"/>
        <v>0.64</v>
      </c>
      <c r="O219" s="102">
        <f t="shared" si="33"/>
        <v>0.64</v>
      </c>
      <c r="P219" s="102">
        <f t="shared" si="33"/>
        <v>0.64</v>
      </c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57">
        <v>0.66</v>
      </c>
      <c r="AH219" s="54"/>
      <c r="AI219" s="55"/>
    </row>
    <row r="220" spans="1:37" ht="15.75" thickBot="1" x14ac:dyDescent="0.3">
      <c r="A220" s="173" t="s">
        <v>35</v>
      </c>
      <c r="B220" s="103">
        <f>SUM(B214:B219)</f>
        <v>0</v>
      </c>
      <c r="C220" s="103">
        <f>SUM(C214:C219)</f>
        <v>3.54</v>
      </c>
      <c r="D220" s="103">
        <f t="shared" ref="D220:L220" si="34">SUM(D214:D219)</f>
        <v>3.54</v>
      </c>
      <c r="E220" s="103">
        <f t="shared" si="34"/>
        <v>3.54</v>
      </c>
      <c r="F220" s="103">
        <f t="shared" si="34"/>
        <v>3.54</v>
      </c>
      <c r="G220" s="103">
        <f t="shared" si="34"/>
        <v>3.54</v>
      </c>
      <c r="H220" s="103">
        <f t="shared" si="34"/>
        <v>3.54</v>
      </c>
      <c r="I220" s="103">
        <f t="shared" si="34"/>
        <v>3.54</v>
      </c>
      <c r="J220" s="103">
        <f t="shared" si="34"/>
        <v>3.54</v>
      </c>
      <c r="K220" s="103">
        <f t="shared" si="34"/>
        <v>3.54</v>
      </c>
      <c r="L220" s="103">
        <f t="shared" si="34"/>
        <v>3.54</v>
      </c>
      <c r="M220" s="103">
        <f>SUM(M214:M219)</f>
        <v>3.54</v>
      </c>
      <c r="N220" s="103">
        <f t="shared" ref="N220:S220" si="35">SUM(N214:N219)</f>
        <v>3.54</v>
      </c>
      <c r="O220" s="103">
        <f t="shared" si="35"/>
        <v>3.54</v>
      </c>
      <c r="P220" s="103">
        <f t="shared" si="35"/>
        <v>3.54</v>
      </c>
      <c r="Q220" s="103">
        <f t="shared" si="35"/>
        <v>0</v>
      </c>
      <c r="R220" s="103">
        <f t="shared" si="35"/>
        <v>0</v>
      </c>
      <c r="S220" s="103">
        <f t="shared" si="35"/>
        <v>0</v>
      </c>
      <c r="T220" s="103">
        <f>SUM(T214:T219)</f>
        <v>0</v>
      </c>
      <c r="U220" s="103">
        <f t="shared" ref="U220:AG220" si="36">SUM(U214:U219)</f>
        <v>0</v>
      </c>
      <c r="V220" s="103">
        <f t="shared" si="36"/>
        <v>0</v>
      </c>
      <c r="W220" s="103">
        <f t="shared" si="36"/>
        <v>0</v>
      </c>
      <c r="X220" s="103">
        <f t="shared" si="36"/>
        <v>0</v>
      </c>
      <c r="Y220" s="103">
        <f t="shared" si="36"/>
        <v>0</v>
      </c>
      <c r="Z220" s="103">
        <f t="shared" si="36"/>
        <v>0</v>
      </c>
      <c r="AA220" s="103">
        <f t="shared" si="36"/>
        <v>0</v>
      </c>
      <c r="AB220" s="103">
        <f t="shared" si="36"/>
        <v>0</v>
      </c>
      <c r="AC220" s="103">
        <f t="shared" si="36"/>
        <v>0</v>
      </c>
      <c r="AD220" s="103">
        <f t="shared" si="36"/>
        <v>0</v>
      </c>
      <c r="AE220" s="103">
        <f t="shared" si="36"/>
        <v>0</v>
      </c>
      <c r="AF220" s="103">
        <f t="shared" si="36"/>
        <v>0</v>
      </c>
      <c r="AG220" s="158">
        <f t="shared" si="36"/>
        <v>8.56</v>
      </c>
      <c r="AH220" s="54"/>
      <c r="AI220" s="55"/>
    </row>
    <row r="221" spans="1:37" ht="15.75" thickBot="1" x14ac:dyDescent="0.3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84"/>
      <c r="AH221" s="47"/>
    </row>
    <row r="222" spans="1:37" x14ac:dyDescent="0.25">
      <c r="A222" s="79" t="s">
        <v>89</v>
      </c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5"/>
      <c r="AG222" s="47"/>
      <c r="AH222" s="54"/>
      <c r="AI222" s="55"/>
    </row>
    <row r="223" spans="1:37" x14ac:dyDescent="0.25">
      <c r="A223" s="106" t="s">
        <v>90</v>
      </c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8"/>
      <c r="AG223" s="109"/>
      <c r="AH223" s="54"/>
      <c r="AI223" s="55"/>
    </row>
    <row r="224" spans="1:37" x14ac:dyDescent="0.25">
      <c r="A224" s="81" t="s">
        <v>91</v>
      </c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1"/>
      <c r="AG224" s="109"/>
      <c r="AH224" s="54"/>
      <c r="AI224" s="55"/>
    </row>
    <row r="225" spans="1:50" x14ac:dyDescent="0.25">
      <c r="A225" s="81" t="s">
        <v>92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ht="15.75" thickBot="1" x14ac:dyDescent="0.3">
      <c r="A226" s="112" t="s">
        <v>93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4"/>
      <c r="AG226" s="109"/>
      <c r="AH226" s="54"/>
      <c r="AI226" s="55"/>
    </row>
    <row r="227" spans="1:50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50" x14ac:dyDescent="0.25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50" x14ac:dyDescent="0.25">
      <c r="A229" s="115" t="s">
        <v>94</v>
      </c>
      <c r="B229" s="116">
        <f>MAX(G79:N79)</f>
        <v>1803.5400000000002</v>
      </c>
      <c r="C229" s="117">
        <f>INDEX(G9:N9,1,MATCH(MAX(G79:N79),G79:N79,0))</f>
        <v>0.20833333333333301</v>
      </c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50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118" t="str">
        <f ca="1">MID(CELL("filename",C7),FIND("]",CELL("filename",C7))+1,600)</f>
        <v>2</v>
      </c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50" x14ac:dyDescent="0.25">
      <c r="A231" s="208" t="s">
        <v>95</v>
      </c>
      <c r="B231" s="208"/>
      <c r="C231" s="47"/>
      <c r="D231" s="118" t="str">
        <f ca="1">"Pie Chart of Daily Peak Demand(Inclusive of Export) of Nepal ("&amp;A4&amp;" "&amp;B4&amp;")"</f>
        <v>Pie Chart of Daily Peak Demand(Inclusive of Export) of Nepal (Nepali Date: 2079/02/2)</v>
      </c>
      <c r="E231" s="47"/>
      <c r="F231" s="47"/>
      <c r="G231" s="118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118" t="str">
        <f ca="1">"Daily Load Curve(Excluding of Export) of Nepal ("&amp;A4&amp;" "&amp;B4&amp;")"</f>
        <v>Daily Load Curve(Excluding of Export) of Nepal (Nepali Date: 2079/02/2)</v>
      </c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50" ht="12.75" customHeight="1" thickBot="1" x14ac:dyDescent="0.3">
      <c r="A232" s="119" t="s">
        <v>7</v>
      </c>
      <c r="B232" s="120"/>
      <c r="C232" s="47"/>
      <c r="D232" s="121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50" ht="15.75" thickTop="1" x14ac:dyDescent="0.25">
      <c r="A233" s="119" t="s">
        <v>96</v>
      </c>
      <c r="B233" s="120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122" t="s">
        <v>97</v>
      </c>
      <c r="T233" s="123">
        <v>0</v>
      </c>
      <c r="U233" s="124">
        <v>4.1666666666666664E-2</v>
      </c>
      <c r="V233" s="125">
        <v>8.3333333333333301E-2</v>
      </c>
      <c r="W233" s="125">
        <v>0.125</v>
      </c>
      <c r="X233" s="125">
        <v>0.16666666666666699</v>
      </c>
      <c r="Y233" s="125">
        <v>0.20833333333333301</v>
      </c>
      <c r="Z233" s="125">
        <v>0.22916666666666666</v>
      </c>
      <c r="AA233" s="125">
        <v>0.25</v>
      </c>
      <c r="AB233" s="125">
        <v>0.27083333333333331</v>
      </c>
      <c r="AC233" s="125">
        <v>0.29166666666666669</v>
      </c>
      <c r="AD233" s="125">
        <v>0.3125</v>
      </c>
      <c r="AE233" s="126">
        <v>0.33333333333333331</v>
      </c>
      <c r="AF233" s="126">
        <v>0.375</v>
      </c>
      <c r="AG233" s="126">
        <v>0.41666666666666702</v>
      </c>
      <c r="AH233" s="126">
        <v>0.45833333333333298</v>
      </c>
      <c r="AI233" s="126">
        <v>0.5</v>
      </c>
      <c r="AJ233" s="126">
        <v>0.54166666666666696</v>
      </c>
      <c r="AK233" s="126">
        <v>0.58333333333333304</v>
      </c>
      <c r="AL233" s="126">
        <v>0.625</v>
      </c>
      <c r="AM233" s="126">
        <v>0.66666666666666696</v>
      </c>
      <c r="AN233" s="126">
        <v>0.70833333333333304</v>
      </c>
      <c r="AO233" s="126">
        <v>0.72916666666666663</v>
      </c>
      <c r="AP233" s="126">
        <v>0.75</v>
      </c>
      <c r="AQ233" s="126">
        <v>0.77083333333333337</v>
      </c>
      <c r="AR233" s="126">
        <v>0.79166666666666663</v>
      </c>
      <c r="AS233" s="126">
        <v>0.8125</v>
      </c>
      <c r="AT233" s="125">
        <v>0.83333333333333337</v>
      </c>
      <c r="AU233" s="125">
        <v>0.85416666666666663</v>
      </c>
      <c r="AV233" s="125">
        <v>0.875</v>
      </c>
      <c r="AW233" s="125">
        <v>0.91666666666666696</v>
      </c>
      <c r="AX233" s="125">
        <v>0.95833333333333304</v>
      </c>
    </row>
    <row r="234" spans="1:50" x14ac:dyDescent="0.25">
      <c r="A234" s="119" t="s">
        <v>98</v>
      </c>
      <c r="B234" s="120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 t="s">
        <v>99</v>
      </c>
      <c r="T234" s="127">
        <f t="shared" ref="T234:AX234" si="37">B79</f>
        <v>1862.5400000000002</v>
      </c>
      <c r="U234" s="127">
        <f t="shared" si="37"/>
        <v>1856.74</v>
      </c>
      <c r="V234" s="127">
        <f t="shared" si="37"/>
        <v>1823.5400000000002</v>
      </c>
      <c r="W234" s="127">
        <f t="shared" si="37"/>
        <v>1835.2400000000002</v>
      </c>
      <c r="X234" s="127">
        <f t="shared" si="37"/>
        <v>1831.1399999999996</v>
      </c>
      <c r="Y234" s="127">
        <f t="shared" si="37"/>
        <v>1803.5400000000002</v>
      </c>
      <c r="Z234" s="127">
        <f t="shared" si="37"/>
        <v>1796.04</v>
      </c>
      <c r="AA234" s="127">
        <f t="shared" si="37"/>
        <v>1759.1399999999999</v>
      </c>
      <c r="AB234" s="127">
        <f t="shared" si="37"/>
        <v>1790.1399999999999</v>
      </c>
      <c r="AC234" s="127">
        <f t="shared" si="37"/>
        <v>1778.74</v>
      </c>
      <c r="AD234" s="127">
        <f t="shared" si="37"/>
        <v>1772.74</v>
      </c>
      <c r="AE234" s="127">
        <f t="shared" si="37"/>
        <v>1786.3400000000001</v>
      </c>
      <c r="AF234" s="127">
        <f t="shared" si="37"/>
        <v>1746.44</v>
      </c>
      <c r="AG234" s="127">
        <f t="shared" si="37"/>
        <v>1888.2400000000002</v>
      </c>
      <c r="AH234" s="127">
        <f t="shared" si="37"/>
        <v>1844.84</v>
      </c>
      <c r="AI234" s="127">
        <f t="shared" si="37"/>
        <v>1856.5400000000002</v>
      </c>
      <c r="AJ234" s="127">
        <f t="shared" si="37"/>
        <v>1878.84</v>
      </c>
      <c r="AK234" s="127">
        <f t="shared" si="37"/>
        <v>1852.54</v>
      </c>
      <c r="AL234" s="127">
        <f t="shared" si="37"/>
        <v>1836.54</v>
      </c>
      <c r="AM234" s="127">
        <f t="shared" si="37"/>
        <v>1797.64</v>
      </c>
      <c r="AN234" s="127">
        <f t="shared" si="37"/>
        <v>1815.44</v>
      </c>
      <c r="AO234" s="127">
        <f t="shared" si="37"/>
        <v>1849.24</v>
      </c>
      <c r="AP234" s="127">
        <f t="shared" si="37"/>
        <v>1842.54</v>
      </c>
      <c r="AQ234" s="127">
        <f t="shared" si="37"/>
        <v>1831.34</v>
      </c>
      <c r="AR234" s="127">
        <f t="shared" si="37"/>
        <v>1821.1399999999999</v>
      </c>
      <c r="AS234" s="127">
        <f t="shared" si="37"/>
        <v>1883.3400000000001</v>
      </c>
      <c r="AT234" s="127">
        <f t="shared" si="37"/>
        <v>1867.44</v>
      </c>
      <c r="AU234" s="127">
        <f t="shared" si="37"/>
        <v>1883.1399999999999</v>
      </c>
      <c r="AV234" s="127">
        <f t="shared" si="37"/>
        <v>1861.54</v>
      </c>
      <c r="AW234" s="127">
        <f t="shared" si="37"/>
        <v>1849.54</v>
      </c>
      <c r="AX234" s="127">
        <f t="shared" si="37"/>
        <v>1828.7400000000002</v>
      </c>
    </row>
    <row r="235" spans="1:50" x14ac:dyDescent="0.25">
      <c r="A235" s="119" t="s">
        <v>100</v>
      </c>
      <c r="B235" s="120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</row>
    <row r="236" spans="1:50" x14ac:dyDescent="0.25">
      <c r="A236" s="119" t="s">
        <v>101</v>
      </c>
      <c r="B236" s="120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</row>
    <row r="237" spans="1:50" x14ac:dyDescent="0.25">
      <c r="A237" s="119" t="s">
        <v>102</v>
      </c>
      <c r="B237" s="120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50" x14ac:dyDescent="0.25">
      <c r="A238" s="119" t="s">
        <v>103</v>
      </c>
      <c r="B238" s="128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50" x14ac:dyDescent="0.25">
      <c r="A239" s="119" t="s">
        <v>104</v>
      </c>
      <c r="B239" s="120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50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1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1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1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1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1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</row>
    <row r="246" spans="1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J246"/>
    </row>
    <row r="247" spans="1:36" x14ac:dyDescent="0.25"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J247"/>
    </row>
    <row r="248" spans="1:36" x14ac:dyDescent="0.25"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J248"/>
    </row>
    <row r="249" spans="1:36" x14ac:dyDescent="0.25"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J249"/>
    </row>
    <row r="250" spans="1:36" x14ac:dyDescent="0.25"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J250"/>
    </row>
    <row r="251" spans="1:36" x14ac:dyDescent="0.25"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J251"/>
    </row>
    <row r="252" spans="1:36" x14ac:dyDescent="0.25"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J252"/>
    </row>
    <row r="253" spans="1:36" x14ac:dyDescent="0.25"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J253"/>
    </row>
    <row r="254" spans="1:36" x14ac:dyDescent="0.25"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J254"/>
    </row>
    <row r="255" spans="1:36" x14ac:dyDescent="0.25">
      <c r="A255" s="129" t="s">
        <v>89</v>
      </c>
      <c r="B255" s="130">
        <f t="shared" ref="B255:AE255" si="38">C219</f>
        <v>0.64</v>
      </c>
      <c r="C255" s="130">
        <f t="shared" si="38"/>
        <v>0.64</v>
      </c>
      <c r="D255" s="130">
        <f t="shared" si="38"/>
        <v>0.64</v>
      </c>
      <c r="E255" s="130">
        <f t="shared" si="38"/>
        <v>0.64</v>
      </c>
      <c r="F255" s="130">
        <f t="shared" si="38"/>
        <v>0.64</v>
      </c>
      <c r="G255" s="130">
        <f t="shared" si="38"/>
        <v>0.64</v>
      </c>
      <c r="H255" s="130">
        <f t="shared" si="38"/>
        <v>0.64</v>
      </c>
      <c r="I255" s="130">
        <f t="shared" si="38"/>
        <v>0.64</v>
      </c>
      <c r="J255" s="130">
        <f t="shared" si="38"/>
        <v>0.64</v>
      </c>
      <c r="K255" s="130">
        <f t="shared" si="38"/>
        <v>0.64</v>
      </c>
      <c r="L255" s="130">
        <f t="shared" si="38"/>
        <v>0.64</v>
      </c>
      <c r="M255" s="130">
        <f t="shared" si="38"/>
        <v>0.64</v>
      </c>
      <c r="N255" s="130">
        <f t="shared" si="38"/>
        <v>0.64</v>
      </c>
      <c r="O255" s="130">
        <f t="shared" si="38"/>
        <v>0.64</v>
      </c>
      <c r="P255" s="130">
        <f t="shared" si="38"/>
        <v>0</v>
      </c>
      <c r="Q255" s="130">
        <f t="shared" si="38"/>
        <v>0</v>
      </c>
      <c r="R255" s="130">
        <f t="shared" si="38"/>
        <v>0</v>
      </c>
      <c r="S255" s="130">
        <f t="shared" si="38"/>
        <v>0</v>
      </c>
      <c r="T255" s="130">
        <f t="shared" si="38"/>
        <v>0</v>
      </c>
      <c r="U255" s="130">
        <f t="shared" si="38"/>
        <v>0</v>
      </c>
      <c r="V255" s="130">
        <f t="shared" si="38"/>
        <v>0</v>
      </c>
      <c r="W255" s="130">
        <f t="shared" si="38"/>
        <v>0</v>
      </c>
      <c r="X255" s="130">
        <f t="shared" si="38"/>
        <v>0</v>
      </c>
      <c r="Y255" s="130">
        <f t="shared" si="38"/>
        <v>0</v>
      </c>
      <c r="Z255" s="130">
        <f t="shared" si="38"/>
        <v>0</v>
      </c>
      <c r="AA255" s="130">
        <f t="shared" si="38"/>
        <v>0</v>
      </c>
      <c r="AB255" s="130">
        <f t="shared" si="38"/>
        <v>0</v>
      </c>
      <c r="AC255" s="130">
        <f t="shared" si="38"/>
        <v>0</v>
      </c>
      <c r="AD255" s="130">
        <f t="shared" si="38"/>
        <v>0</v>
      </c>
      <c r="AE255" s="130">
        <f t="shared" si="38"/>
        <v>0</v>
      </c>
      <c r="AF255" s="130">
        <f>B219</f>
        <v>0</v>
      </c>
      <c r="AG255" s="47"/>
      <c r="AH255" s="47"/>
      <c r="AJ255"/>
    </row>
    <row r="256" spans="1:36" x14ac:dyDescent="0.25">
      <c r="A256" s="88" t="str">
        <f>A223</f>
        <v>KGA</v>
      </c>
      <c r="B256" s="88" t="str">
        <f>IF(B223&lt;100,"",B223-520)</f>
        <v/>
      </c>
      <c r="C256" s="88" t="str">
        <f t="shared" ref="C256:AF256" si="39">IF(C223&lt;100,"",C223-520)</f>
        <v/>
      </c>
      <c r="D256" s="88" t="str">
        <f t="shared" si="39"/>
        <v/>
      </c>
      <c r="E256" s="88" t="str">
        <f t="shared" si="39"/>
        <v/>
      </c>
      <c r="F256" s="88" t="str">
        <f t="shared" si="39"/>
        <v/>
      </c>
      <c r="G256" s="88" t="str">
        <f t="shared" si="39"/>
        <v/>
      </c>
      <c r="H256" s="88" t="str">
        <f t="shared" si="39"/>
        <v/>
      </c>
      <c r="I256" s="88" t="str">
        <f t="shared" si="39"/>
        <v/>
      </c>
      <c r="J256" s="88" t="str">
        <f t="shared" si="39"/>
        <v/>
      </c>
      <c r="K256" s="88" t="str">
        <f t="shared" si="39"/>
        <v/>
      </c>
      <c r="L256" s="88" t="str">
        <f t="shared" si="39"/>
        <v/>
      </c>
      <c r="M256" s="88" t="str">
        <f t="shared" si="39"/>
        <v/>
      </c>
      <c r="N256" s="88" t="str">
        <f t="shared" si="39"/>
        <v/>
      </c>
      <c r="O256" s="88" t="str">
        <f t="shared" si="39"/>
        <v/>
      </c>
      <c r="P256" s="88" t="str">
        <f t="shared" si="39"/>
        <v/>
      </c>
      <c r="Q256" s="88" t="str">
        <f t="shared" si="39"/>
        <v/>
      </c>
      <c r="R256" s="88" t="str">
        <f t="shared" si="39"/>
        <v/>
      </c>
      <c r="S256" s="88" t="str">
        <f t="shared" si="39"/>
        <v/>
      </c>
      <c r="T256" s="88" t="str">
        <f t="shared" si="39"/>
        <v/>
      </c>
      <c r="U256" s="88" t="str">
        <f t="shared" si="39"/>
        <v/>
      </c>
      <c r="V256" s="88" t="str">
        <f t="shared" si="39"/>
        <v/>
      </c>
      <c r="W256" s="88" t="str">
        <f t="shared" si="39"/>
        <v/>
      </c>
      <c r="X256" s="88" t="str">
        <f t="shared" si="39"/>
        <v/>
      </c>
      <c r="Y256" s="88" t="str">
        <f t="shared" si="39"/>
        <v/>
      </c>
      <c r="Z256" s="88" t="str">
        <f t="shared" si="39"/>
        <v/>
      </c>
      <c r="AA256" s="88" t="str">
        <f t="shared" si="39"/>
        <v/>
      </c>
      <c r="AB256" s="88" t="str">
        <f t="shared" si="39"/>
        <v/>
      </c>
      <c r="AC256" s="88" t="str">
        <f t="shared" si="39"/>
        <v/>
      </c>
      <c r="AD256" s="88" t="str">
        <f t="shared" si="39"/>
        <v/>
      </c>
      <c r="AE256" s="88" t="str">
        <f t="shared" si="39"/>
        <v/>
      </c>
      <c r="AF256" s="88" t="str">
        <f t="shared" si="39"/>
        <v/>
      </c>
      <c r="AG256" s="47"/>
      <c r="AH256" s="47"/>
      <c r="AJ256"/>
    </row>
    <row r="257" spans="1:36" x14ac:dyDescent="0.25">
      <c r="A257" s="88" t="str">
        <f>A224</f>
        <v>MMRS</v>
      </c>
      <c r="B257" s="88" t="str">
        <f t="shared" ref="B257:AF257" si="40">IF(B224&lt;100,"",B224-620)</f>
        <v/>
      </c>
      <c r="C257" s="88" t="str">
        <f t="shared" si="40"/>
        <v/>
      </c>
      <c r="D257" s="88" t="str">
        <f t="shared" si="40"/>
        <v/>
      </c>
      <c r="E257" s="88" t="str">
        <f t="shared" si="40"/>
        <v/>
      </c>
      <c r="F257" s="88" t="str">
        <f t="shared" si="40"/>
        <v/>
      </c>
      <c r="G257" s="88" t="str">
        <f t="shared" si="40"/>
        <v/>
      </c>
      <c r="H257" s="88" t="str">
        <f t="shared" si="40"/>
        <v/>
      </c>
      <c r="I257" s="88" t="str">
        <f t="shared" si="40"/>
        <v/>
      </c>
      <c r="J257" s="88" t="str">
        <f t="shared" si="40"/>
        <v/>
      </c>
      <c r="K257" s="88" t="str">
        <f t="shared" si="40"/>
        <v/>
      </c>
      <c r="L257" s="88" t="str">
        <f t="shared" si="40"/>
        <v/>
      </c>
      <c r="M257" s="88" t="str">
        <f t="shared" si="40"/>
        <v/>
      </c>
      <c r="N257" s="88" t="str">
        <f t="shared" si="40"/>
        <v/>
      </c>
      <c r="O257" s="88" t="str">
        <f t="shared" si="40"/>
        <v/>
      </c>
      <c r="P257" s="88" t="str">
        <f t="shared" si="40"/>
        <v/>
      </c>
      <c r="Q257" s="88" t="str">
        <f t="shared" si="40"/>
        <v/>
      </c>
      <c r="R257" s="88" t="str">
        <f t="shared" si="40"/>
        <v/>
      </c>
      <c r="S257" s="88" t="str">
        <f t="shared" si="40"/>
        <v/>
      </c>
      <c r="T257" s="88" t="str">
        <f t="shared" si="40"/>
        <v/>
      </c>
      <c r="U257" s="88" t="str">
        <f t="shared" si="40"/>
        <v/>
      </c>
      <c r="V257" s="88" t="str">
        <f t="shared" si="40"/>
        <v/>
      </c>
      <c r="W257" s="88" t="str">
        <f t="shared" si="40"/>
        <v/>
      </c>
      <c r="X257" s="88" t="str">
        <f t="shared" si="40"/>
        <v/>
      </c>
      <c r="Y257" s="88" t="str">
        <f t="shared" si="40"/>
        <v/>
      </c>
      <c r="Z257" s="88" t="str">
        <f t="shared" si="40"/>
        <v/>
      </c>
      <c r="AA257" s="88" t="str">
        <f t="shared" si="40"/>
        <v/>
      </c>
      <c r="AB257" s="88" t="str">
        <f t="shared" si="40"/>
        <v/>
      </c>
      <c r="AC257" s="88" t="str">
        <f t="shared" si="40"/>
        <v/>
      </c>
      <c r="AD257" s="88" t="str">
        <f t="shared" si="40"/>
        <v/>
      </c>
      <c r="AE257" s="88" t="str">
        <f t="shared" si="40"/>
        <v/>
      </c>
      <c r="AF257" s="88" t="str">
        <f t="shared" si="40"/>
        <v/>
      </c>
      <c r="AG257" s="47"/>
      <c r="AH257" s="47"/>
      <c r="AJ257"/>
    </row>
    <row r="258" spans="1:36" x14ac:dyDescent="0.25">
      <c r="A258" s="88" t="str">
        <f>A225</f>
        <v>MRS</v>
      </c>
      <c r="B258" s="88" t="str">
        <f t="shared" ref="B258:AF258" si="41">IF(B225&lt;100,"",B225-330)</f>
        <v/>
      </c>
      <c r="C258" s="88" t="str">
        <f t="shared" si="41"/>
        <v/>
      </c>
      <c r="D258" s="88" t="str">
        <f t="shared" si="41"/>
        <v/>
      </c>
      <c r="E258" s="88" t="str">
        <f t="shared" si="41"/>
        <v/>
      </c>
      <c r="F258" s="88" t="str">
        <f t="shared" si="41"/>
        <v/>
      </c>
      <c r="G258" s="88" t="str">
        <f t="shared" si="41"/>
        <v/>
      </c>
      <c r="H258" s="88" t="str">
        <f t="shared" si="41"/>
        <v/>
      </c>
      <c r="I258" s="88" t="str">
        <f t="shared" si="41"/>
        <v/>
      </c>
      <c r="J258" s="88" t="str">
        <f t="shared" si="41"/>
        <v/>
      </c>
      <c r="K258" s="88" t="str">
        <f t="shared" si="41"/>
        <v/>
      </c>
      <c r="L258" s="88" t="str">
        <f t="shared" si="41"/>
        <v/>
      </c>
      <c r="M258" s="88" t="str">
        <f t="shared" si="41"/>
        <v/>
      </c>
      <c r="N258" s="88" t="str">
        <f t="shared" si="41"/>
        <v/>
      </c>
      <c r="O258" s="88" t="str">
        <f t="shared" si="41"/>
        <v/>
      </c>
      <c r="P258" s="88" t="str">
        <f t="shared" si="41"/>
        <v/>
      </c>
      <c r="Q258" s="88" t="str">
        <f t="shared" si="41"/>
        <v/>
      </c>
      <c r="R258" s="88" t="str">
        <f t="shared" si="41"/>
        <v/>
      </c>
      <c r="S258" s="88" t="str">
        <f t="shared" si="41"/>
        <v/>
      </c>
      <c r="T258" s="88" t="str">
        <f t="shared" si="41"/>
        <v/>
      </c>
      <c r="U258" s="88" t="str">
        <f t="shared" si="41"/>
        <v/>
      </c>
      <c r="V258" s="88" t="str">
        <f t="shared" si="41"/>
        <v/>
      </c>
      <c r="W258" s="88" t="str">
        <f t="shared" si="41"/>
        <v/>
      </c>
      <c r="X258" s="88" t="str">
        <f t="shared" si="41"/>
        <v/>
      </c>
      <c r="Y258" s="88" t="str">
        <f t="shared" si="41"/>
        <v/>
      </c>
      <c r="Z258" s="88" t="str">
        <f t="shared" si="41"/>
        <v/>
      </c>
      <c r="AA258" s="88" t="str">
        <f t="shared" si="41"/>
        <v/>
      </c>
      <c r="AB258" s="88" t="str">
        <f t="shared" si="41"/>
        <v/>
      </c>
      <c r="AC258" s="88" t="str">
        <f t="shared" si="41"/>
        <v/>
      </c>
      <c r="AD258" s="88" t="str">
        <f t="shared" si="41"/>
        <v/>
      </c>
      <c r="AE258" s="88" t="str">
        <f t="shared" si="41"/>
        <v/>
      </c>
      <c r="AF258" s="88" t="str">
        <f t="shared" si="41"/>
        <v/>
      </c>
      <c r="AG258" s="47"/>
      <c r="AH258" s="47"/>
      <c r="AJ258"/>
    </row>
    <row r="259" spans="1:36" x14ac:dyDescent="0.25">
      <c r="A259" s="88" t="str">
        <f>A226</f>
        <v>KL 1</v>
      </c>
      <c r="B259" s="88" t="str">
        <f>IF(B226&lt;100,"",B226-1500)</f>
        <v/>
      </c>
      <c r="C259" s="88" t="str">
        <f t="shared" ref="C259:AF259" si="42">IF(C226&lt;100,"",C226-1500)</f>
        <v/>
      </c>
      <c r="D259" s="88" t="str">
        <f t="shared" si="42"/>
        <v/>
      </c>
      <c r="E259" s="88" t="str">
        <f t="shared" si="42"/>
        <v/>
      </c>
      <c r="F259" s="88" t="str">
        <f t="shared" si="42"/>
        <v/>
      </c>
      <c r="G259" s="88" t="str">
        <f t="shared" si="42"/>
        <v/>
      </c>
      <c r="H259" s="88" t="str">
        <f t="shared" si="42"/>
        <v/>
      </c>
      <c r="I259" s="88" t="str">
        <f t="shared" si="42"/>
        <v/>
      </c>
      <c r="J259" s="88" t="str">
        <f t="shared" si="42"/>
        <v/>
      </c>
      <c r="K259" s="88" t="str">
        <f t="shared" si="42"/>
        <v/>
      </c>
      <c r="L259" s="88" t="str">
        <f t="shared" si="42"/>
        <v/>
      </c>
      <c r="M259" s="88" t="str">
        <f t="shared" si="42"/>
        <v/>
      </c>
      <c r="N259" s="88" t="str">
        <f t="shared" si="42"/>
        <v/>
      </c>
      <c r="O259" s="88" t="str">
        <f t="shared" si="42"/>
        <v/>
      </c>
      <c r="P259" s="88" t="str">
        <f t="shared" si="42"/>
        <v/>
      </c>
      <c r="Q259" s="88" t="str">
        <f t="shared" si="42"/>
        <v/>
      </c>
      <c r="R259" s="88" t="str">
        <f t="shared" si="42"/>
        <v/>
      </c>
      <c r="S259" s="88" t="str">
        <f t="shared" si="42"/>
        <v/>
      </c>
      <c r="T259" s="88" t="str">
        <f t="shared" si="42"/>
        <v/>
      </c>
      <c r="U259" s="88" t="str">
        <f t="shared" si="42"/>
        <v/>
      </c>
      <c r="V259" s="88" t="str">
        <f t="shared" si="42"/>
        <v/>
      </c>
      <c r="W259" s="88" t="str">
        <f t="shared" si="42"/>
        <v/>
      </c>
      <c r="X259" s="88" t="str">
        <f t="shared" si="42"/>
        <v/>
      </c>
      <c r="Y259" s="88" t="str">
        <f t="shared" si="42"/>
        <v/>
      </c>
      <c r="Z259" s="88" t="str">
        <f t="shared" si="42"/>
        <v/>
      </c>
      <c r="AA259" s="88" t="str">
        <f t="shared" si="42"/>
        <v/>
      </c>
      <c r="AB259" s="88" t="str">
        <f t="shared" si="42"/>
        <v/>
      </c>
      <c r="AC259" s="88" t="str">
        <f t="shared" si="42"/>
        <v/>
      </c>
      <c r="AD259" s="88" t="str">
        <f t="shared" si="42"/>
        <v/>
      </c>
      <c r="AE259" s="88" t="str">
        <f t="shared" si="42"/>
        <v/>
      </c>
      <c r="AF259" s="88" t="str">
        <f t="shared" si="42"/>
        <v/>
      </c>
      <c r="AG259" s="47"/>
      <c r="AH259" s="47"/>
      <c r="AJ259"/>
    </row>
    <row r="260" spans="1:36" x14ac:dyDescent="0.25"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J260"/>
    </row>
    <row r="261" spans="1:36" x14ac:dyDescent="0.25"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J261"/>
    </row>
    <row r="262" spans="1:36" x14ac:dyDescent="0.25"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J262"/>
    </row>
    <row r="263" spans="1:36" x14ac:dyDescent="0.25"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J263"/>
    </row>
    <row r="264" spans="1:36" x14ac:dyDescent="0.25"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J264"/>
    </row>
    <row r="265" spans="1:36" x14ac:dyDescent="0.25"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J265"/>
    </row>
    <row r="266" spans="1:36" x14ac:dyDescent="0.25"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J266"/>
    </row>
    <row r="490" spans="36:38" x14ac:dyDescent="0.25">
      <c r="AK490" s="1"/>
    </row>
    <row r="491" spans="36:38" x14ac:dyDescent="0.25">
      <c r="AK491" s="1"/>
      <c r="AL491" s="1"/>
    </row>
    <row r="492" spans="36:38" x14ac:dyDescent="0.25">
      <c r="AJ492"/>
    </row>
  </sheetData>
  <mergeCells count="48">
    <mergeCell ref="A231:B23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28">
      <iconSet iconSet="3TrafficLights2" reverse="1">
        <cfvo type="percent" val="0"/>
        <cfvo type="num" val="1"/>
        <cfvo type="num" val="1"/>
      </iconSet>
    </cfRule>
  </conditionalFormatting>
  <conditionalFormatting sqref="D214:AF220 B214:B220 B212:AF212 U233:AF233 B9:AF10 C99:AF105">
    <cfRule type="expression" dxfId="6804" priority="224">
      <formula>B$9&gt;=20/24</formula>
    </cfRule>
    <cfRule type="expression" dxfId="6803" priority="225">
      <formula>AND(B$9&gt;=14/24,B$9&lt;20/24)</formula>
    </cfRule>
    <cfRule type="expression" dxfId="6802" priority="226">
      <formula>AND(B$9&gt;=8/24,B$9&lt;14/24)</formula>
    </cfRule>
    <cfRule type="expression" dxfId="6801" priority="227">
      <formula>B$9&lt;8/24</formula>
    </cfRule>
  </conditionalFormatting>
  <conditionalFormatting sqref="AL4:AL6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AG55 B12:B16 C11:D16 E16:AF16 B35:AF35">
    <cfRule type="expression" dxfId="6800" priority="218">
      <formula>B11&gt;$AG11</formula>
    </cfRule>
  </conditionalFormatting>
  <conditionalFormatting sqref="A89:A102 A11:A14 A49:A76 A85:A87 A78:A79 A190:A220 A16:A30 A36:A47 A106:A177 A81:A83 A32:A33">
    <cfRule type="expression" dxfId="6799" priority="217">
      <formula>$AH11=0</formula>
    </cfRule>
  </conditionalFormatting>
  <conditionalFormatting sqref="A103">
    <cfRule type="expression" dxfId="6798" priority="216">
      <formula>$AH103=0</formula>
    </cfRule>
  </conditionalFormatting>
  <conditionalFormatting sqref="AL3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6797" priority="214">
      <formula>$AH35=0</formula>
    </cfRule>
  </conditionalFormatting>
  <conditionalFormatting sqref="A88">
    <cfRule type="expression" dxfId="6796" priority="213">
      <formula>$AH88=0</formula>
    </cfRule>
  </conditionalFormatting>
  <conditionalFormatting sqref="A15">
    <cfRule type="expression" dxfId="6795" priority="212">
      <formula>$AH15=0</formula>
    </cfRule>
  </conditionalFormatting>
  <conditionalFormatting sqref="A184:A189">
    <cfRule type="expression" dxfId="6794" priority="211">
      <formula>$AH184=0</formula>
    </cfRule>
  </conditionalFormatting>
  <conditionalFormatting sqref="A178:A183">
    <cfRule type="expression" dxfId="6793" priority="210">
      <formula>$AH178=0</formula>
    </cfRule>
  </conditionalFormatting>
  <conditionalFormatting sqref="A48">
    <cfRule type="expression" dxfId="6792" priority="209">
      <formula>$AH48=0</formula>
    </cfRule>
  </conditionalFormatting>
  <conditionalFormatting sqref="A84">
    <cfRule type="expression" dxfId="6791" priority="208">
      <formula>$AH84=0</formula>
    </cfRule>
  </conditionalFormatting>
  <conditionalFormatting sqref="A77">
    <cfRule type="expression" dxfId="6790" priority="207">
      <formula>$AH77=0</formula>
    </cfRule>
  </conditionalFormatting>
  <conditionalFormatting sqref="C89:AF89">
    <cfRule type="expression" dxfId="6789" priority="203">
      <formula>C$9&gt;=20/24</formula>
    </cfRule>
    <cfRule type="expression" dxfId="6788" priority="204">
      <formula>AND(C$9&gt;=14/24,C$9&lt;20/24)</formula>
    </cfRule>
    <cfRule type="expression" dxfId="6787" priority="205">
      <formula>AND(C$9&gt;=8/24,C$9&lt;14/24)</formula>
    </cfRule>
    <cfRule type="expression" dxfId="6786" priority="206">
      <formula>C$9&lt;8/24</formula>
    </cfRule>
  </conditionalFormatting>
  <conditionalFormatting sqref="AL34">
    <cfRule type="iconSet" priority="20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785" priority="230">
      <formula>C$9&gt;=20/24</formula>
    </cfRule>
    <cfRule type="expression" dxfId="6784" priority="231">
      <formula>AND(C$9&gt;=14/24,C$9&lt;20/24)</formula>
    </cfRule>
    <cfRule type="expression" dxfId="6783" priority="232">
      <formula>AND(C$9&gt;=8/24,C$9&lt;14/24)</formula>
    </cfRule>
    <cfRule type="expression" dxfId="6782" priority="233">
      <formula>C$9&lt;8/24</formula>
    </cfRule>
  </conditionalFormatting>
  <conditionalFormatting sqref="A221">
    <cfRule type="expression" dxfId="6781" priority="234">
      <formula>$AH221=0</formula>
    </cfRule>
  </conditionalFormatting>
  <conditionalFormatting sqref="AG233">
    <cfRule type="expression" dxfId="6780" priority="235">
      <formula>B$9&gt;=20/24</formula>
    </cfRule>
    <cfRule type="expression" dxfId="6779" priority="236">
      <formula>AND(B$9&gt;=14/24,B$9&lt;20/24)</formula>
    </cfRule>
    <cfRule type="expression" dxfId="6778" priority="237">
      <formula>AND(B$9&gt;=8/24,B$9&lt;14/24)</formula>
    </cfRule>
    <cfRule type="expression" dxfId="6777" priority="238">
      <formula>B$9&lt;8/24</formula>
    </cfRule>
  </conditionalFormatting>
  <conditionalFormatting sqref="S8">
    <cfRule type="expression" dxfId="6776" priority="198">
      <formula>U$9&gt;=20/24</formula>
    </cfRule>
    <cfRule type="expression" dxfId="6775" priority="199">
      <formula>AND(U$9&gt;=14/24,U$9&lt;20/24)</formula>
    </cfRule>
    <cfRule type="expression" dxfId="6774" priority="200">
      <formula>AND(U$9&gt;=8/24,U$9&lt;14/24)</formula>
    </cfRule>
    <cfRule type="expression" dxfId="6773" priority="201">
      <formula>U$9&lt;8/24</formula>
    </cfRule>
  </conditionalFormatting>
  <conditionalFormatting sqref="AB8">
    <cfRule type="expression" dxfId="6772" priority="194">
      <formula>AD$9&gt;=20/24</formula>
    </cfRule>
    <cfRule type="expression" dxfId="6771" priority="195">
      <formula>AND(AD$9&gt;=14/24,AD$9&lt;20/24)</formula>
    </cfRule>
    <cfRule type="expression" dxfId="6770" priority="196">
      <formula>AND(AD$9&gt;=8/24,AD$9&lt;14/24)</formula>
    </cfRule>
    <cfRule type="expression" dxfId="6769" priority="197">
      <formula>AD$9&lt;8/24</formula>
    </cfRule>
  </conditionalFormatting>
  <conditionalFormatting sqref="AH233:AX233">
    <cfRule type="expression" dxfId="6768" priority="239">
      <formula>AG$9&gt;=20/24</formula>
    </cfRule>
    <cfRule type="expression" dxfId="6767" priority="240">
      <formula>AND(AG$9&gt;=14/24,AG$9&lt;20/24)</formula>
    </cfRule>
    <cfRule type="expression" dxfId="6766" priority="241">
      <formula>AND(AG$9&gt;=8/24,AG$9&lt;14/24)</formula>
    </cfRule>
    <cfRule type="expression" dxfId="6765" priority="242">
      <formula>AG$9&lt;8/24</formula>
    </cfRule>
  </conditionalFormatting>
  <conditionalFormatting sqref="T233">
    <cfRule type="expression" dxfId="6764" priority="243">
      <formula>AX$9&gt;=20/24</formula>
    </cfRule>
    <cfRule type="expression" dxfId="6763" priority="244">
      <formula>AND(AX$9&gt;=14/24,AX$9&lt;20/24)</formula>
    </cfRule>
    <cfRule type="expression" dxfId="6762" priority="245">
      <formula>AND(AX$9&gt;=8/24,AX$9&lt;14/24)</formula>
    </cfRule>
    <cfRule type="expression" dxfId="6761" priority="246">
      <formula>AX$9&lt;8/24</formula>
    </cfRule>
  </conditionalFormatting>
  <conditionalFormatting sqref="A104:A105">
    <cfRule type="expression" dxfId="6760" priority="193">
      <formula>$AH104=0</formula>
    </cfRule>
  </conditionalFormatting>
  <conditionalFormatting sqref="E44:O45 C61:AF61 E11:AF11">
    <cfRule type="expression" dxfId="6759" priority="189">
      <formula>C$9&gt;=20/24</formula>
    </cfRule>
    <cfRule type="expression" dxfId="6758" priority="190">
      <formula>AND(C$9&gt;=14/24,C$9&lt;20/24)</formula>
    </cfRule>
    <cfRule type="expression" dxfId="6757" priority="191">
      <formula>AND(C$9&gt;=8/24,C$9&lt;14/24)</formula>
    </cfRule>
    <cfRule type="expression" dxfId="6756" priority="192">
      <formula>C$9&lt;8/24</formula>
    </cfRule>
  </conditionalFormatting>
  <conditionalFormatting sqref="E43:O43">
    <cfRule type="expression" dxfId="6755" priority="185">
      <formula>E$9&gt;=20/24</formula>
    </cfRule>
    <cfRule type="expression" dxfId="6754" priority="186">
      <formula>AND(E$9&gt;=14/24,E$9&lt;20/24)</formula>
    </cfRule>
    <cfRule type="expression" dxfId="6753" priority="187">
      <formula>AND(E$9&gt;=8/24,E$9&lt;14/24)</formula>
    </cfRule>
    <cfRule type="expression" dxfId="6752" priority="188">
      <formula>E$9&lt;8/24</formula>
    </cfRule>
  </conditionalFormatting>
  <conditionalFormatting sqref="E43:O45 E11:AF11">
    <cfRule type="expression" dxfId="6751" priority="184">
      <formula>E11&gt;$AG11</formula>
    </cfRule>
  </conditionalFormatting>
  <conditionalFormatting sqref="C86:AF86 M68:M70 F71:M71 F66:M67 N66:O71 F65:O65 P65:R71 C62:R64 O37:Q37 C36:Q36 C57:AF59 C90:AF96 E12:AF14 R36:AF37 S62:AF71">
    <cfRule type="expression" dxfId="6750" priority="180">
      <formula>C$9&gt;=20/24</formula>
    </cfRule>
    <cfRule type="expression" dxfId="6749" priority="181">
      <formula>AND(C$9&gt;=14/24,C$9&lt;20/24)</formula>
    </cfRule>
    <cfRule type="expression" dxfId="6748" priority="182">
      <formula>AND(C$9&gt;=8/24,C$9&lt;14/24)</formula>
    </cfRule>
    <cfRule type="expression" dxfId="6747" priority="183">
      <formula>C$9&lt;8/24</formula>
    </cfRule>
  </conditionalFormatting>
  <conditionalFormatting sqref="E46:G47 F48:G48 H46:O48 C57:AF59 E12:AF15 C36:AF37">
    <cfRule type="expression" dxfId="6746" priority="175">
      <formula>C12&gt;$AG12</formula>
    </cfRule>
  </conditionalFormatting>
  <conditionalFormatting sqref="E15:AF15">
    <cfRule type="expression" dxfId="6745" priority="167">
      <formula>E$9&gt;=20/24</formula>
    </cfRule>
    <cfRule type="expression" dxfId="6744" priority="168">
      <formula>AND(E$9&gt;=14/24,E$9&lt;20/24)</formula>
    </cfRule>
    <cfRule type="expression" dxfId="6743" priority="169">
      <formula>AND(E$9&gt;=8/24,E$9&lt;14/24)</formula>
    </cfRule>
    <cfRule type="expression" dxfId="6742" priority="170">
      <formula>E$9&lt;8/24</formula>
    </cfRule>
  </conditionalFormatting>
  <conditionalFormatting sqref="P43:AF54">
    <cfRule type="expression" dxfId="6741" priority="153">
      <formula>P$9&gt;=20/24</formula>
    </cfRule>
    <cfRule type="expression" dxfId="6740" priority="154">
      <formula>AND(P$9&gt;=14/24,P$9&lt;20/24)</formula>
    </cfRule>
    <cfRule type="expression" dxfId="6739" priority="155">
      <formula>AND(P$9&gt;=8/24,P$9&lt;14/24)</formula>
    </cfRule>
    <cfRule type="expression" dxfId="6738" priority="156">
      <formula>P$9&lt;8/24</formula>
    </cfRule>
  </conditionalFormatting>
  <conditionalFormatting sqref="P43:AF54">
    <cfRule type="expression" dxfId="6737" priority="152">
      <formula>P43&gt;$AG43</formula>
    </cfRule>
  </conditionalFormatting>
  <conditionalFormatting sqref="C11:D14 F23:G30 E16:G21 C16:D20 C30:E30 G22 B26:E26 F32:AF32 H16:AF30">
    <cfRule type="expression" dxfId="6736" priority="144">
      <formula>B$9&gt;=20/24</formula>
    </cfRule>
    <cfRule type="expression" dxfId="6735" priority="145">
      <formula>AND(B$9&gt;=14/24,B$9&lt;20/24)</formula>
    </cfRule>
    <cfRule type="expression" dxfId="6734" priority="146">
      <formula>AND(B$9&gt;=8/24,B$9&lt;14/24)</formula>
    </cfRule>
    <cfRule type="expression" dxfId="6733" priority="147">
      <formula>B$9&lt;8/24</formula>
    </cfRule>
  </conditionalFormatting>
  <conditionalFormatting sqref="F33:AF33">
    <cfRule type="expression" dxfId="6732" priority="140">
      <formula>F$9&gt;=20/24</formula>
    </cfRule>
    <cfRule type="expression" dxfId="6731" priority="141">
      <formula>AND(F$9&gt;=14/24,F$9&lt;20/24)</formula>
    </cfRule>
    <cfRule type="expression" dxfId="6730" priority="142">
      <formula>AND(F$9&gt;=8/24,F$9&lt;14/24)</formula>
    </cfRule>
    <cfRule type="expression" dxfId="6729" priority="143">
      <formula>F$9&lt;8/24</formula>
    </cfRule>
  </conditionalFormatting>
  <conditionalFormatting sqref="F23:G30 E17:G21 C17:D20 C30:E30 G22 B26:E26 F32:AF33 H17:AF30">
    <cfRule type="expression" dxfId="6728" priority="139">
      <formula>B17&gt;$AG17</formula>
    </cfRule>
  </conditionalFormatting>
  <conditionalFormatting sqref="F35:AF35">
    <cfRule type="expression" dxfId="6727" priority="135">
      <formula>F$9&gt;=20/24</formula>
    </cfRule>
    <cfRule type="expression" dxfId="6726" priority="136">
      <formula>AND(F$9&gt;=14/24,F$9&lt;20/24)</formula>
    </cfRule>
    <cfRule type="expression" dxfId="6725" priority="137">
      <formula>AND(F$9&gt;=8/24,F$9&lt;14/24)</formula>
    </cfRule>
    <cfRule type="expression" dxfId="6724" priority="138">
      <formula>F$9&lt;8/24</formula>
    </cfRule>
  </conditionalFormatting>
  <conditionalFormatting sqref="C15:D15">
    <cfRule type="expression" dxfId="6723" priority="131">
      <formula>C$9&gt;=20/24</formula>
    </cfRule>
    <cfRule type="expression" dxfId="6722" priority="132">
      <formula>AND(C$9&gt;=14/24,C$9&lt;20/24)</formula>
    </cfRule>
    <cfRule type="expression" dxfId="6721" priority="133">
      <formula>AND(C$9&gt;=8/24,C$9&lt;14/24)</formula>
    </cfRule>
    <cfRule type="expression" dxfId="6720" priority="134">
      <formula>C$9&lt;8/24</formula>
    </cfRule>
  </conditionalFormatting>
  <conditionalFormatting sqref="B34:AF34">
    <cfRule type="expression" dxfId="6719" priority="127">
      <formula>B$9&gt;=20/24</formula>
    </cfRule>
    <cfRule type="expression" dxfId="6718" priority="128">
      <formula>AND(B$9&gt;=14/24,B$9&lt;20/24)</formula>
    </cfRule>
    <cfRule type="expression" dxfId="6717" priority="129">
      <formula>AND(B$9&gt;=8/24,B$9&lt;14/24)</formula>
    </cfRule>
    <cfRule type="expression" dxfId="6716" priority="130">
      <formula>B$9&lt;8/24</formula>
    </cfRule>
  </conditionalFormatting>
  <conditionalFormatting sqref="B34:AF34">
    <cfRule type="expression" dxfId="6715" priority="126">
      <formula>B34&gt;$AG34</formula>
    </cfRule>
  </conditionalFormatting>
  <conditionalFormatting sqref="C44:D45">
    <cfRule type="expression" dxfId="6714" priority="122">
      <formula>C$9&gt;=20/24</formula>
    </cfRule>
    <cfRule type="expression" dxfId="6713" priority="123">
      <formula>AND(C$9&gt;=14/24,C$9&lt;20/24)</formula>
    </cfRule>
    <cfRule type="expression" dxfId="6712" priority="124">
      <formula>AND(C$9&gt;=8/24,C$9&lt;14/24)</formula>
    </cfRule>
    <cfRule type="expression" dxfId="6711" priority="125">
      <formula>C$9&lt;8/24</formula>
    </cfRule>
  </conditionalFormatting>
  <conditionalFormatting sqref="C43:D43">
    <cfRule type="expression" dxfId="6710" priority="118">
      <formula>C$9&gt;=20/24</formula>
    </cfRule>
    <cfRule type="expression" dxfId="6709" priority="119">
      <formula>AND(C$9&gt;=14/24,C$9&lt;20/24)</formula>
    </cfRule>
    <cfRule type="expression" dxfId="6708" priority="120">
      <formula>AND(C$9&gt;=8/24,C$9&lt;14/24)</formula>
    </cfRule>
    <cfRule type="expression" dxfId="6707" priority="121">
      <formula>C$9&lt;8/24</formula>
    </cfRule>
  </conditionalFormatting>
  <conditionalFormatting sqref="C43:D45">
    <cfRule type="expression" dxfId="6706" priority="117">
      <formula>C43&gt;$AG43</formula>
    </cfRule>
  </conditionalFormatting>
  <conditionalFormatting sqref="F68:L70">
    <cfRule type="expression" dxfId="6705" priority="113">
      <formula>F$9&gt;=20/24</formula>
    </cfRule>
    <cfRule type="expression" dxfId="6704" priority="114">
      <formula>AND(F$9&gt;=14/24,F$9&lt;20/24)</formula>
    </cfRule>
    <cfRule type="expression" dxfId="6703" priority="115">
      <formula>AND(F$9&gt;=8/24,F$9&lt;14/24)</formula>
    </cfRule>
    <cfRule type="expression" dxfId="6702" priority="116">
      <formula>F$9&lt;8/24</formula>
    </cfRule>
  </conditionalFormatting>
  <conditionalFormatting sqref="C46:D47">
    <cfRule type="expression" dxfId="6701" priority="112">
      <formula>C46&gt;$AG46</formula>
    </cfRule>
  </conditionalFormatting>
  <conditionalFormatting sqref="C48:E48 D49:H52 F53:H54 I49:O54">
    <cfRule type="expression" dxfId="6700" priority="108">
      <formula>C$9&gt;=20/24</formula>
    </cfRule>
    <cfRule type="expression" dxfId="6699" priority="109">
      <formula>AND(C$9&gt;=14/24,C$9&lt;20/24)</formula>
    </cfRule>
    <cfRule type="expression" dxfId="6698" priority="110">
      <formula>AND(C$9&gt;=8/24,C$9&lt;14/24)</formula>
    </cfRule>
    <cfRule type="expression" dxfId="6697" priority="111">
      <formula>C$9&lt;8/24</formula>
    </cfRule>
  </conditionalFormatting>
  <conditionalFormatting sqref="C48:E48 D49:H52 F53:H54 I49:O54">
    <cfRule type="expression" dxfId="6696" priority="107">
      <formula>C48&gt;$AG48</formula>
    </cfRule>
  </conditionalFormatting>
  <conditionalFormatting sqref="B99:B105 B11 B78:AF78 B87:AF87">
    <cfRule type="expression" dxfId="6695" priority="94">
      <formula>B$9&gt;=20/24</formula>
    </cfRule>
    <cfRule type="expression" dxfId="6694" priority="95">
      <formula>AND(B$9&gt;=14/24,B$9&lt;20/24)</formula>
    </cfRule>
    <cfRule type="expression" dxfId="6693" priority="96">
      <formula>AND(B$9&gt;=8/24,B$9&lt;14/24)</formula>
    </cfRule>
    <cfRule type="expression" dxfId="6692" priority="97">
      <formula>B$9&lt;8/24</formula>
    </cfRule>
  </conditionalFormatting>
  <conditionalFormatting sqref="B37">
    <cfRule type="expression" dxfId="6691" priority="90">
      <formula>B$9&gt;=20/24</formula>
    </cfRule>
    <cfRule type="expression" dxfId="6690" priority="91">
      <formula>AND(B$9&gt;=14/24,B$9&lt;20/24)</formula>
    </cfRule>
    <cfRule type="expression" dxfId="6689" priority="92">
      <formula>AND(B$9&gt;=8/24,B$9&lt;14/24)</formula>
    </cfRule>
    <cfRule type="expression" dxfId="6688" priority="93">
      <formula>B$9&lt;8/24</formula>
    </cfRule>
  </conditionalFormatting>
  <conditionalFormatting sqref="B37 B11">
    <cfRule type="expression" dxfId="6687" priority="89">
      <formula>B11&gt;$AG11</formula>
    </cfRule>
  </conditionalFormatting>
  <conditionalFormatting sqref="B89">
    <cfRule type="expression" dxfId="6686" priority="85">
      <formula>B$9&gt;=20/24</formula>
    </cfRule>
    <cfRule type="expression" dxfId="6685" priority="86">
      <formula>AND(B$9&gt;=14/24,B$9&lt;20/24)</formula>
    </cfRule>
    <cfRule type="expression" dxfId="6684" priority="87">
      <formula>AND(B$9&gt;=8/24,B$9&lt;14/24)</formula>
    </cfRule>
    <cfRule type="expression" dxfId="6683" priority="88">
      <formula>B$9&lt;8/24</formula>
    </cfRule>
  </conditionalFormatting>
  <conditionalFormatting sqref="B44:B45 B36 B61">
    <cfRule type="expression" dxfId="6682" priority="81">
      <formula>B$9&gt;=20/24</formula>
    </cfRule>
    <cfRule type="expression" dxfId="6681" priority="82">
      <formula>AND(B$9&gt;=14/24,B$9&lt;20/24)</formula>
    </cfRule>
    <cfRule type="expression" dxfId="6680" priority="83">
      <formula>AND(B$9&gt;=8/24,B$9&lt;14/24)</formula>
    </cfRule>
    <cfRule type="expression" dxfId="6679" priority="84">
      <formula>B$9&lt;8/24</formula>
    </cfRule>
  </conditionalFormatting>
  <conditionalFormatting sqref="B43">
    <cfRule type="expression" dxfId="6678" priority="77">
      <formula>B$9&gt;=20/24</formula>
    </cfRule>
    <cfRule type="expression" dxfId="6677" priority="78">
      <formula>AND(B$9&gt;=14/24,B$9&lt;20/24)</formula>
    </cfRule>
    <cfRule type="expression" dxfId="6676" priority="79">
      <formula>AND(B$9&gt;=8/24,B$9&lt;14/24)</formula>
    </cfRule>
    <cfRule type="expression" dxfId="6675" priority="80">
      <formula>B$9&lt;8/24</formula>
    </cfRule>
  </conditionalFormatting>
  <conditionalFormatting sqref="B43:B45 B36">
    <cfRule type="expression" dxfId="6674" priority="76">
      <formula>B36&gt;$AG36</formula>
    </cfRule>
  </conditionalFormatting>
  <conditionalFormatting sqref="B90:B96 B12:B14 B16 B28:B30 B18:B22 B57:B60 B62:B71 B86 C77:AG77 C60:AG60 B73:AF77 B79:AF79 B88:AF88 C21:D21 C28:E29 B24:E25 B32:E32 C65:E71 C22:F22">
    <cfRule type="expression" dxfId="6673" priority="72">
      <formula>B$9&gt;=20/24</formula>
    </cfRule>
    <cfRule type="expression" dxfId="6672" priority="73">
      <formula>AND(B$9&gt;=14/24,B$9&lt;20/24)</formula>
    </cfRule>
    <cfRule type="expression" dxfId="6671" priority="74">
      <formula>AND(B$9&gt;=8/24,B$9&lt;14/24)</formula>
    </cfRule>
    <cfRule type="expression" dxfId="6670" priority="75">
      <formula>B$9&lt;8/24</formula>
    </cfRule>
  </conditionalFormatting>
  <conditionalFormatting sqref="B33:E33">
    <cfRule type="expression" dxfId="6669" priority="68">
      <formula>B$9&gt;=20/24</formula>
    </cfRule>
    <cfRule type="expression" dxfId="6668" priority="69">
      <formula>AND(B$9&gt;=14/24,B$9&lt;20/24)</formula>
    </cfRule>
    <cfRule type="expression" dxfId="6667" priority="70">
      <formula>AND(B$9&gt;=8/24,B$9&lt;14/24)</formula>
    </cfRule>
    <cfRule type="expression" dxfId="6666" priority="71">
      <formula>B$9&lt;8/24</formula>
    </cfRule>
  </conditionalFormatting>
  <conditionalFormatting sqref="B46:B47 B18:B22 B55:B60 C56:AG56 B38:AG38 C60:AG60 C55:AF56 C21:D21 B24:E25 B32:E33 C22:F22 C27:E29 B27:B30">
    <cfRule type="expression" dxfId="6665" priority="67">
      <formula>B18&gt;$AG18</formula>
    </cfRule>
  </conditionalFormatting>
  <conditionalFormatting sqref="B35:E35">
    <cfRule type="expression" dxfId="6664" priority="63">
      <formula>B$9&gt;=20/24</formula>
    </cfRule>
    <cfRule type="expression" dxfId="6663" priority="64">
      <formula>AND(B$9&gt;=14/24,B$9&lt;20/24)</formula>
    </cfRule>
    <cfRule type="expression" dxfId="6662" priority="65">
      <formula>AND(B$9&gt;=8/24,B$9&lt;14/24)</formula>
    </cfRule>
    <cfRule type="expression" dxfId="6661" priority="66">
      <formula>B$9&lt;8/24</formula>
    </cfRule>
  </conditionalFormatting>
  <conditionalFormatting sqref="B15">
    <cfRule type="expression" dxfId="6660" priority="59">
      <formula>B$9&gt;=20/24</formula>
    </cfRule>
    <cfRule type="expression" dxfId="6659" priority="60">
      <formula>AND(B$9&gt;=14/24,B$9&lt;20/24)</formula>
    </cfRule>
    <cfRule type="expression" dxfId="6658" priority="61">
      <formula>AND(B$9&gt;=8/24,B$9&lt;14/24)</formula>
    </cfRule>
    <cfRule type="expression" dxfId="6657" priority="62">
      <formula>B$9&lt;8/24</formula>
    </cfRule>
  </conditionalFormatting>
  <conditionalFormatting sqref="B48:B54 C49:C54 D53:E54">
    <cfRule type="expression" dxfId="6656" priority="50">
      <formula>B$9&gt;=20/24</formula>
    </cfRule>
    <cfRule type="expression" dxfId="6655" priority="51">
      <formula>AND(B$9&gt;=14/24,B$9&lt;20/24)</formula>
    </cfRule>
    <cfRule type="expression" dxfId="6654" priority="52">
      <formula>AND(B$9&gt;=8/24,B$9&lt;14/24)</formula>
    </cfRule>
    <cfRule type="expression" dxfId="6653" priority="53">
      <formula>B$9&lt;8/24</formula>
    </cfRule>
  </conditionalFormatting>
  <conditionalFormatting sqref="B48:B54 C49:C54 D53:E54">
    <cfRule type="expression" dxfId="6652" priority="49">
      <formula>B48&gt;$AG48</formula>
    </cfRule>
  </conditionalFormatting>
  <conditionalFormatting sqref="B27:E27">
    <cfRule type="expression" dxfId="6651" priority="45">
      <formula>B$9&gt;=20/24</formula>
    </cfRule>
    <cfRule type="expression" dxfId="6650" priority="46">
      <formula>AND(B$9&gt;=14/24,B$9&lt;20/24)</formula>
    </cfRule>
    <cfRule type="expression" dxfId="6649" priority="47">
      <formula>AND(B$9&gt;=8/24,B$9&lt;14/24)</formula>
    </cfRule>
    <cfRule type="expression" dxfId="6648" priority="48">
      <formula>B$9&lt;8/24</formula>
    </cfRule>
  </conditionalFormatting>
  <conditionalFormatting sqref="B17 B23:E23">
    <cfRule type="expression" dxfId="6647" priority="41">
      <formula>B$9&gt;=20/24</formula>
    </cfRule>
    <cfRule type="expression" dxfId="6646" priority="42">
      <formula>AND(B$9&gt;=14/24,B$9&lt;20/24)</formula>
    </cfRule>
    <cfRule type="expression" dxfId="6645" priority="43">
      <formula>AND(B$9&gt;=8/24,B$9&lt;14/24)</formula>
    </cfRule>
    <cfRule type="expression" dxfId="6644" priority="44">
      <formula>B$9&lt;8/24</formula>
    </cfRule>
  </conditionalFormatting>
  <conditionalFormatting sqref="B17 B23:E23">
    <cfRule type="expression" dxfId="6643" priority="40">
      <formula>B17&gt;$AG17</formula>
    </cfRule>
  </conditionalFormatting>
  <conditionalFormatting sqref="A34">
    <cfRule type="expression" dxfId="6642" priority="39">
      <formula>$AH34=0</formula>
    </cfRule>
  </conditionalFormatting>
  <conditionalFormatting sqref="B72:AF72">
    <cfRule type="expression" dxfId="6641" priority="35">
      <formula>B$9&gt;=20/24</formula>
    </cfRule>
    <cfRule type="expression" dxfId="6640" priority="36">
      <formula>AND(B$9&gt;=14/24,B$9&lt;20/24)</formula>
    </cfRule>
    <cfRule type="expression" dxfId="6639" priority="37">
      <formula>AND(B$9&gt;=8/24,B$9&lt;14/24)</formula>
    </cfRule>
    <cfRule type="expression" dxfId="6638" priority="38">
      <formula>B$9&lt;8/24</formula>
    </cfRule>
  </conditionalFormatting>
  <conditionalFormatting sqref="B81:AF85">
    <cfRule type="expression" dxfId="6637" priority="31">
      <formula>B$9&gt;=20/24</formula>
    </cfRule>
    <cfRule type="expression" dxfId="6636" priority="32">
      <formula>AND(B$9&gt;=14/24,B$9&lt;20/24)</formula>
    </cfRule>
    <cfRule type="expression" dxfId="6635" priority="33">
      <formula>AND(B$9&gt;=8/24,B$9&lt;14/24)</formula>
    </cfRule>
    <cfRule type="expression" dxfId="6634" priority="34">
      <formula>B$9&lt;8/24</formula>
    </cfRule>
  </conditionalFormatting>
  <conditionalFormatting sqref="AL35 AL7:AL30 AL32">
    <cfRule type="iconSet" priority="247">
      <iconSet iconSet="3TrafficLights2" reverse="1">
        <cfvo type="percent" val="0"/>
        <cfvo type="num" val="1"/>
        <cfvo type="num" val="1"/>
      </iconSet>
    </cfRule>
  </conditionalFormatting>
  <conditionalFormatting sqref="E39:AF41">
    <cfRule type="expression" dxfId="6633" priority="27">
      <formula>E$9&gt;=20/24</formula>
    </cfRule>
    <cfRule type="expression" dxfId="6632" priority="28">
      <formula>AND(E$9&gt;=14/24,E$9&lt;20/24)</formula>
    </cfRule>
    <cfRule type="expression" dxfId="6631" priority="29">
      <formula>AND(E$9&gt;=8/24,E$9&lt;14/24)</formula>
    </cfRule>
    <cfRule type="expression" dxfId="6630" priority="30">
      <formula>E$9&lt;8/24</formula>
    </cfRule>
  </conditionalFormatting>
  <conditionalFormatting sqref="E39:AF41">
    <cfRule type="expression" dxfId="6629" priority="26">
      <formula>E39&gt;$AG39</formula>
    </cfRule>
  </conditionalFormatting>
  <conditionalFormatting sqref="B39:B42 C42:AG42 C39:D41">
    <cfRule type="expression" dxfId="6628" priority="22">
      <formula>B$9&gt;=20/24</formula>
    </cfRule>
    <cfRule type="expression" dxfId="6627" priority="23">
      <formula>AND(B$9&gt;=14/24,B$9&lt;20/24)</formula>
    </cfRule>
    <cfRule type="expression" dxfId="6626" priority="24">
      <formula>AND(B$9&gt;=8/24,B$9&lt;14/24)</formula>
    </cfRule>
    <cfRule type="expression" dxfId="6625" priority="25">
      <formula>B$9&lt;8/24</formula>
    </cfRule>
  </conditionalFormatting>
  <conditionalFormatting sqref="B39:B42 C42:AG42 C39:D41">
    <cfRule type="expression" dxfId="6624" priority="21">
      <formula>B39&gt;$AG39</formula>
    </cfRule>
  </conditionalFormatting>
  <conditionalFormatting sqref="C97:AF97">
    <cfRule type="expression" dxfId="6623" priority="17">
      <formula>C$9&gt;=20/24</formula>
    </cfRule>
    <cfRule type="expression" dxfId="6622" priority="18">
      <formula>AND(C$9&gt;=14/24,C$9&lt;20/24)</formula>
    </cfRule>
    <cfRule type="expression" dxfId="6621" priority="19">
      <formula>AND(C$9&gt;=8/24,C$9&lt;14/24)</formula>
    </cfRule>
    <cfRule type="expression" dxfId="6620" priority="20">
      <formula>C$9&lt;8/24</formula>
    </cfRule>
  </conditionalFormatting>
  <conditionalFormatting sqref="B97">
    <cfRule type="expression" dxfId="6619" priority="13">
      <formula>B$9&gt;=20/24</formula>
    </cfRule>
    <cfRule type="expression" dxfId="6618" priority="14">
      <formula>AND(B$9&gt;=14/24,B$9&lt;20/24)</formula>
    </cfRule>
    <cfRule type="expression" dxfId="6617" priority="15">
      <formula>AND(B$9&gt;=8/24,B$9&lt;14/24)</formula>
    </cfRule>
    <cfRule type="expression" dxfId="6616" priority="16">
      <formula>B$9&lt;8/24</formula>
    </cfRule>
  </conditionalFormatting>
  <conditionalFormatting sqref="A80">
    <cfRule type="expression" dxfId="6615" priority="12">
      <formula>$AH80=0</formula>
    </cfRule>
  </conditionalFormatting>
  <conditionalFormatting sqref="B80:AF80">
    <cfRule type="expression" dxfId="6614" priority="8">
      <formula>B$9&gt;=20/24</formula>
    </cfRule>
    <cfRule type="expression" dxfId="6613" priority="9">
      <formula>AND(B$9&gt;=14/24,B$9&lt;20/24)</formula>
    </cfRule>
    <cfRule type="expression" dxfId="6612" priority="10">
      <formula>AND(B$9&gt;=8/24,B$9&lt;14/24)</formula>
    </cfRule>
    <cfRule type="expression" dxfId="6611" priority="11">
      <formula>B$9&lt;8/24</formula>
    </cfRule>
  </conditionalFormatting>
  <conditionalFormatting sqref="A31">
    <cfRule type="expression" dxfId="6610" priority="6">
      <formula>$AH31=0</formula>
    </cfRule>
  </conditionalFormatting>
  <conditionalFormatting sqref="AL31">
    <cfRule type="iconSet" priority="7">
      <iconSet iconSet="3TrafficLights2" reverse="1">
        <cfvo type="percent" val="0"/>
        <cfvo type="num" val="1"/>
        <cfvo type="num" val="1"/>
      </iconSet>
    </cfRule>
  </conditionalFormatting>
  <conditionalFormatting sqref="B31:AF31">
    <cfRule type="expression" dxfId="6609" priority="2">
      <formula>B$9&gt;=20/24</formula>
    </cfRule>
    <cfRule type="expression" dxfId="6608" priority="3">
      <formula>AND(B$9&gt;=14/24,B$9&lt;20/24)</formula>
    </cfRule>
    <cfRule type="expression" dxfId="6607" priority="4">
      <formula>AND(B$9&gt;=8/24,B$9&lt;14/24)</formula>
    </cfRule>
    <cfRule type="expression" dxfId="6606" priority="5">
      <formula>B$9&lt;8/24</formula>
    </cfRule>
  </conditionalFormatting>
  <conditionalFormatting sqref="B31:AF31">
    <cfRule type="expression" dxfId="6605" priority="1">
      <formula>B31&gt;$AG31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2"/>
  <sheetViews>
    <sheetView zoomScale="90" zoomScaleNormal="9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AH11" sqref="AH11:AI105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2079/02/3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("&amp;ROUND(B237,0)&amp;" MW)"&amp;"    IPP   = "&amp;ROUND(B232,0)&amp;" MW     NEA RoR = "&amp;ROUND(B233,0)&amp;" MWImport   = "&amp;ROUND(B235,0)&amp;" MW      KL1+KL2+K3 = "&amp;ROUND(B234,0) &amp;" MW    EXPORT = "&amp;ROUND(B236,0)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52</v>
      </c>
      <c r="C5" s="32">
        <f t="shared" si="0"/>
        <v>45</v>
      </c>
      <c r="D5" s="32">
        <f t="shared" si="0"/>
        <v>39</v>
      </c>
      <c r="E5" s="32">
        <f t="shared" si="0"/>
        <v>43</v>
      </c>
      <c r="F5" s="32">
        <f t="shared" si="0"/>
        <v>48</v>
      </c>
      <c r="G5" s="32">
        <f t="shared" si="0"/>
        <v>36</v>
      </c>
      <c r="H5" s="32">
        <f t="shared" si="0"/>
        <v>39</v>
      </c>
      <c r="I5" s="32">
        <f t="shared" si="0"/>
        <v>39</v>
      </c>
      <c r="J5" s="32">
        <f t="shared" si="0"/>
        <v>75</v>
      </c>
      <c r="K5" s="32">
        <f t="shared" si="0"/>
        <v>79</v>
      </c>
      <c r="L5" s="32">
        <f t="shared" si="0"/>
        <v>79</v>
      </c>
      <c r="M5" s="32">
        <f t="shared" si="0"/>
        <v>68.150000000000006</v>
      </c>
      <c r="N5" s="32">
        <f t="shared" si="0"/>
        <v>54.62</v>
      </c>
      <c r="O5" s="32">
        <f t="shared" si="0"/>
        <v>55</v>
      </c>
      <c r="P5" s="32">
        <f t="shared" si="0"/>
        <v>61</v>
      </c>
      <c r="Q5" s="32">
        <f t="shared" si="0"/>
        <v>63.5</v>
      </c>
      <c r="R5" s="32">
        <f t="shared" si="0"/>
        <v>58</v>
      </c>
      <c r="S5" s="32">
        <f t="shared" si="0"/>
        <v>70.8</v>
      </c>
      <c r="T5" s="32">
        <f t="shared" si="0"/>
        <v>67.8</v>
      </c>
      <c r="U5" s="32">
        <f t="shared" si="0"/>
        <v>62</v>
      </c>
      <c r="V5" s="32">
        <f t="shared" si="0"/>
        <v>67.099999999999994</v>
      </c>
      <c r="W5" s="32">
        <f t="shared" si="0"/>
        <v>70.900000000000006</v>
      </c>
      <c r="X5" s="32">
        <f t="shared" si="0"/>
        <v>70.900000000000006</v>
      </c>
      <c r="Y5" s="32">
        <f t="shared" si="0"/>
        <v>70.900000000000006</v>
      </c>
      <c r="Z5" s="32">
        <f t="shared" si="0"/>
        <v>72.5</v>
      </c>
      <c r="AA5" s="32">
        <f t="shared" si="0"/>
        <v>59.4</v>
      </c>
      <c r="AB5" s="32">
        <f t="shared" si="0"/>
        <v>66.2</v>
      </c>
      <c r="AC5" s="32">
        <f t="shared" si="0"/>
        <v>65.8</v>
      </c>
      <c r="AD5" s="32">
        <f t="shared" si="0"/>
        <v>97.8</v>
      </c>
      <c r="AE5" s="32">
        <f t="shared" si="0"/>
        <v>78.3</v>
      </c>
      <c r="AF5" s="32">
        <f>B72</f>
        <v>56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"&amp;ROUND(B237,0)&amp;"MW at "&amp;TRUNC(B238*24,0)&amp;":"&amp;ROUND((B238*24-TRUNC(B238*24,0))*60,0)&amp;"hr at "&amp;ROUND(B239,1)&amp;"Hz     "&amp;A229&amp;" "&amp;ROUND(B229,0)&amp;"MW at "&amp;TRUNC(C229*24,0)&amp;":"&amp;ROUND((C229*24-TRUNC(C229*24,0))*6,0)&amp;"0hr"</f>
        <v>Evening Peak 0MW at 0:0hr at 0Hz     Morning Peak 1932MW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Load=1744</v>
      </c>
      <c r="B7" s="37">
        <f>B79</f>
        <v>1835.04</v>
      </c>
      <c r="C7" s="37">
        <f t="shared" ref="C7:AF7" si="1">C79</f>
        <v>1814.04</v>
      </c>
      <c r="D7" s="37">
        <f t="shared" si="1"/>
        <v>1804.8400000000001</v>
      </c>
      <c r="E7" s="37">
        <f t="shared" si="1"/>
        <v>1776.3400000000001</v>
      </c>
      <c r="F7" s="37">
        <f t="shared" si="1"/>
        <v>1780.3400000000001</v>
      </c>
      <c r="G7" s="37">
        <f t="shared" si="1"/>
        <v>1756.3400000000001</v>
      </c>
      <c r="H7" s="37">
        <f t="shared" si="1"/>
        <v>1744.3400000000001</v>
      </c>
      <c r="I7" s="37">
        <f t="shared" si="1"/>
        <v>1747.3400000000001</v>
      </c>
      <c r="J7" s="37">
        <f t="shared" si="1"/>
        <v>1770.2399999999998</v>
      </c>
      <c r="K7" s="37">
        <f t="shared" si="1"/>
        <v>1806.2399999999998</v>
      </c>
      <c r="L7" s="37">
        <f t="shared" si="1"/>
        <v>1839.2399999999998</v>
      </c>
      <c r="M7" s="37">
        <f t="shared" si="1"/>
        <v>1911.2399999999998</v>
      </c>
      <c r="N7" s="37">
        <f t="shared" si="1"/>
        <v>1932.3899999999999</v>
      </c>
      <c r="O7" s="37">
        <f t="shared" si="1"/>
        <v>1914.8599999999997</v>
      </c>
      <c r="P7" s="37">
        <f t="shared" si="1"/>
        <v>1844.2399999999998</v>
      </c>
      <c r="Q7" s="37">
        <f t="shared" si="1"/>
        <v>1860.2399999999998</v>
      </c>
      <c r="R7" s="37">
        <f t="shared" si="1"/>
        <v>1862.7399999999998</v>
      </c>
      <c r="S7" s="37">
        <f t="shared" si="1"/>
        <v>1845.34</v>
      </c>
      <c r="T7" s="37">
        <f t="shared" si="1"/>
        <v>1858.1399999999999</v>
      </c>
      <c r="U7" s="37">
        <f t="shared" si="1"/>
        <v>1860.1399999999999</v>
      </c>
      <c r="V7" s="37">
        <f t="shared" si="1"/>
        <v>1854.34</v>
      </c>
      <c r="W7" s="37">
        <f t="shared" si="1"/>
        <v>1866.3399999999997</v>
      </c>
      <c r="X7" s="37">
        <f t="shared" si="1"/>
        <v>1870.1399999999999</v>
      </c>
      <c r="Y7" s="37">
        <f t="shared" si="1"/>
        <v>1870.1399999999999</v>
      </c>
      <c r="Z7" s="37">
        <f t="shared" si="1"/>
        <v>1870.1399999999999</v>
      </c>
      <c r="AA7" s="37">
        <f t="shared" si="1"/>
        <v>1970.1399999999999</v>
      </c>
      <c r="AB7" s="37">
        <f t="shared" si="1"/>
        <v>1951.84</v>
      </c>
      <c r="AC7" s="37">
        <f t="shared" si="1"/>
        <v>1959.24</v>
      </c>
      <c r="AD7" s="37">
        <f t="shared" si="1"/>
        <v>1960.0399999999997</v>
      </c>
      <c r="AE7" s="37">
        <f t="shared" si="1"/>
        <v>1906.44</v>
      </c>
      <c r="AF7" s="37">
        <f t="shared" si="1"/>
        <v>1869.6399999999999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0">
        <v>54.3</v>
      </c>
      <c r="C11" s="50">
        <v>54.3</v>
      </c>
      <c r="D11" s="50">
        <v>54.3</v>
      </c>
      <c r="E11" s="50">
        <v>54.3</v>
      </c>
      <c r="F11" s="50">
        <v>54.3</v>
      </c>
      <c r="G11" s="50">
        <v>54.3</v>
      </c>
      <c r="H11" s="50">
        <v>54.3</v>
      </c>
      <c r="I11" s="50">
        <v>54.3</v>
      </c>
      <c r="J11" s="50">
        <v>54.3</v>
      </c>
      <c r="K11" s="50">
        <v>54.3</v>
      </c>
      <c r="L11" s="50">
        <v>54.3</v>
      </c>
      <c r="M11" s="50">
        <v>54.3</v>
      </c>
      <c r="N11" s="50">
        <v>54.3</v>
      </c>
      <c r="O11" s="50">
        <v>54.3</v>
      </c>
      <c r="P11" s="50">
        <v>54.3</v>
      </c>
      <c r="Q11" s="50">
        <v>54.3</v>
      </c>
      <c r="R11" s="50">
        <v>54.3</v>
      </c>
      <c r="S11" s="50">
        <v>54.3</v>
      </c>
      <c r="T11" s="50">
        <v>54.3</v>
      </c>
      <c r="U11" s="50">
        <v>54.3</v>
      </c>
      <c r="V11" s="50">
        <v>54.3</v>
      </c>
      <c r="W11" s="50">
        <v>54.3</v>
      </c>
      <c r="X11" s="50">
        <v>54.3</v>
      </c>
      <c r="Y11" s="50">
        <v>54.3</v>
      </c>
      <c r="Z11" s="50">
        <v>54.3</v>
      </c>
      <c r="AA11" s="50">
        <v>54.3</v>
      </c>
      <c r="AB11" s="50">
        <v>54.2</v>
      </c>
      <c r="AC11" s="50">
        <v>54.2</v>
      </c>
      <c r="AD11" s="50">
        <v>54.2</v>
      </c>
      <c r="AE11" s="50">
        <v>54.1</v>
      </c>
      <c r="AF11" s="50">
        <v>54.1</v>
      </c>
      <c r="AG11" s="133">
        <v>52.4</v>
      </c>
      <c r="AH11" s="54">
        <f>MAX(B11:AF11)</f>
        <v>54.3</v>
      </c>
      <c r="AI11" s="55">
        <f>MIN(B11:AF11)</f>
        <v>54.1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50.2</v>
      </c>
      <c r="C12" s="50">
        <v>50.2</v>
      </c>
      <c r="D12" s="50">
        <v>50.2</v>
      </c>
      <c r="E12" s="50">
        <v>50.2</v>
      </c>
      <c r="F12" s="50">
        <v>50.2</v>
      </c>
      <c r="G12" s="50">
        <v>50.2</v>
      </c>
      <c r="H12" s="50">
        <v>50.2</v>
      </c>
      <c r="I12" s="50">
        <v>50.2</v>
      </c>
      <c r="J12" s="50">
        <v>50.2</v>
      </c>
      <c r="K12" s="50">
        <v>50.2</v>
      </c>
      <c r="L12" s="50">
        <v>50.2</v>
      </c>
      <c r="M12" s="50">
        <v>50.2</v>
      </c>
      <c r="N12" s="50">
        <v>50.2</v>
      </c>
      <c r="O12" s="50">
        <v>50.2</v>
      </c>
      <c r="P12" s="50">
        <v>50.2</v>
      </c>
      <c r="Q12" s="50">
        <v>50.2</v>
      </c>
      <c r="R12" s="50">
        <v>50.2</v>
      </c>
      <c r="S12" s="50">
        <v>50.2</v>
      </c>
      <c r="T12" s="50">
        <v>50.2</v>
      </c>
      <c r="U12" s="50">
        <v>50.2</v>
      </c>
      <c r="V12" s="50">
        <v>50.2</v>
      </c>
      <c r="W12" s="50">
        <v>50.2</v>
      </c>
      <c r="X12" s="50">
        <v>50.2</v>
      </c>
      <c r="Y12" s="50">
        <v>50.2</v>
      </c>
      <c r="Z12" s="50">
        <v>50.2</v>
      </c>
      <c r="AA12" s="50">
        <v>50.2</v>
      </c>
      <c r="AB12" s="50">
        <v>50.4</v>
      </c>
      <c r="AC12" s="50">
        <v>50.4</v>
      </c>
      <c r="AD12" s="50">
        <v>50.4</v>
      </c>
      <c r="AE12" s="50">
        <v>50.5</v>
      </c>
      <c r="AF12" s="50">
        <v>50.5</v>
      </c>
      <c r="AG12" s="134">
        <v>50</v>
      </c>
      <c r="AH12" s="54">
        <f t="shared" ref="AH12:AH79" si="2">MAX(B12:AF12)</f>
        <v>50.5</v>
      </c>
      <c r="AI12" s="55">
        <f t="shared" ref="AI12:AI79" si="3">MIN(B12:AF12)</f>
        <v>50.2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46</v>
      </c>
      <c r="C13" s="50">
        <v>46</v>
      </c>
      <c r="D13" s="50">
        <v>46</v>
      </c>
      <c r="E13" s="50">
        <v>46</v>
      </c>
      <c r="F13" s="50">
        <v>46</v>
      </c>
      <c r="G13" s="50">
        <v>46</v>
      </c>
      <c r="H13" s="50">
        <v>46</v>
      </c>
      <c r="I13" s="50">
        <v>46</v>
      </c>
      <c r="J13" s="50">
        <v>46</v>
      </c>
      <c r="K13" s="50">
        <v>46</v>
      </c>
      <c r="L13" s="50">
        <v>46</v>
      </c>
      <c r="M13" s="50">
        <v>46</v>
      </c>
      <c r="N13" s="50">
        <v>46</v>
      </c>
      <c r="O13" s="50">
        <v>46</v>
      </c>
      <c r="P13" s="50">
        <v>46</v>
      </c>
      <c r="Q13" s="50">
        <v>46</v>
      </c>
      <c r="R13" s="50">
        <v>46</v>
      </c>
      <c r="S13" s="50">
        <v>46</v>
      </c>
      <c r="T13" s="50">
        <v>46</v>
      </c>
      <c r="U13" s="50">
        <v>46</v>
      </c>
      <c r="V13" s="50">
        <v>46</v>
      </c>
      <c r="W13" s="50">
        <v>46</v>
      </c>
      <c r="X13" s="50">
        <v>46</v>
      </c>
      <c r="Y13" s="50">
        <v>46</v>
      </c>
      <c r="Z13" s="50">
        <v>46</v>
      </c>
      <c r="AA13" s="50">
        <v>46</v>
      </c>
      <c r="AB13" s="50">
        <v>45.9</v>
      </c>
      <c r="AC13" s="50">
        <v>45.9</v>
      </c>
      <c r="AD13" s="50">
        <v>45.9</v>
      </c>
      <c r="AE13" s="50">
        <v>45.9</v>
      </c>
      <c r="AF13" s="50">
        <v>45.9</v>
      </c>
      <c r="AG13" s="134">
        <v>45</v>
      </c>
      <c r="AH13" s="54">
        <f t="shared" si="2"/>
        <v>46</v>
      </c>
      <c r="AI13" s="55">
        <f t="shared" si="3"/>
        <v>45.9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28</v>
      </c>
      <c r="C14" s="50">
        <v>28</v>
      </c>
      <c r="D14" s="50">
        <v>28</v>
      </c>
      <c r="E14" s="50">
        <v>28</v>
      </c>
      <c r="F14" s="50">
        <v>28</v>
      </c>
      <c r="G14" s="50">
        <v>28</v>
      </c>
      <c r="H14" s="50">
        <v>28</v>
      </c>
      <c r="I14" s="50">
        <v>28</v>
      </c>
      <c r="J14" s="50">
        <v>28</v>
      </c>
      <c r="K14" s="50">
        <v>28</v>
      </c>
      <c r="L14" s="50">
        <v>28</v>
      </c>
      <c r="M14" s="50">
        <v>28</v>
      </c>
      <c r="N14" s="50">
        <v>28</v>
      </c>
      <c r="O14" s="50">
        <v>28</v>
      </c>
      <c r="P14" s="50">
        <v>28</v>
      </c>
      <c r="Q14" s="50">
        <v>28</v>
      </c>
      <c r="R14" s="50">
        <v>28</v>
      </c>
      <c r="S14" s="50">
        <v>28</v>
      </c>
      <c r="T14" s="50">
        <v>28</v>
      </c>
      <c r="U14" s="50">
        <v>28</v>
      </c>
      <c r="V14" s="50">
        <v>28</v>
      </c>
      <c r="W14" s="50">
        <v>28</v>
      </c>
      <c r="X14" s="50">
        <v>28</v>
      </c>
      <c r="Y14" s="50">
        <v>28</v>
      </c>
      <c r="Z14" s="50">
        <v>28</v>
      </c>
      <c r="AA14" s="50">
        <v>28</v>
      </c>
      <c r="AB14" s="50">
        <v>28</v>
      </c>
      <c r="AC14" s="50">
        <v>28</v>
      </c>
      <c r="AD14" s="50">
        <v>28</v>
      </c>
      <c r="AE14" s="50">
        <v>28</v>
      </c>
      <c r="AF14" s="50">
        <v>28</v>
      </c>
      <c r="AG14" s="134">
        <v>42</v>
      </c>
      <c r="AH14" s="54">
        <f t="shared" si="2"/>
        <v>28</v>
      </c>
      <c r="AI14" s="55">
        <f t="shared" si="3"/>
        <v>28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30</v>
      </c>
      <c r="C15" s="50">
        <v>30</v>
      </c>
      <c r="D15" s="50">
        <v>30</v>
      </c>
      <c r="E15" s="50">
        <v>15</v>
      </c>
      <c r="F15" s="50">
        <v>15</v>
      </c>
      <c r="G15" s="50">
        <v>15</v>
      </c>
      <c r="H15" s="50">
        <v>15</v>
      </c>
      <c r="I15" s="50">
        <v>15</v>
      </c>
      <c r="J15" s="50">
        <v>30</v>
      </c>
      <c r="K15" s="50">
        <v>30</v>
      </c>
      <c r="L15" s="50">
        <v>30</v>
      </c>
      <c r="M15" s="50">
        <v>30</v>
      </c>
      <c r="N15" s="50">
        <v>30</v>
      </c>
      <c r="O15" s="50">
        <v>30</v>
      </c>
      <c r="P15" s="50">
        <v>20</v>
      </c>
      <c r="Q15" s="50">
        <v>30</v>
      </c>
      <c r="R15" s="50">
        <v>30</v>
      </c>
      <c r="S15" s="50">
        <v>30</v>
      </c>
      <c r="T15" s="50">
        <v>30</v>
      </c>
      <c r="U15" s="50">
        <v>30</v>
      </c>
      <c r="V15" s="50">
        <v>30</v>
      </c>
      <c r="W15" s="50">
        <v>30</v>
      </c>
      <c r="X15" s="50">
        <v>30</v>
      </c>
      <c r="Y15" s="50">
        <v>30</v>
      </c>
      <c r="Z15" s="50">
        <v>30</v>
      </c>
      <c r="AA15" s="50">
        <v>30</v>
      </c>
      <c r="AB15" s="50">
        <v>30</v>
      </c>
      <c r="AC15" s="50">
        <v>30</v>
      </c>
      <c r="AD15" s="50">
        <v>30</v>
      </c>
      <c r="AE15" s="50">
        <v>30</v>
      </c>
      <c r="AF15" s="50">
        <v>30</v>
      </c>
      <c r="AG15" s="135">
        <v>30</v>
      </c>
      <c r="AH15" s="54">
        <f t="shared" si="2"/>
        <v>30</v>
      </c>
      <c r="AI15" s="55">
        <f t="shared" si="3"/>
        <v>15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26.1</v>
      </c>
      <c r="C16" s="50">
        <v>26.1</v>
      </c>
      <c r="D16" s="50">
        <v>26.1</v>
      </c>
      <c r="E16" s="50">
        <v>26.1</v>
      </c>
      <c r="F16" s="50">
        <v>26.1</v>
      </c>
      <c r="G16" s="50">
        <v>26.1</v>
      </c>
      <c r="H16" s="50">
        <v>26.1</v>
      </c>
      <c r="I16" s="50">
        <v>26.1</v>
      </c>
      <c r="J16" s="50">
        <v>26.1</v>
      </c>
      <c r="K16" s="50">
        <v>26.1</v>
      </c>
      <c r="L16" s="50">
        <v>26.1</v>
      </c>
      <c r="M16" s="50">
        <v>26.1</v>
      </c>
      <c r="N16" s="50">
        <v>26.1</v>
      </c>
      <c r="O16" s="50">
        <v>26.1</v>
      </c>
      <c r="P16" s="50">
        <v>26.1</v>
      </c>
      <c r="Q16" s="50">
        <v>26.1</v>
      </c>
      <c r="R16" s="50">
        <v>26.1</v>
      </c>
      <c r="S16" s="50">
        <v>26.1</v>
      </c>
      <c r="T16" s="50">
        <v>26.1</v>
      </c>
      <c r="U16" s="50">
        <v>26.1</v>
      </c>
      <c r="V16" s="50">
        <v>26.1</v>
      </c>
      <c r="W16" s="50">
        <v>26.1</v>
      </c>
      <c r="X16" s="50">
        <v>26.1</v>
      </c>
      <c r="Y16" s="50">
        <v>26.1</v>
      </c>
      <c r="Z16" s="50">
        <v>26.1</v>
      </c>
      <c r="AA16" s="50">
        <v>26.1</v>
      </c>
      <c r="AB16" s="50">
        <v>26.1</v>
      </c>
      <c r="AC16" s="50">
        <v>26.1</v>
      </c>
      <c r="AD16" s="50">
        <v>26.1</v>
      </c>
      <c r="AE16" s="50">
        <v>26.2</v>
      </c>
      <c r="AF16" s="50">
        <v>26.2</v>
      </c>
      <c r="AG16" s="134">
        <v>25</v>
      </c>
      <c r="AH16" s="54">
        <f t="shared" si="2"/>
        <v>26.2</v>
      </c>
      <c r="AI16" s="55">
        <f t="shared" si="3"/>
        <v>26.1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25</v>
      </c>
      <c r="D18" s="50">
        <v>25</v>
      </c>
      <c r="E18" s="50">
        <v>25</v>
      </c>
      <c r="F18" s="50">
        <v>25</v>
      </c>
      <c r="G18" s="50">
        <v>25</v>
      </c>
      <c r="H18" s="50">
        <v>25</v>
      </c>
      <c r="I18" s="50">
        <v>25</v>
      </c>
      <c r="J18" s="50">
        <v>25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25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32.5</v>
      </c>
      <c r="C19" s="50">
        <v>32.5</v>
      </c>
      <c r="D19" s="50">
        <v>32.5</v>
      </c>
      <c r="E19" s="50">
        <v>25</v>
      </c>
      <c r="F19" s="50">
        <v>25</v>
      </c>
      <c r="G19" s="50">
        <v>25</v>
      </c>
      <c r="H19" s="50">
        <v>25</v>
      </c>
      <c r="I19" s="50">
        <v>25</v>
      </c>
      <c r="J19" s="50">
        <v>32.9</v>
      </c>
      <c r="K19" s="50">
        <v>32.9</v>
      </c>
      <c r="L19" s="50">
        <v>32.9</v>
      </c>
      <c r="M19" s="50">
        <v>32.9</v>
      </c>
      <c r="N19" s="50">
        <v>32.9</v>
      </c>
      <c r="O19" s="50">
        <v>32.9</v>
      </c>
      <c r="P19" s="50">
        <v>32.9</v>
      </c>
      <c r="Q19" s="50">
        <v>32.9</v>
      </c>
      <c r="R19" s="50">
        <v>32.9</v>
      </c>
      <c r="S19" s="50">
        <v>32.9</v>
      </c>
      <c r="T19" s="50">
        <v>32.9</v>
      </c>
      <c r="U19" s="50">
        <v>32.9</v>
      </c>
      <c r="V19" s="50">
        <v>32.9</v>
      </c>
      <c r="W19" s="50">
        <v>32.9</v>
      </c>
      <c r="X19" s="50">
        <v>32.9</v>
      </c>
      <c r="Y19" s="50">
        <v>32.9</v>
      </c>
      <c r="Z19" s="50">
        <v>32.9</v>
      </c>
      <c r="AA19" s="50">
        <v>32.9</v>
      </c>
      <c r="AB19" s="50">
        <v>33</v>
      </c>
      <c r="AC19" s="50">
        <v>33</v>
      </c>
      <c r="AD19" s="50">
        <v>33</v>
      </c>
      <c r="AE19" s="50">
        <v>33</v>
      </c>
      <c r="AF19" s="50">
        <v>33</v>
      </c>
      <c r="AG19" s="134">
        <v>24.2</v>
      </c>
      <c r="AH19" s="54">
        <f t="shared" si="2"/>
        <v>33</v>
      </c>
      <c r="AI19" s="55">
        <f t="shared" si="3"/>
        <v>25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23.6</v>
      </c>
      <c r="C20" s="50">
        <v>23.6</v>
      </c>
      <c r="D20" s="50">
        <v>23.6</v>
      </c>
      <c r="E20" s="50">
        <v>23.6</v>
      </c>
      <c r="F20" s="50">
        <v>23.6</v>
      </c>
      <c r="G20" s="50">
        <v>23.6</v>
      </c>
      <c r="H20" s="50">
        <v>23.6</v>
      </c>
      <c r="I20" s="50">
        <v>23.6</v>
      </c>
      <c r="J20" s="50">
        <v>23.6</v>
      </c>
      <c r="K20" s="50">
        <v>23.6</v>
      </c>
      <c r="L20" s="50">
        <v>23.6</v>
      </c>
      <c r="M20" s="50">
        <v>23.6</v>
      </c>
      <c r="N20" s="50">
        <v>23.6</v>
      </c>
      <c r="O20" s="50">
        <v>23.6</v>
      </c>
      <c r="P20" s="50">
        <v>23.6</v>
      </c>
      <c r="Q20" s="50">
        <v>23.6</v>
      </c>
      <c r="R20" s="50">
        <v>23.6</v>
      </c>
      <c r="S20" s="50">
        <v>23.6</v>
      </c>
      <c r="T20" s="50">
        <v>23.6</v>
      </c>
      <c r="U20" s="50">
        <v>23.6</v>
      </c>
      <c r="V20" s="50">
        <v>23.6</v>
      </c>
      <c r="W20" s="50">
        <v>23.6</v>
      </c>
      <c r="X20" s="50">
        <v>23.6</v>
      </c>
      <c r="Y20" s="50">
        <v>23.6</v>
      </c>
      <c r="Z20" s="50">
        <v>23.6</v>
      </c>
      <c r="AA20" s="50">
        <v>23.5</v>
      </c>
      <c r="AB20" s="50">
        <v>23.5</v>
      </c>
      <c r="AC20" s="50">
        <v>23.5</v>
      </c>
      <c r="AD20" s="50">
        <v>23.5</v>
      </c>
      <c r="AE20" s="50">
        <v>23.5</v>
      </c>
      <c r="AF20" s="50">
        <v>23.4</v>
      </c>
      <c r="AG20" s="134">
        <v>23.5</v>
      </c>
      <c r="AH20" s="54">
        <f t="shared" si="2"/>
        <v>23.6</v>
      </c>
      <c r="AI20" s="55">
        <f t="shared" si="3"/>
        <v>23.4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21</v>
      </c>
      <c r="C21" s="50">
        <v>21</v>
      </c>
      <c r="D21" s="50">
        <v>21</v>
      </c>
      <c r="E21" s="50">
        <v>21</v>
      </c>
      <c r="F21" s="50">
        <v>21</v>
      </c>
      <c r="G21" s="50">
        <v>21</v>
      </c>
      <c r="H21" s="50">
        <v>21</v>
      </c>
      <c r="I21" s="50">
        <v>21</v>
      </c>
      <c r="J21" s="50">
        <v>21</v>
      </c>
      <c r="K21" s="50">
        <v>21</v>
      </c>
      <c r="L21" s="50">
        <v>21</v>
      </c>
      <c r="M21" s="50">
        <v>21</v>
      </c>
      <c r="N21" s="50">
        <v>21</v>
      </c>
      <c r="O21" s="50">
        <v>21</v>
      </c>
      <c r="P21" s="50">
        <v>21</v>
      </c>
      <c r="Q21" s="50">
        <v>21</v>
      </c>
      <c r="R21" s="50">
        <v>21</v>
      </c>
      <c r="S21" s="50">
        <v>21</v>
      </c>
      <c r="T21" s="50">
        <v>21</v>
      </c>
      <c r="U21" s="50">
        <v>21</v>
      </c>
      <c r="V21" s="50">
        <v>21</v>
      </c>
      <c r="W21" s="50">
        <v>21</v>
      </c>
      <c r="X21" s="50">
        <v>21</v>
      </c>
      <c r="Y21" s="50">
        <v>21</v>
      </c>
      <c r="Z21" s="50">
        <v>21</v>
      </c>
      <c r="AA21" s="50">
        <v>21</v>
      </c>
      <c r="AB21" s="50">
        <v>21</v>
      </c>
      <c r="AC21" s="50">
        <v>21</v>
      </c>
      <c r="AD21" s="50">
        <v>21</v>
      </c>
      <c r="AE21" s="50">
        <v>21</v>
      </c>
      <c r="AF21" s="50">
        <v>21</v>
      </c>
      <c r="AG21" s="134">
        <v>22.2</v>
      </c>
      <c r="AH21" s="54">
        <f t="shared" si="2"/>
        <v>21</v>
      </c>
      <c r="AI21" s="55">
        <f t="shared" si="3"/>
        <v>21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16</v>
      </c>
      <c r="C22" s="50">
        <v>16</v>
      </c>
      <c r="D22" s="50">
        <v>16</v>
      </c>
      <c r="E22" s="50">
        <v>16</v>
      </c>
      <c r="F22" s="50">
        <v>16</v>
      </c>
      <c r="G22" s="50">
        <v>16</v>
      </c>
      <c r="H22" s="50">
        <v>16</v>
      </c>
      <c r="I22" s="50">
        <v>16</v>
      </c>
      <c r="J22" s="50">
        <v>16</v>
      </c>
      <c r="K22" s="50">
        <v>16</v>
      </c>
      <c r="L22" s="50">
        <v>16</v>
      </c>
      <c r="M22" s="50">
        <v>16</v>
      </c>
      <c r="N22" s="50">
        <v>16</v>
      </c>
      <c r="O22" s="50">
        <v>16</v>
      </c>
      <c r="P22" s="50">
        <v>16</v>
      </c>
      <c r="Q22" s="50">
        <v>16</v>
      </c>
      <c r="R22" s="50">
        <v>16</v>
      </c>
      <c r="S22" s="50">
        <v>16</v>
      </c>
      <c r="T22" s="50">
        <v>16</v>
      </c>
      <c r="U22" s="50">
        <v>16</v>
      </c>
      <c r="V22" s="50">
        <v>16</v>
      </c>
      <c r="W22" s="50">
        <v>16</v>
      </c>
      <c r="X22" s="50">
        <v>16</v>
      </c>
      <c r="Y22" s="50">
        <v>16</v>
      </c>
      <c r="Z22" s="50">
        <v>16</v>
      </c>
      <c r="AA22" s="50">
        <v>16</v>
      </c>
      <c r="AB22" s="50">
        <v>16</v>
      </c>
      <c r="AC22" s="50">
        <v>16</v>
      </c>
      <c r="AD22" s="50">
        <v>16</v>
      </c>
      <c r="AE22" s="50">
        <v>16</v>
      </c>
      <c r="AF22" s="50">
        <v>16</v>
      </c>
      <c r="AG22" s="134">
        <v>22.1</v>
      </c>
      <c r="AH22" s="54">
        <f t="shared" si="2"/>
        <v>16</v>
      </c>
      <c r="AI22" s="55">
        <f t="shared" si="3"/>
        <v>16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22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22</v>
      </c>
      <c r="AI24" s="55">
        <f t="shared" si="3"/>
        <v>22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10</v>
      </c>
      <c r="C25" s="50">
        <v>10</v>
      </c>
      <c r="D25" s="50">
        <v>10</v>
      </c>
      <c r="E25" s="50">
        <v>10</v>
      </c>
      <c r="F25" s="50">
        <v>10</v>
      </c>
      <c r="G25" s="50">
        <v>10</v>
      </c>
      <c r="H25" s="50">
        <v>10</v>
      </c>
      <c r="I25" s="50">
        <v>10</v>
      </c>
      <c r="J25" s="50">
        <v>10</v>
      </c>
      <c r="K25" s="50">
        <v>10</v>
      </c>
      <c r="L25" s="50">
        <v>10</v>
      </c>
      <c r="M25" s="50">
        <v>10</v>
      </c>
      <c r="N25" s="50">
        <v>10</v>
      </c>
      <c r="O25" s="50">
        <v>10</v>
      </c>
      <c r="P25" s="50">
        <v>10</v>
      </c>
      <c r="Q25" s="50">
        <v>10</v>
      </c>
      <c r="R25" s="50">
        <v>10</v>
      </c>
      <c r="S25" s="50">
        <v>10</v>
      </c>
      <c r="T25" s="50">
        <v>10</v>
      </c>
      <c r="U25" s="50">
        <v>10</v>
      </c>
      <c r="V25" s="50">
        <v>10</v>
      </c>
      <c r="W25" s="50">
        <v>10</v>
      </c>
      <c r="X25" s="50">
        <v>10</v>
      </c>
      <c r="Y25" s="50">
        <v>10</v>
      </c>
      <c r="Z25" s="50">
        <v>10</v>
      </c>
      <c r="AA25" s="50">
        <v>10</v>
      </c>
      <c r="AB25" s="50">
        <v>10</v>
      </c>
      <c r="AC25" s="50">
        <v>10</v>
      </c>
      <c r="AD25" s="50">
        <v>10</v>
      </c>
      <c r="AE25" s="50">
        <v>10</v>
      </c>
      <c r="AF25" s="50">
        <v>10</v>
      </c>
      <c r="AG25" s="134">
        <v>20</v>
      </c>
      <c r="AH25" s="54">
        <f t="shared" si="2"/>
        <v>10</v>
      </c>
      <c r="AI25" s="55">
        <f t="shared" si="3"/>
        <v>10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14</v>
      </c>
      <c r="C26" s="50">
        <v>14</v>
      </c>
      <c r="D26" s="50">
        <v>14</v>
      </c>
      <c r="E26" s="50">
        <v>14</v>
      </c>
      <c r="F26" s="50">
        <v>14</v>
      </c>
      <c r="G26" s="50">
        <v>14</v>
      </c>
      <c r="H26" s="50">
        <v>14</v>
      </c>
      <c r="I26" s="50">
        <v>14</v>
      </c>
      <c r="J26" s="50">
        <v>14</v>
      </c>
      <c r="K26" s="50">
        <v>14</v>
      </c>
      <c r="L26" s="50">
        <v>14</v>
      </c>
      <c r="M26" s="50">
        <v>14</v>
      </c>
      <c r="N26" s="50">
        <v>14</v>
      </c>
      <c r="O26" s="50">
        <v>14</v>
      </c>
      <c r="P26" s="50">
        <v>14</v>
      </c>
      <c r="Q26" s="50">
        <v>14</v>
      </c>
      <c r="R26" s="50">
        <v>14</v>
      </c>
      <c r="S26" s="50">
        <v>14</v>
      </c>
      <c r="T26" s="50">
        <v>14</v>
      </c>
      <c r="U26" s="50">
        <v>14</v>
      </c>
      <c r="V26" s="50">
        <v>14</v>
      </c>
      <c r="W26" s="50">
        <v>14</v>
      </c>
      <c r="X26" s="50">
        <v>14</v>
      </c>
      <c r="Y26" s="50">
        <v>14</v>
      </c>
      <c r="Z26" s="50">
        <v>14</v>
      </c>
      <c r="AA26" s="50">
        <v>14</v>
      </c>
      <c r="AB26" s="50">
        <v>14</v>
      </c>
      <c r="AC26" s="50">
        <v>14</v>
      </c>
      <c r="AD26" s="50">
        <v>14</v>
      </c>
      <c r="AE26" s="50">
        <v>14</v>
      </c>
      <c r="AF26" s="50">
        <v>14</v>
      </c>
      <c r="AG26" s="134">
        <v>14.9</v>
      </c>
      <c r="AH26" s="54">
        <f t="shared" si="2"/>
        <v>14</v>
      </c>
      <c r="AI26" s="55">
        <f t="shared" si="3"/>
        <v>14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0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134">
        <v>13.6</v>
      </c>
      <c r="AH27" s="54">
        <f t="shared" si="2"/>
        <v>0</v>
      </c>
      <c r="AI27" s="55">
        <f t="shared" si="3"/>
        <v>0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13</v>
      </c>
      <c r="C28" s="50">
        <v>13</v>
      </c>
      <c r="D28" s="50">
        <v>13</v>
      </c>
      <c r="E28" s="50">
        <v>13</v>
      </c>
      <c r="F28" s="50">
        <v>13</v>
      </c>
      <c r="G28" s="50">
        <v>13</v>
      </c>
      <c r="H28" s="50">
        <v>13</v>
      </c>
      <c r="I28" s="50">
        <v>13</v>
      </c>
      <c r="J28" s="50">
        <v>13</v>
      </c>
      <c r="K28" s="50">
        <v>13</v>
      </c>
      <c r="L28" s="50">
        <v>13</v>
      </c>
      <c r="M28" s="50">
        <v>13</v>
      </c>
      <c r="N28" s="50">
        <v>13</v>
      </c>
      <c r="O28" s="50">
        <v>13</v>
      </c>
      <c r="P28" s="50">
        <v>13</v>
      </c>
      <c r="Q28" s="50">
        <v>13</v>
      </c>
      <c r="R28" s="50">
        <v>13</v>
      </c>
      <c r="S28" s="50">
        <v>13</v>
      </c>
      <c r="T28" s="50">
        <v>13</v>
      </c>
      <c r="U28" s="50">
        <v>13</v>
      </c>
      <c r="V28" s="50">
        <v>13</v>
      </c>
      <c r="W28" s="50">
        <v>13</v>
      </c>
      <c r="X28" s="50">
        <v>13</v>
      </c>
      <c r="Y28" s="50">
        <v>13</v>
      </c>
      <c r="Z28" s="50">
        <v>13</v>
      </c>
      <c r="AA28" s="50">
        <v>13</v>
      </c>
      <c r="AB28" s="50">
        <v>13</v>
      </c>
      <c r="AC28" s="50">
        <v>13</v>
      </c>
      <c r="AD28" s="50">
        <v>13</v>
      </c>
      <c r="AE28" s="50">
        <v>13</v>
      </c>
      <c r="AF28" s="50">
        <v>13</v>
      </c>
      <c r="AG28" s="134">
        <v>13</v>
      </c>
      <c r="AH28" s="54">
        <f t="shared" si="2"/>
        <v>13</v>
      </c>
      <c r="AI28" s="55">
        <f t="shared" si="3"/>
        <v>13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12</v>
      </c>
      <c r="C29" s="50">
        <v>12</v>
      </c>
      <c r="D29" s="50">
        <v>12</v>
      </c>
      <c r="E29" s="50">
        <v>12</v>
      </c>
      <c r="F29" s="50">
        <v>12</v>
      </c>
      <c r="G29" s="50">
        <v>12</v>
      </c>
      <c r="H29" s="50">
        <v>12</v>
      </c>
      <c r="I29" s="50">
        <v>12</v>
      </c>
      <c r="J29" s="50">
        <v>12</v>
      </c>
      <c r="K29" s="50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134">
        <v>12</v>
      </c>
      <c r="AH29" s="54">
        <f t="shared" si="2"/>
        <v>12</v>
      </c>
      <c r="AI29" s="55">
        <f t="shared" si="3"/>
        <v>12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8</v>
      </c>
      <c r="C30" s="50">
        <v>8</v>
      </c>
      <c r="D30" s="50">
        <v>8</v>
      </c>
      <c r="E30" s="50">
        <v>8</v>
      </c>
      <c r="F30" s="50">
        <v>8</v>
      </c>
      <c r="G30" s="50">
        <v>8</v>
      </c>
      <c r="H30" s="50">
        <v>8</v>
      </c>
      <c r="I30" s="50">
        <v>8</v>
      </c>
      <c r="J30" s="50">
        <v>8</v>
      </c>
      <c r="K30" s="50">
        <v>8</v>
      </c>
      <c r="L30" s="50">
        <v>8</v>
      </c>
      <c r="M30" s="50">
        <v>8</v>
      </c>
      <c r="N30" s="50">
        <v>8</v>
      </c>
      <c r="O30" s="50">
        <v>8</v>
      </c>
      <c r="P30" s="50">
        <v>8</v>
      </c>
      <c r="Q30" s="50">
        <v>8</v>
      </c>
      <c r="R30" s="50">
        <v>8</v>
      </c>
      <c r="S30" s="50">
        <v>8</v>
      </c>
      <c r="T30" s="50">
        <v>8</v>
      </c>
      <c r="U30" s="50">
        <v>8</v>
      </c>
      <c r="V30" s="50">
        <v>8</v>
      </c>
      <c r="W30" s="50">
        <v>8</v>
      </c>
      <c r="X30" s="50">
        <v>8</v>
      </c>
      <c r="Y30" s="50">
        <v>8</v>
      </c>
      <c r="Z30" s="50">
        <v>8</v>
      </c>
      <c r="AA30" s="50">
        <v>8</v>
      </c>
      <c r="AB30" s="50">
        <v>8</v>
      </c>
      <c r="AC30" s="50">
        <v>8</v>
      </c>
      <c r="AD30" s="50">
        <v>8</v>
      </c>
      <c r="AE30" s="50">
        <v>8</v>
      </c>
      <c r="AF30" s="50">
        <v>8</v>
      </c>
      <c r="AG30" s="134">
        <v>12</v>
      </c>
      <c r="AH30" s="54">
        <f t="shared" si="2"/>
        <v>8</v>
      </c>
      <c r="AI30" s="55">
        <f t="shared" si="3"/>
        <v>8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9</v>
      </c>
      <c r="C31" s="50">
        <v>9</v>
      </c>
      <c r="D31" s="50">
        <v>9</v>
      </c>
      <c r="E31" s="50">
        <v>9</v>
      </c>
      <c r="F31" s="50">
        <v>9</v>
      </c>
      <c r="G31" s="50">
        <v>9</v>
      </c>
      <c r="H31" s="50">
        <v>9</v>
      </c>
      <c r="I31" s="50">
        <v>9</v>
      </c>
      <c r="J31" s="50">
        <v>9</v>
      </c>
      <c r="K31" s="50">
        <v>9</v>
      </c>
      <c r="L31" s="50">
        <v>9</v>
      </c>
      <c r="M31" s="50">
        <v>9</v>
      </c>
      <c r="N31" s="50">
        <v>9</v>
      </c>
      <c r="O31" s="50">
        <v>9</v>
      </c>
      <c r="P31" s="50">
        <v>9</v>
      </c>
      <c r="Q31" s="50">
        <v>9</v>
      </c>
      <c r="R31" s="50">
        <v>9</v>
      </c>
      <c r="S31" s="50">
        <v>9</v>
      </c>
      <c r="T31" s="50">
        <v>9</v>
      </c>
      <c r="U31" s="50">
        <v>9</v>
      </c>
      <c r="V31" s="50">
        <v>9</v>
      </c>
      <c r="W31" s="50">
        <v>9</v>
      </c>
      <c r="X31" s="50">
        <v>9</v>
      </c>
      <c r="Y31" s="50">
        <v>9</v>
      </c>
      <c r="Z31" s="50">
        <v>9</v>
      </c>
      <c r="AA31" s="50">
        <v>9</v>
      </c>
      <c r="AB31" s="50">
        <v>9</v>
      </c>
      <c r="AC31" s="50">
        <v>9</v>
      </c>
      <c r="AD31" s="50">
        <v>9</v>
      </c>
      <c r="AE31" s="50">
        <v>9</v>
      </c>
      <c r="AF31" s="50">
        <v>9</v>
      </c>
      <c r="AG31" s="178">
        <v>22</v>
      </c>
      <c r="AH31" s="54">
        <f>MAX(B31:AF31)</f>
        <v>9</v>
      </c>
      <c r="AI31" s="55">
        <f>MIN(B31:AF31)</f>
        <v>9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10</v>
      </c>
      <c r="N32" s="50">
        <v>10</v>
      </c>
      <c r="O32" s="50">
        <v>10</v>
      </c>
      <c r="P32" s="50">
        <v>10</v>
      </c>
      <c r="Q32" s="50">
        <v>10</v>
      </c>
      <c r="R32" s="50">
        <v>10</v>
      </c>
      <c r="S32" s="50">
        <v>5</v>
      </c>
      <c r="T32" s="50">
        <v>5</v>
      </c>
      <c r="U32" s="50">
        <v>5</v>
      </c>
      <c r="V32" s="50">
        <v>5</v>
      </c>
      <c r="W32" s="50">
        <v>5</v>
      </c>
      <c r="X32" s="50">
        <v>5</v>
      </c>
      <c r="Y32" s="50">
        <v>5</v>
      </c>
      <c r="Z32" s="50">
        <v>5</v>
      </c>
      <c r="AA32" s="50">
        <v>5</v>
      </c>
      <c r="AB32" s="50">
        <v>5</v>
      </c>
      <c r="AC32" s="50">
        <v>5</v>
      </c>
      <c r="AD32" s="50">
        <v>5</v>
      </c>
      <c r="AE32" s="50">
        <v>5</v>
      </c>
      <c r="AF32" s="50">
        <v>5</v>
      </c>
      <c r="AG32" s="135">
        <v>11.88</v>
      </c>
      <c r="AH32" s="54">
        <f t="shared" si="2"/>
        <v>10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11</v>
      </c>
      <c r="D33" s="50">
        <v>11</v>
      </c>
      <c r="E33" s="50">
        <v>11</v>
      </c>
      <c r="F33" s="50">
        <v>11</v>
      </c>
      <c r="G33" s="50">
        <v>11</v>
      </c>
      <c r="H33" s="50">
        <v>11</v>
      </c>
      <c r="I33" s="50">
        <v>11</v>
      </c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11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9</v>
      </c>
      <c r="C34" s="50">
        <v>9</v>
      </c>
      <c r="D34" s="50">
        <v>9</v>
      </c>
      <c r="E34" s="50">
        <v>9</v>
      </c>
      <c r="F34" s="50">
        <v>9</v>
      </c>
      <c r="G34" s="50">
        <v>9</v>
      </c>
      <c r="H34" s="50">
        <v>9</v>
      </c>
      <c r="I34" s="50">
        <v>9</v>
      </c>
      <c r="J34" s="50">
        <v>9</v>
      </c>
      <c r="K34" s="50">
        <v>9</v>
      </c>
      <c r="L34" s="50">
        <v>9</v>
      </c>
      <c r="M34" s="50">
        <v>9</v>
      </c>
      <c r="N34" s="50">
        <v>9</v>
      </c>
      <c r="O34" s="50">
        <v>5</v>
      </c>
      <c r="P34" s="50">
        <v>5</v>
      </c>
      <c r="Q34" s="50">
        <v>5</v>
      </c>
      <c r="R34" s="50">
        <v>5</v>
      </c>
      <c r="S34" s="50">
        <v>5</v>
      </c>
      <c r="T34" s="50">
        <v>5</v>
      </c>
      <c r="U34" s="50">
        <v>9</v>
      </c>
      <c r="V34" s="50">
        <v>9</v>
      </c>
      <c r="W34" s="50">
        <v>9</v>
      </c>
      <c r="X34" s="50">
        <v>9</v>
      </c>
      <c r="Y34" s="50">
        <v>9</v>
      </c>
      <c r="Z34" s="50">
        <v>9</v>
      </c>
      <c r="AA34" s="50">
        <v>9</v>
      </c>
      <c r="AB34" s="50">
        <v>9</v>
      </c>
      <c r="AC34" s="50">
        <v>9</v>
      </c>
      <c r="AD34" s="50">
        <v>9</v>
      </c>
      <c r="AE34" s="50">
        <v>9</v>
      </c>
      <c r="AF34" s="50">
        <v>9</v>
      </c>
      <c r="AG34" s="136">
        <v>10</v>
      </c>
      <c r="AH34" s="54">
        <f t="shared" si="2"/>
        <v>9</v>
      </c>
      <c r="AI34" s="55">
        <f t="shared" si="3"/>
        <v>5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8</v>
      </c>
      <c r="N35" s="50">
        <v>8</v>
      </c>
      <c r="O35" s="50">
        <v>8</v>
      </c>
      <c r="P35" s="50">
        <v>8</v>
      </c>
      <c r="Q35" s="50">
        <v>8</v>
      </c>
      <c r="R35" s="50">
        <v>8</v>
      </c>
      <c r="S35" s="50">
        <v>8</v>
      </c>
      <c r="T35" s="50">
        <v>8</v>
      </c>
      <c r="U35" s="50">
        <v>8</v>
      </c>
      <c r="V35" s="50">
        <v>8</v>
      </c>
      <c r="W35" s="50">
        <v>8</v>
      </c>
      <c r="X35" s="50">
        <v>8</v>
      </c>
      <c r="Y35" s="50">
        <v>8</v>
      </c>
      <c r="Z35" s="50">
        <v>8</v>
      </c>
      <c r="AA35" s="50">
        <v>8</v>
      </c>
      <c r="AB35" s="50">
        <v>8</v>
      </c>
      <c r="AC35" s="50">
        <v>8</v>
      </c>
      <c r="AD35" s="50">
        <v>8</v>
      </c>
      <c r="AE35" s="50">
        <v>8</v>
      </c>
      <c r="AF35" s="50">
        <v>8</v>
      </c>
      <c r="AG35" s="136">
        <v>10</v>
      </c>
      <c r="AH35" s="54">
        <f t="shared" si="2"/>
        <v>8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301</v>
      </c>
      <c r="C36" s="62">
        <v>301</v>
      </c>
      <c r="D36" s="62">
        <v>301</v>
      </c>
      <c r="E36" s="62">
        <v>301</v>
      </c>
      <c r="F36" s="62">
        <v>301</v>
      </c>
      <c r="G36" s="62">
        <v>301</v>
      </c>
      <c r="H36" s="62">
        <v>301</v>
      </c>
      <c r="I36" s="62">
        <v>301</v>
      </c>
      <c r="J36" s="62">
        <v>301</v>
      </c>
      <c r="K36" s="62">
        <v>301</v>
      </c>
      <c r="L36" s="62">
        <v>301</v>
      </c>
      <c r="M36" s="62">
        <v>301</v>
      </c>
      <c r="N36" s="62">
        <v>301</v>
      </c>
      <c r="O36" s="62">
        <v>301</v>
      </c>
      <c r="P36" s="62">
        <v>301</v>
      </c>
      <c r="Q36" s="62">
        <v>301</v>
      </c>
      <c r="R36" s="62">
        <v>301</v>
      </c>
      <c r="S36" s="62">
        <v>301</v>
      </c>
      <c r="T36" s="62">
        <v>301</v>
      </c>
      <c r="U36" s="62">
        <v>302</v>
      </c>
      <c r="V36" s="62">
        <v>302</v>
      </c>
      <c r="W36" s="62">
        <v>302</v>
      </c>
      <c r="X36" s="62">
        <v>302</v>
      </c>
      <c r="Y36" s="62">
        <v>302</v>
      </c>
      <c r="Z36" s="62">
        <v>302</v>
      </c>
      <c r="AA36" s="62">
        <v>302</v>
      </c>
      <c r="AB36" s="62">
        <v>302</v>
      </c>
      <c r="AC36" s="62">
        <v>302</v>
      </c>
      <c r="AD36" s="62">
        <v>302</v>
      </c>
      <c r="AE36" s="62">
        <v>302</v>
      </c>
      <c r="AF36" s="62">
        <v>302</v>
      </c>
      <c r="AG36" s="136">
        <v>85</v>
      </c>
      <c r="AH36" s="54">
        <f t="shared" si="2"/>
        <v>302</v>
      </c>
      <c r="AI36" s="55">
        <f t="shared" si="3"/>
        <v>301</v>
      </c>
      <c r="AK36" s="56"/>
    </row>
    <row r="37" spans="1:88" ht="15.75" thickBot="1" x14ac:dyDescent="0.3">
      <c r="A37" s="63" t="s">
        <v>21</v>
      </c>
      <c r="B37" s="64">
        <v>174</v>
      </c>
      <c r="C37" s="64">
        <v>173</v>
      </c>
      <c r="D37" s="64">
        <v>170</v>
      </c>
      <c r="E37" s="64">
        <v>170</v>
      </c>
      <c r="F37" s="64">
        <v>170</v>
      </c>
      <c r="G37" s="64">
        <v>172</v>
      </c>
      <c r="H37" s="64">
        <v>172</v>
      </c>
      <c r="I37" s="64">
        <v>172</v>
      </c>
      <c r="J37" s="64">
        <v>135</v>
      </c>
      <c r="K37" s="64">
        <v>135</v>
      </c>
      <c r="L37" s="64">
        <v>135</v>
      </c>
      <c r="M37" s="64">
        <v>135</v>
      </c>
      <c r="N37" s="64">
        <v>135</v>
      </c>
      <c r="O37" s="64">
        <v>155</v>
      </c>
      <c r="P37" s="64">
        <v>163</v>
      </c>
      <c r="Q37" s="64">
        <v>163</v>
      </c>
      <c r="R37" s="64">
        <v>163</v>
      </c>
      <c r="S37" s="64">
        <v>163</v>
      </c>
      <c r="T37" s="64">
        <f>62.6+97.5</f>
        <v>160.1</v>
      </c>
      <c r="U37" s="64">
        <f>62.6+97.5</f>
        <v>160.1</v>
      </c>
      <c r="V37" s="64">
        <f>62.6+97.5</f>
        <v>160.1</v>
      </c>
      <c r="W37" s="64">
        <f>62.6+97.5</f>
        <v>160.1</v>
      </c>
      <c r="X37" s="64">
        <f>64+91.2</f>
        <v>155.19999999999999</v>
      </c>
      <c r="Y37" s="64">
        <f>64+91.2</f>
        <v>155.19999999999999</v>
      </c>
      <c r="Z37" s="64">
        <f>64+91.2</f>
        <v>155.19999999999999</v>
      </c>
      <c r="AA37" s="64">
        <f>64+91.2</f>
        <v>155.19999999999999</v>
      </c>
      <c r="AB37" s="64">
        <f>64.3+71.7</f>
        <v>136</v>
      </c>
      <c r="AC37" s="64">
        <f>64.5+69.9</f>
        <v>134.4</v>
      </c>
      <c r="AD37" s="64">
        <f>66.3+71.1</f>
        <v>137.39999999999998</v>
      </c>
      <c r="AE37" s="64">
        <f>66.7+87.3</f>
        <v>154</v>
      </c>
      <c r="AF37" s="64">
        <f>68.1+87.4</f>
        <v>155.5</v>
      </c>
      <c r="AG37" s="136">
        <v>240</v>
      </c>
      <c r="AH37" s="54">
        <f t="shared" si="2"/>
        <v>174</v>
      </c>
      <c r="AI37" s="55">
        <f t="shared" si="3"/>
        <v>134.4</v>
      </c>
      <c r="AK37" s="56"/>
    </row>
    <row r="38" spans="1:88" ht="15.75" thickBot="1" x14ac:dyDescent="0.3">
      <c r="A38" s="131" t="s">
        <v>22</v>
      </c>
      <c r="B38" s="66">
        <f>SUM(B11:B36)</f>
        <v>808.7</v>
      </c>
      <c r="C38" s="66">
        <f t="shared" ref="C38:AG38" si="4">SUM(C11:C36)</f>
        <v>808.7</v>
      </c>
      <c r="D38" s="66">
        <f t="shared" si="4"/>
        <v>808.7</v>
      </c>
      <c r="E38" s="66">
        <f t="shared" si="4"/>
        <v>786.2</v>
      </c>
      <c r="F38" s="66">
        <f t="shared" si="4"/>
        <v>786.2</v>
      </c>
      <c r="G38" s="66">
        <f t="shared" si="4"/>
        <v>786.2</v>
      </c>
      <c r="H38" s="66">
        <f t="shared" si="4"/>
        <v>786.2</v>
      </c>
      <c r="I38" s="66">
        <f t="shared" si="4"/>
        <v>786.2</v>
      </c>
      <c r="J38" s="66">
        <f t="shared" si="4"/>
        <v>809.1</v>
      </c>
      <c r="K38" s="66">
        <f t="shared" si="4"/>
        <v>809.1</v>
      </c>
      <c r="L38" s="66">
        <f t="shared" si="4"/>
        <v>809.1</v>
      </c>
      <c r="M38" s="66">
        <f t="shared" si="4"/>
        <v>827.1</v>
      </c>
      <c r="N38" s="66">
        <f t="shared" si="4"/>
        <v>827.1</v>
      </c>
      <c r="O38" s="66">
        <f t="shared" si="4"/>
        <v>823.1</v>
      </c>
      <c r="P38" s="66">
        <f t="shared" si="4"/>
        <v>813.1</v>
      </c>
      <c r="Q38" s="66">
        <f t="shared" si="4"/>
        <v>823.1</v>
      </c>
      <c r="R38" s="66">
        <f t="shared" si="4"/>
        <v>823.1</v>
      </c>
      <c r="S38" s="66">
        <f t="shared" si="4"/>
        <v>818.1</v>
      </c>
      <c r="T38" s="66">
        <f t="shared" si="4"/>
        <v>818.1</v>
      </c>
      <c r="U38" s="66">
        <f t="shared" si="4"/>
        <v>823.1</v>
      </c>
      <c r="V38" s="66">
        <f t="shared" si="4"/>
        <v>823.1</v>
      </c>
      <c r="W38" s="66">
        <f t="shared" si="4"/>
        <v>823.1</v>
      </c>
      <c r="X38" s="66">
        <f t="shared" si="4"/>
        <v>823.1</v>
      </c>
      <c r="Y38" s="66">
        <f t="shared" si="4"/>
        <v>823.1</v>
      </c>
      <c r="Z38" s="66">
        <f t="shared" si="4"/>
        <v>823.1</v>
      </c>
      <c r="AA38" s="66">
        <f t="shared" si="4"/>
        <v>823</v>
      </c>
      <c r="AB38" s="66">
        <f t="shared" si="4"/>
        <v>823.1</v>
      </c>
      <c r="AC38" s="66">
        <f t="shared" si="4"/>
        <v>823.1</v>
      </c>
      <c r="AD38" s="66">
        <f t="shared" si="4"/>
        <v>823.1</v>
      </c>
      <c r="AE38" s="66">
        <f t="shared" si="4"/>
        <v>823.2</v>
      </c>
      <c r="AF38" s="66">
        <f t="shared" si="4"/>
        <v>823.09999999999991</v>
      </c>
      <c r="AG38" s="143">
        <f t="shared" si="4"/>
        <v>665.78</v>
      </c>
      <c r="AH38" s="54">
        <f t="shared" si="2"/>
        <v>827.1</v>
      </c>
      <c r="AI38" s="55">
        <f t="shared" si="3"/>
        <v>786.2</v>
      </c>
      <c r="AK38" s="56"/>
    </row>
    <row r="39" spans="1:88" x14ac:dyDescent="0.25">
      <c r="A39" s="159" t="s">
        <v>130</v>
      </c>
      <c r="B39" s="50">
        <v>456</v>
      </c>
      <c r="C39" s="50">
        <v>456</v>
      </c>
      <c r="D39" s="50">
        <v>456</v>
      </c>
      <c r="E39" s="50">
        <v>456</v>
      </c>
      <c r="F39" s="50">
        <v>456</v>
      </c>
      <c r="G39" s="50">
        <v>456</v>
      </c>
      <c r="H39" s="50">
        <v>456</v>
      </c>
      <c r="I39" s="50">
        <v>456</v>
      </c>
      <c r="J39" s="50">
        <v>456</v>
      </c>
      <c r="K39" s="50">
        <v>456</v>
      </c>
      <c r="L39" s="50">
        <v>456</v>
      </c>
      <c r="M39" s="50">
        <v>456</v>
      </c>
      <c r="N39" s="50">
        <v>456</v>
      </c>
      <c r="O39" s="50">
        <v>456</v>
      </c>
      <c r="P39" s="50">
        <v>456</v>
      </c>
      <c r="Q39" s="50">
        <v>456</v>
      </c>
      <c r="R39" s="50">
        <v>456</v>
      </c>
      <c r="S39" s="50">
        <v>456</v>
      </c>
      <c r="T39" s="50">
        <v>456</v>
      </c>
      <c r="U39" s="50">
        <v>456</v>
      </c>
      <c r="V39" s="50">
        <v>456</v>
      </c>
      <c r="W39" s="50">
        <v>456</v>
      </c>
      <c r="X39" s="50">
        <v>456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456</v>
      </c>
      <c r="AF39" s="50">
        <v>456</v>
      </c>
      <c r="AG39" s="135">
        <v>456</v>
      </c>
      <c r="AH39" s="54">
        <f t="shared" si="2"/>
        <v>456</v>
      </c>
      <c r="AI39" s="55">
        <f t="shared" si="3"/>
        <v>456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f>SUM(B39:B41)</f>
        <v>538</v>
      </c>
      <c r="C42" s="66">
        <f t="shared" ref="C42:AG42" si="5">SUM(C39:C41)</f>
        <v>538</v>
      </c>
      <c r="D42" s="66">
        <f t="shared" si="5"/>
        <v>538</v>
      </c>
      <c r="E42" s="66">
        <f t="shared" si="5"/>
        <v>538</v>
      </c>
      <c r="F42" s="66">
        <f t="shared" si="5"/>
        <v>538</v>
      </c>
      <c r="G42" s="66">
        <f t="shared" si="5"/>
        <v>538</v>
      </c>
      <c r="H42" s="66">
        <f t="shared" si="5"/>
        <v>538</v>
      </c>
      <c r="I42" s="66">
        <f t="shared" si="5"/>
        <v>538</v>
      </c>
      <c r="J42" s="66">
        <f t="shared" si="5"/>
        <v>538</v>
      </c>
      <c r="K42" s="66">
        <f t="shared" si="5"/>
        <v>538</v>
      </c>
      <c r="L42" s="66">
        <f t="shared" si="5"/>
        <v>538</v>
      </c>
      <c r="M42" s="66">
        <f t="shared" si="5"/>
        <v>538</v>
      </c>
      <c r="N42" s="66">
        <f t="shared" si="5"/>
        <v>538</v>
      </c>
      <c r="O42" s="66">
        <f t="shared" si="5"/>
        <v>538</v>
      </c>
      <c r="P42" s="66">
        <f t="shared" si="5"/>
        <v>538</v>
      </c>
      <c r="Q42" s="66">
        <f t="shared" si="5"/>
        <v>538</v>
      </c>
      <c r="R42" s="66">
        <f t="shared" si="5"/>
        <v>538</v>
      </c>
      <c r="S42" s="66">
        <f t="shared" si="5"/>
        <v>538</v>
      </c>
      <c r="T42" s="66">
        <f t="shared" si="5"/>
        <v>538</v>
      </c>
      <c r="U42" s="66">
        <f t="shared" si="5"/>
        <v>538</v>
      </c>
      <c r="V42" s="66">
        <f t="shared" si="5"/>
        <v>538</v>
      </c>
      <c r="W42" s="66">
        <f t="shared" si="5"/>
        <v>538</v>
      </c>
      <c r="X42" s="66">
        <f t="shared" si="5"/>
        <v>538</v>
      </c>
      <c r="Y42" s="66">
        <f t="shared" si="5"/>
        <v>538</v>
      </c>
      <c r="Z42" s="66">
        <f t="shared" si="5"/>
        <v>538</v>
      </c>
      <c r="AA42" s="66">
        <f t="shared" si="5"/>
        <v>538</v>
      </c>
      <c r="AB42" s="66">
        <f t="shared" si="5"/>
        <v>538</v>
      </c>
      <c r="AC42" s="66">
        <f t="shared" si="5"/>
        <v>538</v>
      </c>
      <c r="AD42" s="66">
        <f t="shared" ref="AD42" si="6">SUM(AD39:AD41)</f>
        <v>538</v>
      </c>
      <c r="AE42" s="66">
        <f t="shared" si="5"/>
        <v>538</v>
      </c>
      <c r="AF42" s="66">
        <f t="shared" si="5"/>
        <v>538</v>
      </c>
      <c r="AG42" s="143">
        <f t="shared" si="5"/>
        <v>538.1</v>
      </c>
      <c r="AH42" s="54">
        <f t="shared" si="2"/>
        <v>538</v>
      </c>
      <c r="AI42" s="55">
        <f t="shared" si="3"/>
        <v>538</v>
      </c>
      <c r="AK42" s="56"/>
    </row>
    <row r="43" spans="1:88" x14ac:dyDescent="0.25">
      <c r="A43" s="57" t="s">
        <v>23</v>
      </c>
      <c r="B43" s="50">
        <v>144</v>
      </c>
      <c r="C43" s="50">
        <v>144</v>
      </c>
      <c r="D43" s="50">
        <v>144</v>
      </c>
      <c r="E43" s="50">
        <v>144</v>
      </c>
      <c r="F43" s="50">
        <v>144</v>
      </c>
      <c r="G43" s="50">
        <v>144</v>
      </c>
      <c r="H43" s="50">
        <v>144</v>
      </c>
      <c r="I43" s="50">
        <v>144</v>
      </c>
      <c r="J43" s="50">
        <v>144</v>
      </c>
      <c r="K43" s="50">
        <v>144</v>
      </c>
      <c r="L43" s="50">
        <v>144</v>
      </c>
      <c r="M43" s="50">
        <v>144</v>
      </c>
      <c r="N43" s="50">
        <v>144</v>
      </c>
      <c r="O43" s="50">
        <v>144</v>
      </c>
      <c r="P43" s="50">
        <v>144</v>
      </c>
      <c r="Q43" s="50">
        <v>144</v>
      </c>
      <c r="R43" s="50">
        <v>144</v>
      </c>
      <c r="S43" s="50">
        <v>144</v>
      </c>
      <c r="T43" s="50">
        <v>144</v>
      </c>
      <c r="U43" s="50">
        <v>144</v>
      </c>
      <c r="V43" s="50">
        <v>144</v>
      </c>
      <c r="W43" s="50">
        <v>144</v>
      </c>
      <c r="X43" s="50">
        <v>144</v>
      </c>
      <c r="Y43" s="50">
        <v>144</v>
      </c>
      <c r="Z43" s="50">
        <v>144</v>
      </c>
      <c r="AA43" s="50">
        <v>144</v>
      </c>
      <c r="AB43" s="50">
        <v>143.6</v>
      </c>
      <c r="AC43" s="50">
        <v>143.6</v>
      </c>
      <c r="AD43" s="50">
        <v>143.6</v>
      </c>
      <c r="AE43" s="50">
        <v>143.80000000000001</v>
      </c>
      <c r="AF43" s="50">
        <v>143.9</v>
      </c>
      <c r="AG43" s="135">
        <v>144</v>
      </c>
      <c r="AH43" s="54">
        <f t="shared" si="2"/>
        <v>144</v>
      </c>
      <c r="AI43" s="55">
        <f t="shared" si="3"/>
        <v>143.6</v>
      </c>
      <c r="AK43" s="56"/>
    </row>
    <row r="44" spans="1:88" x14ac:dyDescent="0.25">
      <c r="A44" s="60" t="s">
        <v>24</v>
      </c>
      <c r="B44" s="48">
        <v>73.2</v>
      </c>
      <c r="C44" s="48">
        <v>73.2</v>
      </c>
      <c r="D44" s="48">
        <v>71</v>
      </c>
      <c r="E44" s="48">
        <v>71</v>
      </c>
      <c r="F44" s="48">
        <v>71</v>
      </c>
      <c r="G44" s="48">
        <v>71</v>
      </c>
      <c r="H44" s="48">
        <v>71</v>
      </c>
      <c r="I44" s="48">
        <v>71</v>
      </c>
      <c r="J44" s="48">
        <v>71</v>
      </c>
      <c r="K44" s="48">
        <v>71</v>
      </c>
      <c r="L44" s="48">
        <v>71</v>
      </c>
      <c r="M44" s="48">
        <v>71</v>
      </c>
      <c r="N44" s="48">
        <v>71</v>
      </c>
      <c r="O44" s="48">
        <v>71</v>
      </c>
      <c r="P44" s="48">
        <v>71</v>
      </c>
      <c r="Q44" s="48">
        <v>71</v>
      </c>
      <c r="R44" s="48">
        <v>71</v>
      </c>
      <c r="S44" s="48">
        <v>71</v>
      </c>
      <c r="T44" s="48">
        <v>71</v>
      </c>
      <c r="U44" s="48">
        <v>71</v>
      </c>
      <c r="V44" s="48">
        <v>71</v>
      </c>
      <c r="W44" s="48">
        <v>71</v>
      </c>
      <c r="X44" s="48">
        <v>71</v>
      </c>
      <c r="Y44" s="48">
        <v>71</v>
      </c>
      <c r="Z44" s="48">
        <v>71</v>
      </c>
      <c r="AA44" s="48">
        <v>71</v>
      </c>
      <c r="AB44" s="48">
        <v>71.400000000000006</v>
      </c>
      <c r="AC44" s="48">
        <v>71.400000000000006</v>
      </c>
      <c r="AD44" s="48">
        <v>71.900000000000006</v>
      </c>
      <c r="AE44" s="48">
        <v>71.400000000000006</v>
      </c>
      <c r="AF44" s="48">
        <v>71.5</v>
      </c>
      <c r="AG44" s="136">
        <v>70</v>
      </c>
      <c r="AH44" s="54">
        <f t="shared" si="2"/>
        <v>73.2</v>
      </c>
      <c r="AI44" s="55">
        <f t="shared" si="3"/>
        <v>71</v>
      </c>
      <c r="AK44" s="56"/>
    </row>
    <row r="45" spans="1:88" x14ac:dyDescent="0.25">
      <c r="A45" s="60" t="s">
        <v>25</v>
      </c>
      <c r="B45" s="48">
        <v>64.400000000000006</v>
      </c>
      <c r="C45" s="48">
        <v>64.400000000000006</v>
      </c>
      <c r="D45" s="48">
        <v>64.400000000000006</v>
      </c>
      <c r="E45" s="48">
        <v>64.400000000000006</v>
      </c>
      <c r="F45" s="48">
        <v>64.400000000000006</v>
      </c>
      <c r="G45" s="48">
        <v>64.400000000000006</v>
      </c>
      <c r="H45" s="48">
        <v>64.400000000000006</v>
      </c>
      <c r="I45" s="48">
        <v>64.400000000000006</v>
      </c>
      <c r="J45" s="48">
        <v>64.400000000000006</v>
      </c>
      <c r="K45" s="48">
        <v>64.400000000000006</v>
      </c>
      <c r="L45" s="48">
        <v>64.400000000000006</v>
      </c>
      <c r="M45" s="48">
        <v>64.400000000000006</v>
      </c>
      <c r="N45" s="48">
        <v>64.400000000000006</v>
      </c>
      <c r="O45" s="48">
        <v>64.400000000000006</v>
      </c>
      <c r="P45" s="48">
        <v>64.400000000000006</v>
      </c>
      <c r="Q45" s="48">
        <v>64.400000000000006</v>
      </c>
      <c r="R45" s="48">
        <v>64.400000000000006</v>
      </c>
      <c r="S45" s="48">
        <v>64.400000000000006</v>
      </c>
      <c r="T45" s="48">
        <v>64.400000000000006</v>
      </c>
      <c r="U45" s="48">
        <v>64.400000000000006</v>
      </c>
      <c r="V45" s="48">
        <v>64.400000000000006</v>
      </c>
      <c r="W45" s="48">
        <v>64.400000000000006</v>
      </c>
      <c r="X45" s="48">
        <v>64.400000000000006</v>
      </c>
      <c r="Y45" s="48">
        <v>64.400000000000006</v>
      </c>
      <c r="Z45" s="48">
        <v>64.400000000000006</v>
      </c>
      <c r="AA45" s="48">
        <v>64.400000000000006</v>
      </c>
      <c r="AB45" s="48">
        <v>64.400000000000006</v>
      </c>
      <c r="AC45" s="48">
        <v>64.400000000000006</v>
      </c>
      <c r="AD45" s="48">
        <v>64.400000000000006</v>
      </c>
      <c r="AE45" s="48">
        <v>64.599999999999994</v>
      </c>
      <c r="AF45" s="48">
        <v>64.599999999999994</v>
      </c>
      <c r="AG45" s="136">
        <v>69</v>
      </c>
      <c r="AH45" s="54">
        <f t="shared" si="2"/>
        <v>64.599999999999994</v>
      </c>
      <c r="AI45" s="55">
        <f t="shared" si="3"/>
        <v>64.400000000000006</v>
      </c>
      <c r="AK45" s="56"/>
    </row>
    <row r="46" spans="1:88" x14ac:dyDescent="0.25">
      <c r="A46" s="60" t="s">
        <v>26</v>
      </c>
      <c r="B46" s="62">
        <v>44</v>
      </c>
      <c r="C46" s="62">
        <v>44</v>
      </c>
      <c r="D46" s="62">
        <v>44</v>
      </c>
      <c r="E46" s="62">
        <v>44</v>
      </c>
      <c r="F46" s="62">
        <v>44</v>
      </c>
      <c r="G46" s="62">
        <v>44</v>
      </c>
      <c r="H46" s="62">
        <v>44</v>
      </c>
      <c r="I46" s="62">
        <v>44</v>
      </c>
      <c r="J46" s="62">
        <v>44</v>
      </c>
      <c r="K46" s="62">
        <v>44</v>
      </c>
      <c r="L46" s="62">
        <v>44</v>
      </c>
      <c r="M46" s="50">
        <v>60</v>
      </c>
      <c r="N46" s="50">
        <v>60</v>
      </c>
      <c r="O46" s="50">
        <v>60</v>
      </c>
      <c r="P46" s="50">
        <v>60</v>
      </c>
      <c r="Q46" s="50">
        <v>60</v>
      </c>
      <c r="R46" s="50">
        <v>60</v>
      </c>
      <c r="S46" s="50">
        <v>60</v>
      </c>
      <c r="T46" s="50">
        <v>60</v>
      </c>
      <c r="U46" s="50">
        <v>60</v>
      </c>
      <c r="V46" s="50">
        <v>60</v>
      </c>
      <c r="W46" s="50">
        <v>60</v>
      </c>
      <c r="X46" s="50">
        <v>60</v>
      </c>
      <c r="Y46" s="50">
        <v>60</v>
      </c>
      <c r="Z46" s="50">
        <v>60</v>
      </c>
      <c r="AA46" s="50">
        <v>60</v>
      </c>
      <c r="AB46" s="62">
        <v>61.2</v>
      </c>
      <c r="AC46" s="62">
        <v>61.2</v>
      </c>
      <c r="AD46" s="62">
        <v>61.2</v>
      </c>
      <c r="AE46" s="62">
        <v>61.2</v>
      </c>
      <c r="AF46" s="62">
        <v>61.2</v>
      </c>
      <c r="AG46" s="136">
        <v>60</v>
      </c>
      <c r="AH46" s="54">
        <f t="shared" si="2"/>
        <v>61.2</v>
      </c>
      <c r="AI46" s="55">
        <f t="shared" si="3"/>
        <v>44</v>
      </c>
      <c r="AK46" s="56"/>
    </row>
    <row r="47" spans="1:88" x14ac:dyDescent="0.25">
      <c r="A47" s="60" t="s">
        <v>27</v>
      </c>
      <c r="B47" s="62">
        <v>29</v>
      </c>
      <c r="C47" s="62">
        <v>29</v>
      </c>
      <c r="D47" s="62">
        <v>29</v>
      </c>
      <c r="E47" s="62">
        <v>29</v>
      </c>
      <c r="F47" s="62">
        <v>29</v>
      </c>
      <c r="G47" s="62">
        <v>0</v>
      </c>
      <c r="H47" s="62">
        <v>0</v>
      </c>
      <c r="I47" s="62">
        <v>0</v>
      </c>
      <c r="J47" s="62">
        <v>0</v>
      </c>
      <c r="K47" s="62">
        <v>0</v>
      </c>
      <c r="L47" s="62">
        <v>0</v>
      </c>
      <c r="M47" s="50">
        <v>30</v>
      </c>
      <c r="N47" s="50">
        <v>30</v>
      </c>
      <c r="O47" s="50">
        <v>30</v>
      </c>
      <c r="P47" s="50">
        <v>30</v>
      </c>
      <c r="Q47" s="50">
        <v>30</v>
      </c>
      <c r="R47" s="50">
        <v>30</v>
      </c>
      <c r="S47" s="50">
        <v>30</v>
      </c>
      <c r="T47" s="50">
        <v>30</v>
      </c>
      <c r="U47" s="50">
        <v>30</v>
      </c>
      <c r="V47" s="50">
        <v>30</v>
      </c>
      <c r="W47" s="50">
        <v>30</v>
      </c>
      <c r="X47" s="50">
        <v>30</v>
      </c>
      <c r="Y47" s="50">
        <v>30</v>
      </c>
      <c r="Z47" s="50">
        <v>30</v>
      </c>
      <c r="AA47" s="50">
        <v>30</v>
      </c>
      <c r="AB47" s="62">
        <v>28.7</v>
      </c>
      <c r="AC47" s="62">
        <v>28.7</v>
      </c>
      <c r="AD47" s="62">
        <v>28.8</v>
      </c>
      <c r="AE47" s="62">
        <v>29</v>
      </c>
      <c r="AF47" s="62">
        <v>28.7</v>
      </c>
      <c r="AG47" s="136">
        <v>30</v>
      </c>
      <c r="AH47" s="54">
        <f t="shared" si="2"/>
        <v>30</v>
      </c>
      <c r="AI47" s="55">
        <f t="shared" si="3"/>
        <v>0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48">
        <v>0</v>
      </c>
      <c r="M48" s="48">
        <v>8</v>
      </c>
      <c r="N48" s="48">
        <v>8</v>
      </c>
      <c r="O48" s="48">
        <v>8</v>
      </c>
      <c r="P48" s="48">
        <v>8</v>
      </c>
      <c r="Q48" s="48">
        <v>8</v>
      </c>
      <c r="R48" s="48">
        <v>8</v>
      </c>
      <c r="S48" s="48">
        <v>8</v>
      </c>
      <c r="T48" s="48">
        <v>8</v>
      </c>
      <c r="U48" s="48">
        <v>8</v>
      </c>
      <c r="V48" s="48">
        <v>8</v>
      </c>
      <c r="W48" s="48">
        <v>8</v>
      </c>
      <c r="X48" s="48">
        <v>8</v>
      </c>
      <c r="Y48" s="48">
        <v>8</v>
      </c>
      <c r="Z48" s="48">
        <v>8</v>
      </c>
      <c r="AA48" s="48">
        <v>8</v>
      </c>
      <c r="AB48" s="48">
        <v>0</v>
      </c>
      <c r="AC48" s="48">
        <v>0</v>
      </c>
      <c r="AD48" s="48">
        <v>0</v>
      </c>
      <c r="AE48" s="48">
        <v>0</v>
      </c>
      <c r="AF48" s="48">
        <v>0</v>
      </c>
      <c r="AG48" s="136">
        <v>25</v>
      </c>
      <c r="AH48" s="54">
        <f t="shared" si="2"/>
        <v>8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16.3</v>
      </c>
      <c r="C49" s="48">
        <v>16.3</v>
      </c>
      <c r="D49" s="48">
        <v>16.3</v>
      </c>
      <c r="E49" s="48">
        <v>16.3</v>
      </c>
      <c r="F49" s="48">
        <v>16.3</v>
      </c>
      <c r="G49" s="48">
        <v>16.3</v>
      </c>
      <c r="H49" s="48">
        <v>16.3</v>
      </c>
      <c r="I49" s="48">
        <v>16.3</v>
      </c>
      <c r="J49" s="48">
        <v>16.3</v>
      </c>
      <c r="K49" s="48">
        <v>16.3</v>
      </c>
      <c r="L49" s="48">
        <v>16.3</v>
      </c>
      <c r="M49" s="48">
        <v>16.3</v>
      </c>
      <c r="N49" s="48">
        <v>16.3</v>
      </c>
      <c r="O49" s="48">
        <v>16.3</v>
      </c>
      <c r="P49" s="48">
        <v>16.3</v>
      </c>
      <c r="Q49" s="48">
        <v>16.3</v>
      </c>
      <c r="R49" s="48">
        <v>16.3</v>
      </c>
      <c r="S49" s="48">
        <v>16.3</v>
      </c>
      <c r="T49" s="48">
        <v>16.3</v>
      </c>
      <c r="U49" s="48">
        <v>16.3</v>
      </c>
      <c r="V49" s="48">
        <v>16.3</v>
      </c>
      <c r="W49" s="48">
        <v>16.3</v>
      </c>
      <c r="X49" s="48">
        <v>16.3</v>
      </c>
      <c r="Y49" s="48">
        <v>16.3</v>
      </c>
      <c r="Z49" s="48">
        <v>16.3</v>
      </c>
      <c r="AA49" s="48">
        <v>16.3</v>
      </c>
      <c r="AB49" s="48">
        <v>16.7</v>
      </c>
      <c r="AC49" s="48">
        <v>16.7</v>
      </c>
      <c r="AD49" s="48">
        <v>16.7</v>
      </c>
      <c r="AE49" s="48">
        <v>16.7</v>
      </c>
      <c r="AF49" s="48">
        <v>16.7</v>
      </c>
      <c r="AG49" s="136">
        <v>24</v>
      </c>
      <c r="AH49" s="54">
        <f t="shared" si="2"/>
        <v>16.7</v>
      </c>
      <c r="AI49" s="55">
        <f t="shared" si="3"/>
        <v>16.3</v>
      </c>
      <c r="AK49" s="56"/>
    </row>
    <row r="50" spans="1:41" x14ac:dyDescent="0.25">
      <c r="A50" s="60" t="s">
        <v>30</v>
      </c>
      <c r="B50" s="48">
        <v>2.5</v>
      </c>
      <c r="C50" s="48">
        <v>2.5</v>
      </c>
      <c r="D50" s="48">
        <v>2.5</v>
      </c>
      <c r="E50" s="48">
        <v>2.5</v>
      </c>
      <c r="F50" s="48">
        <v>2.5</v>
      </c>
      <c r="G50" s="48">
        <v>2.5</v>
      </c>
      <c r="H50" s="48">
        <v>2.5</v>
      </c>
      <c r="I50" s="48">
        <v>2.5</v>
      </c>
      <c r="J50" s="48">
        <v>2.5</v>
      </c>
      <c r="K50" s="48">
        <v>2.5</v>
      </c>
      <c r="L50" s="48">
        <v>2.5</v>
      </c>
      <c r="M50" s="48">
        <v>2.5</v>
      </c>
      <c r="N50" s="48">
        <v>2.5</v>
      </c>
      <c r="O50" s="48">
        <v>2.5</v>
      </c>
      <c r="P50" s="48">
        <v>2.5</v>
      </c>
      <c r="Q50" s="48">
        <v>2.5</v>
      </c>
      <c r="R50" s="48">
        <v>2.5</v>
      </c>
      <c r="S50" s="48">
        <v>2.5</v>
      </c>
      <c r="T50" s="48">
        <v>2.5</v>
      </c>
      <c r="U50" s="48">
        <v>2.5</v>
      </c>
      <c r="V50" s="48">
        <v>2.5</v>
      </c>
      <c r="W50" s="48">
        <v>2.5</v>
      </c>
      <c r="X50" s="48">
        <v>2.5</v>
      </c>
      <c r="Y50" s="48">
        <v>2.5</v>
      </c>
      <c r="Z50" s="48">
        <v>2.5</v>
      </c>
      <c r="AA50" s="48">
        <v>2.5</v>
      </c>
      <c r="AB50" s="48">
        <v>2.5</v>
      </c>
      <c r="AC50" s="48">
        <v>2.5</v>
      </c>
      <c r="AD50" s="48">
        <v>2.5</v>
      </c>
      <c r="AE50" s="48">
        <v>2.5</v>
      </c>
      <c r="AF50" s="48">
        <v>2.5</v>
      </c>
      <c r="AG50" s="136">
        <v>15</v>
      </c>
      <c r="AH50" s="54">
        <f t="shared" si="2"/>
        <v>2.5</v>
      </c>
      <c r="AI50" s="55">
        <f t="shared" si="3"/>
        <v>2.5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12.1</v>
      </c>
      <c r="C51" s="48">
        <v>12.1</v>
      </c>
      <c r="D51" s="48">
        <v>12.1</v>
      </c>
      <c r="E51" s="48">
        <v>12.1</v>
      </c>
      <c r="F51" s="48">
        <v>12.1</v>
      </c>
      <c r="G51" s="48">
        <v>12.1</v>
      </c>
      <c r="H51" s="48">
        <v>12.1</v>
      </c>
      <c r="I51" s="48">
        <v>12.1</v>
      </c>
      <c r="J51" s="48">
        <v>12.1</v>
      </c>
      <c r="K51" s="48">
        <v>12.1</v>
      </c>
      <c r="L51" s="48">
        <v>12.1</v>
      </c>
      <c r="M51" s="48">
        <v>12.1</v>
      </c>
      <c r="N51" s="48">
        <v>12.1</v>
      </c>
      <c r="O51" s="48">
        <v>12.1</v>
      </c>
      <c r="P51" s="48">
        <v>12.1</v>
      </c>
      <c r="Q51" s="48">
        <v>12.1</v>
      </c>
      <c r="R51" s="48">
        <v>12.1</v>
      </c>
      <c r="S51" s="48">
        <v>12.1</v>
      </c>
      <c r="T51" s="48">
        <v>12.1</v>
      </c>
      <c r="U51" s="48">
        <v>12.1</v>
      </c>
      <c r="V51" s="48">
        <v>12.1</v>
      </c>
      <c r="W51" s="48">
        <v>12.1</v>
      </c>
      <c r="X51" s="48">
        <v>12.1</v>
      </c>
      <c r="Y51" s="48">
        <v>12.1</v>
      </c>
      <c r="Z51" s="48">
        <v>12.1</v>
      </c>
      <c r="AA51" s="48">
        <v>12.1</v>
      </c>
      <c r="AB51" s="48">
        <v>12.7</v>
      </c>
      <c r="AC51" s="48">
        <v>12.7</v>
      </c>
      <c r="AD51" s="48">
        <v>12.7</v>
      </c>
      <c r="AE51" s="48">
        <v>12.3</v>
      </c>
      <c r="AF51" s="48">
        <v>12</v>
      </c>
      <c r="AG51" s="136">
        <v>14.1</v>
      </c>
      <c r="AH51" s="54">
        <f t="shared" si="2"/>
        <v>12.7</v>
      </c>
      <c r="AI51" s="55">
        <f t="shared" si="3"/>
        <v>12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13.9</v>
      </c>
      <c r="C52" s="48">
        <v>13.9</v>
      </c>
      <c r="D52" s="48">
        <v>13.9</v>
      </c>
      <c r="E52" s="48">
        <v>13.9</v>
      </c>
      <c r="F52" s="48">
        <v>13.9</v>
      </c>
      <c r="G52" s="48">
        <v>13.9</v>
      </c>
      <c r="H52" s="48">
        <v>13.9</v>
      </c>
      <c r="I52" s="48">
        <v>13.9</v>
      </c>
      <c r="J52" s="48">
        <v>13.9</v>
      </c>
      <c r="K52" s="48">
        <v>13.9</v>
      </c>
      <c r="L52" s="48">
        <v>13.9</v>
      </c>
      <c r="M52" s="48">
        <v>13.9</v>
      </c>
      <c r="N52" s="48">
        <v>13.9</v>
      </c>
      <c r="O52" s="48">
        <v>13.9</v>
      </c>
      <c r="P52" s="48">
        <v>13.9</v>
      </c>
      <c r="Q52" s="48">
        <v>13.9</v>
      </c>
      <c r="R52" s="48">
        <v>13.9</v>
      </c>
      <c r="S52" s="48">
        <v>7</v>
      </c>
      <c r="T52" s="48">
        <v>7</v>
      </c>
      <c r="U52" s="48">
        <v>7</v>
      </c>
      <c r="V52" s="48">
        <v>7</v>
      </c>
      <c r="W52" s="48">
        <v>13.9</v>
      </c>
      <c r="X52" s="48">
        <v>13.9</v>
      </c>
      <c r="Y52" s="48">
        <v>13.9</v>
      </c>
      <c r="Z52" s="48">
        <v>13.9</v>
      </c>
      <c r="AA52" s="48">
        <v>13.9</v>
      </c>
      <c r="AB52" s="48">
        <v>13.9</v>
      </c>
      <c r="AC52" s="48">
        <v>13.9</v>
      </c>
      <c r="AD52" s="48">
        <v>13.9</v>
      </c>
      <c r="AE52" s="48">
        <v>7.1</v>
      </c>
      <c r="AF52" s="48">
        <v>13.2</v>
      </c>
      <c r="AG52" s="136">
        <v>14</v>
      </c>
      <c r="AH52" s="54">
        <f t="shared" si="2"/>
        <v>13.9</v>
      </c>
      <c r="AI52" s="55">
        <f t="shared" si="3"/>
        <v>7</v>
      </c>
      <c r="AK52" s="56"/>
    </row>
    <row r="53" spans="1:41" x14ac:dyDescent="0.25">
      <c r="A53" s="60" t="s">
        <v>33</v>
      </c>
      <c r="B53" s="48">
        <v>6.2</v>
      </c>
      <c r="C53" s="48">
        <v>6.2</v>
      </c>
      <c r="D53" s="48">
        <v>6.2</v>
      </c>
      <c r="E53" s="48">
        <v>6.2</v>
      </c>
      <c r="F53" s="48">
        <v>6.2</v>
      </c>
      <c r="G53" s="48">
        <v>6.2</v>
      </c>
      <c r="H53" s="48">
        <v>6.2</v>
      </c>
      <c r="I53" s="48">
        <v>6.2</v>
      </c>
      <c r="J53" s="48">
        <v>6.2</v>
      </c>
      <c r="K53" s="48">
        <v>6.2</v>
      </c>
      <c r="L53" s="48">
        <v>6.2</v>
      </c>
      <c r="M53" s="48">
        <v>6.2</v>
      </c>
      <c r="N53" s="48">
        <v>6.2</v>
      </c>
      <c r="O53" s="48">
        <v>6.2</v>
      </c>
      <c r="P53" s="48">
        <v>6.2</v>
      </c>
      <c r="Q53" s="48">
        <v>6.2</v>
      </c>
      <c r="R53" s="48">
        <v>6.2</v>
      </c>
      <c r="S53" s="48">
        <v>6.2</v>
      </c>
      <c r="T53" s="48">
        <v>6.2</v>
      </c>
      <c r="U53" s="48">
        <v>6.2</v>
      </c>
      <c r="V53" s="48">
        <v>6.2</v>
      </c>
      <c r="W53" s="48">
        <v>6.2</v>
      </c>
      <c r="X53" s="48">
        <v>6.2</v>
      </c>
      <c r="Y53" s="48">
        <v>6.2</v>
      </c>
      <c r="Z53" s="48">
        <v>6.2</v>
      </c>
      <c r="AA53" s="48">
        <v>6.2</v>
      </c>
      <c r="AB53" s="48">
        <v>6.2</v>
      </c>
      <c r="AC53" s="48">
        <v>6.2</v>
      </c>
      <c r="AD53" s="48">
        <v>6.2</v>
      </c>
      <c r="AE53" s="48">
        <v>6.2</v>
      </c>
      <c r="AF53" s="48">
        <v>6.2</v>
      </c>
      <c r="AG53" s="136">
        <v>10.050000000000001</v>
      </c>
      <c r="AH53" s="54">
        <f t="shared" si="2"/>
        <v>6.2</v>
      </c>
      <c r="AI53" s="55">
        <f t="shared" si="3"/>
        <v>6.2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48">
        <v>6.2</v>
      </c>
      <c r="N54" s="48">
        <v>6.2</v>
      </c>
      <c r="O54" s="48">
        <v>6.2</v>
      </c>
      <c r="P54" s="48">
        <v>6.2</v>
      </c>
      <c r="Q54" s="48">
        <v>6.2</v>
      </c>
      <c r="R54" s="48">
        <v>6.2</v>
      </c>
      <c r="S54" s="48">
        <v>6.2</v>
      </c>
      <c r="T54" s="48">
        <v>6.2</v>
      </c>
      <c r="U54" s="48">
        <v>6.2</v>
      </c>
      <c r="V54" s="48">
        <v>6.2</v>
      </c>
      <c r="W54" s="48">
        <v>6.2</v>
      </c>
      <c r="X54" s="48">
        <v>6.2</v>
      </c>
      <c r="Y54" s="48">
        <v>6.2</v>
      </c>
      <c r="Z54" s="48">
        <v>6.2</v>
      </c>
      <c r="AA54" s="48">
        <v>6.2</v>
      </c>
      <c r="AB54" s="48">
        <v>6.2</v>
      </c>
      <c r="AC54" s="48">
        <v>6.2</v>
      </c>
      <c r="AD54" s="48">
        <v>6.2</v>
      </c>
      <c r="AE54" s="48">
        <v>6.2</v>
      </c>
      <c r="AF54" s="48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7">AG220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>SUM(B43:B55)</f>
        <v>415.34000000000003</v>
      </c>
      <c r="C56" s="66">
        <f t="shared" ref="C56:AG56" si="8">SUM(C43:C55)</f>
        <v>415.34000000000003</v>
      </c>
      <c r="D56" s="66">
        <f t="shared" si="8"/>
        <v>413.14</v>
      </c>
      <c r="E56" s="66">
        <f t="shared" si="8"/>
        <v>413.14</v>
      </c>
      <c r="F56" s="66">
        <f t="shared" si="8"/>
        <v>413.14</v>
      </c>
      <c r="G56" s="66">
        <f t="shared" si="8"/>
        <v>384.14</v>
      </c>
      <c r="H56" s="66">
        <f t="shared" si="8"/>
        <v>384.14</v>
      </c>
      <c r="I56" s="66">
        <f>SUM(I43:I55)</f>
        <v>384.14</v>
      </c>
      <c r="J56" s="66">
        <f t="shared" si="8"/>
        <v>384.14</v>
      </c>
      <c r="K56" s="66">
        <f t="shared" si="8"/>
        <v>384.14</v>
      </c>
      <c r="L56" s="66">
        <f t="shared" si="8"/>
        <v>384.14</v>
      </c>
      <c r="M56" s="66">
        <f t="shared" si="8"/>
        <v>438.14</v>
      </c>
      <c r="N56" s="66">
        <f t="shared" si="8"/>
        <v>438.14</v>
      </c>
      <c r="O56" s="66">
        <f t="shared" si="8"/>
        <v>438.14</v>
      </c>
      <c r="P56" s="66">
        <f t="shared" si="8"/>
        <v>438.14</v>
      </c>
      <c r="Q56" s="66">
        <f t="shared" si="8"/>
        <v>438.14</v>
      </c>
      <c r="R56" s="66">
        <f t="shared" si="8"/>
        <v>438.14</v>
      </c>
      <c r="S56" s="66">
        <f t="shared" si="8"/>
        <v>431.24</v>
      </c>
      <c r="T56" s="66">
        <f t="shared" si="8"/>
        <v>431.24</v>
      </c>
      <c r="U56" s="66">
        <f t="shared" si="8"/>
        <v>431.24</v>
      </c>
      <c r="V56" s="66">
        <f t="shared" si="8"/>
        <v>431.24</v>
      </c>
      <c r="W56" s="66">
        <f t="shared" si="8"/>
        <v>438.14</v>
      </c>
      <c r="X56" s="66">
        <f t="shared" si="8"/>
        <v>438.14</v>
      </c>
      <c r="Y56" s="66">
        <f t="shared" si="8"/>
        <v>438.14</v>
      </c>
      <c r="Z56" s="66">
        <f t="shared" si="8"/>
        <v>438.14</v>
      </c>
      <c r="AA56" s="66">
        <f t="shared" si="8"/>
        <v>438.14</v>
      </c>
      <c r="AB56" s="66">
        <f t="shared" si="8"/>
        <v>431.03999999999991</v>
      </c>
      <c r="AC56" s="66">
        <f t="shared" si="8"/>
        <v>431.03999999999991</v>
      </c>
      <c r="AD56" s="66">
        <f t="shared" si="8"/>
        <v>431.63999999999993</v>
      </c>
      <c r="AE56" s="66">
        <f t="shared" si="8"/>
        <v>424.54</v>
      </c>
      <c r="AF56" s="66">
        <f t="shared" si="8"/>
        <v>430.23999999999995</v>
      </c>
      <c r="AG56" s="143">
        <f t="shared" si="8"/>
        <v>489.91</v>
      </c>
      <c r="AH56" s="54">
        <f t="shared" si="2"/>
        <v>438.14</v>
      </c>
      <c r="AI56" s="55">
        <f t="shared" si="3"/>
        <v>384.14</v>
      </c>
      <c r="AK56" s="56"/>
    </row>
    <row r="57" spans="1:41" x14ac:dyDescent="0.25">
      <c r="A57" s="57" t="s">
        <v>37</v>
      </c>
      <c r="B57" s="50">
        <v>10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21</v>
      </c>
      <c r="M57" s="50">
        <v>21</v>
      </c>
      <c r="N57" s="50">
        <v>40.799999999999997</v>
      </c>
      <c r="O57" s="50">
        <v>40.799999999999997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60</v>
      </c>
      <c r="AB57" s="50">
        <v>59.4</v>
      </c>
      <c r="AC57" s="50">
        <v>59.4</v>
      </c>
      <c r="AD57" s="50">
        <v>30</v>
      </c>
      <c r="AE57" s="50">
        <v>13.5</v>
      </c>
      <c r="AF57" s="50">
        <v>0</v>
      </c>
      <c r="AG57" s="135">
        <v>60</v>
      </c>
      <c r="AH57" s="54">
        <f t="shared" si="2"/>
        <v>60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5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5</v>
      </c>
      <c r="M58" s="48">
        <v>5</v>
      </c>
      <c r="N58" s="48">
        <v>14.8</v>
      </c>
      <c r="O58" s="48">
        <v>14.8</v>
      </c>
      <c r="P58" s="50">
        <v>0</v>
      </c>
      <c r="Q58" s="50">
        <v>0</v>
      </c>
      <c r="R58" s="50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28.2</v>
      </c>
      <c r="AB58" s="48">
        <v>30</v>
      </c>
      <c r="AC58" s="48">
        <v>30.4</v>
      </c>
      <c r="AD58" s="48">
        <v>30.4</v>
      </c>
      <c r="AE58" s="48">
        <v>6.9</v>
      </c>
      <c r="AF58" s="48">
        <v>0</v>
      </c>
      <c r="AG58" s="136">
        <v>32</v>
      </c>
      <c r="AH58" s="54">
        <f t="shared" si="2"/>
        <v>30.4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2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3</v>
      </c>
      <c r="M59" s="70">
        <v>3</v>
      </c>
      <c r="N59" s="70">
        <v>5.4</v>
      </c>
      <c r="O59" s="70">
        <v>5.4</v>
      </c>
      <c r="P59" s="50">
        <v>0</v>
      </c>
      <c r="Q59" s="50">
        <v>0</v>
      </c>
      <c r="R59" s="50">
        <v>0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70">
        <v>10.3</v>
      </c>
      <c r="AB59" s="70">
        <v>10.9</v>
      </c>
      <c r="AC59" s="70">
        <v>11.1</v>
      </c>
      <c r="AD59" s="70">
        <v>11.1</v>
      </c>
      <c r="AE59" s="70">
        <v>2.5</v>
      </c>
      <c r="AF59" s="70">
        <v>0</v>
      </c>
      <c r="AG59" s="137">
        <v>14</v>
      </c>
      <c r="AH59" s="54">
        <f t="shared" si="2"/>
        <v>11.1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>SUM(B57:B59)</f>
        <v>17</v>
      </c>
      <c r="C60" s="66">
        <f t="shared" ref="C60:AG60" si="9">SUM(C57:C59)</f>
        <v>0</v>
      </c>
      <c r="D60" s="66">
        <f t="shared" si="9"/>
        <v>0</v>
      </c>
      <c r="E60" s="66">
        <f t="shared" si="9"/>
        <v>0</v>
      </c>
      <c r="F60" s="66">
        <f t="shared" si="9"/>
        <v>0</v>
      </c>
      <c r="G60" s="66">
        <f t="shared" si="9"/>
        <v>0</v>
      </c>
      <c r="H60" s="66">
        <f t="shared" si="9"/>
        <v>0</v>
      </c>
      <c r="I60" s="66">
        <f>SUM(I57:I59)</f>
        <v>0</v>
      </c>
      <c r="J60" s="66">
        <f>SUM(J57:J59)</f>
        <v>0</v>
      </c>
      <c r="K60" s="66">
        <f t="shared" si="9"/>
        <v>0</v>
      </c>
      <c r="L60" s="66">
        <f t="shared" si="9"/>
        <v>29</v>
      </c>
      <c r="M60" s="66">
        <f t="shared" si="9"/>
        <v>29</v>
      </c>
      <c r="N60" s="66">
        <f t="shared" si="9"/>
        <v>60.999999999999993</v>
      </c>
      <c r="O60" s="66">
        <f t="shared" si="9"/>
        <v>60.999999999999993</v>
      </c>
      <c r="P60" s="66">
        <f t="shared" si="9"/>
        <v>0</v>
      </c>
      <c r="Q60" s="66">
        <f t="shared" si="9"/>
        <v>0</v>
      </c>
      <c r="R60" s="66">
        <f t="shared" si="9"/>
        <v>0</v>
      </c>
      <c r="S60" s="66">
        <f t="shared" si="9"/>
        <v>0</v>
      </c>
      <c r="T60" s="66">
        <f t="shared" si="9"/>
        <v>0</v>
      </c>
      <c r="U60" s="66">
        <f t="shared" si="9"/>
        <v>0</v>
      </c>
      <c r="V60" s="66">
        <f t="shared" si="9"/>
        <v>0</v>
      </c>
      <c r="W60" s="66">
        <f t="shared" si="9"/>
        <v>0</v>
      </c>
      <c r="X60" s="66">
        <f t="shared" si="9"/>
        <v>0</v>
      </c>
      <c r="Y60" s="66">
        <f t="shared" si="9"/>
        <v>0</v>
      </c>
      <c r="Z60" s="66">
        <f t="shared" si="9"/>
        <v>0</v>
      </c>
      <c r="AA60" s="66">
        <f t="shared" si="9"/>
        <v>98.5</v>
      </c>
      <c r="AB60" s="66">
        <f t="shared" si="9"/>
        <v>100.30000000000001</v>
      </c>
      <c r="AC60" s="66">
        <f t="shared" si="9"/>
        <v>100.89999999999999</v>
      </c>
      <c r="AD60" s="66">
        <f t="shared" si="9"/>
        <v>71.5</v>
      </c>
      <c r="AE60" s="66">
        <f t="shared" si="9"/>
        <v>22.9</v>
      </c>
      <c r="AF60" s="66">
        <f t="shared" si="9"/>
        <v>0</v>
      </c>
      <c r="AG60" s="143">
        <f t="shared" si="9"/>
        <v>106</v>
      </c>
      <c r="AH60" s="54">
        <f t="shared" si="2"/>
        <v>100.89999999999999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51</v>
      </c>
      <c r="C61" s="50">
        <v>40</v>
      </c>
      <c r="D61" s="50">
        <v>33</v>
      </c>
      <c r="E61" s="50">
        <v>27</v>
      </c>
      <c r="F61" s="50">
        <v>31</v>
      </c>
      <c r="G61" s="50">
        <v>36</v>
      </c>
      <c r="H61" s="50">
        <v>24</v>
      </c>
      <c r="I61" s="50">
        <v>34</v>
      </c>
      <c r="J61" s="50">
        <v>34</v>
      </c>
      <c r="K61" s="50">
        <v>70</v>
      </c>
      <c r="L61" s="50">
        <v>74</v>
      </c>
      <c r="M61" s="50">
        <v>74</v>
      </c>
      <c r="N61" s="50">
        <v>63.15</v>
      </c>
      <c r="O61" s="50">
        <v>49.62</v>
      </c>
      <c r="P61" s="50">
        <v>50</v>
      </c>
      <c r="Q61" s="50">
        <v>56</v>
      </c>
      <c r="R61" s="50">
        <v>58.5</v>
      </c>
      <c r="S61" s="50">
        <v>53</v>
      </c>
      <c r="T61" s="50">
        <v>65.8</v>
      </c>
      <c r="U61" s="50">
        <v>62.8</v>
      </c>
      <c r="V61" s="50">
        <v>57</v>
      </c>
      <c r="W61" s="50">
        <v>62.1</v>
      </c>
      <c r="X61" s="50">
        <v>65.900000000000006</v>
      </c>
      <c r="Y61" s="50">
        <v>65.900000000000006</v>
      </c>
      <c r="Z61" s="50">
        <v>65.900000000000006</v>
      </c>
      <c r="AA61" s="50">
        <v>67.5</v>
      </c>
      <c r="AB61" s="50">
        <v>54.4</v>
      </c>
      <c r="AC61" s="50">
        <v>61.2</v>
      </c>
      <c r="AD61" s="50">
        <v>46.8</v>
      </c>
      <c r="AE61" s="50">
        <v>79.8</v>
      </c>
      <c r="AF61" s="50">
        <v>73.3</v>
      </c>
      <c r="AG61" s="135"/>
      <c r="AH61" s="54">
        <f t="shared" si="2"/>
        <v>79.8</v>
      </c>
      <c r="AI61" s="55">
        <f t="shared" si="3"/>
        <v>24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-325</v>
      </c>
      <c r="C63" s="48">
        <v>-360</v>
      </c>
      <c r="D63" s="48">
        <v>-374</v>
      </c>
      <c r="E63" s="48">
        <v>-387</v>
      </c>
      <c r="F63" s="48">
        <v>-397</v>
      </c>
      <c r="G63" s="48">
        <v>-381</v>
      </c>
      <c r="H63" s="48">
        <v>-385</v>
      </c>
      <c r="I63" s="48">
        <v>-390</v>
      </c>
      <c r="J63" s="48">
        <v>-328</v>
      </c>
      <c r="K63" s="48">
        <v>-328</v>
      </c>
      <c r="L63" s="48">
        <v>-350</v>
      </c>
      <c r="M63" s="48">
        <v>-350</v>
      </c>
      <c r="N63" s="48">
        <v>-258</v>
      </c>
      <c r="O63" s="48">
        <v>-229</v>
      </c>
      <c r="P63" s="48">
        <v>-225</v>
      </c>
      <c r="Q63" s="48">
        <v>-246</v>
      </c>
      <c r="R63" s="48">
        <v>-219</v>
      </c>
      <c r="S63" s="48">
        <v>-185</v>
      </c>
      <c r="T63" s="48">
        <v>-203.8</v>
      </c>
      <c r="U63" s="48">
        <v>-255</v>
      </c>
      <c r="V63" s="48">
        <v>-317</v>
      </c>
      <c r="W63" s="48">
        <v>-391</v>
      </c>
      <c r="X63" s="48">
        <v>-388</v>
      </c>
      <c r="Y63" s="48">
        <v>-358</v>
      </c>
      <c r="Z63" s="48">
        <v>-284</v>
      </c>
      <c r="AA63" s="48">
        <v>-263</v>
      </c>
      <c r="AB63" s="48">
        <v>-206</v>
      </c>
      <c r="AC63" s="48">
        <v>-201.6</v>
      </c>
      <c r="AD63" s="48">
        <v>-210</v>
      </c>
      <c r="AE63" s="48">
        <v>-280</v>
      </c>
      <c r="AF63" s="48">
        <v>-316</v>
      </c>
      <c r="AG63" s="140"/>
      <c r="AH63" s="54">
        <f t="shared" si="2"/>
        <v>-185</v>
      </c>
      <c r="AI63" s="55">
        <f t="shared" si="3"/>
        <v>-397</v>
      </c>
      <c r="AK63" s="56"/>
    </row>
    <row r="64" spans="1:41" x14ac:dyDescent="0.25">
      <c r="A64" s="60" t="s">
        <v>44</v>
      </c>
      <c r="B64" s="71">
        <v>0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14</v>
      </c>
      <c r="AE64" s="71">
        <v>13</v>
      </c>
      <c r="AF64" s="71">
        <v>0</v>
      </c>
      <c r="AG64" s="140"/>
      <c r="AH64" s="54">
        <f t="shared" si="2"/>
        <v>14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5</v>
      </c>
      <c r="C66" s="72">
        <v>5</v>
      </c>
      <c r="D66" s="72">
        <v>5</v>
      </c>
      <c r="E66" s="72">
        <v>5</v>
      </c>
      <c r="F66" s="72">
        <v>5</v>
      </c>
      <c r="G66" s="72">
        <v>5</v>
      </c>
      <c r="H66" s="72">
        <v>5</v>
      </c>
      <c r="I66" s="72">
        <v>5</v>
      </c>
      <c r="J66" s="72">
        <v>5</v>
      </c>
      <c r="K66" s="72">
        <v>5</v>
      </c>
      <c r="L66" s="72">
        <v>5</v>
      </c>
      <c r="M66" s="72">
        <v>5</v>
      </c>
      <c r="N66" s="72">
        <v>5</v>
      </c>
      <c r="O66" s="72">
        <v>5</v>
      </c>
      <c r="P66" s="72">
        <v>5</v>
      </c>
      <c r="Q66" s="72">
        <v>5</v>
      </c>
      <c r="R66" s="72">
        <v>5</v>
      </c>
      <c r="S66" s="72">
        <v>5</v>
      </c>
      <c r="T66" s="72">
        <v>5</v>
      </c>
      <c r="U66" s="72">
        <v>5</v>
      </c>
      <c r="V66" s="72">
        <v>5</v>
      </c>
      <c r="W66" s="72">
        <v>5</v>
      </c>
      <c r="X66" s="72">
        <v>5</v>
      </c>
      <c r="Y66" s="72">
        <v>5</v>
      </c>
      <c r="Z66" s="72">
        <v>5</v>
      </c>
      <c r="AA66" s="72">
        <v>5</v>
      </c>
      <c r="AB66" s="72">
        <v>5</v>
      </c>
      <c r="AC66" s="72">
        <v>5</v>
      </c>
      <c r="AD66" s="72">
        <v>5</v>
      </c>
      <c r="AE66" s="72">
        <v>5</v>
      </c>
      <c r="AF66" s="72">
        <v>5</v>
      </c>
      <c r="AG66" s="140"/>
      <c r="AH66" s="54">
        <f t="shared" si="2"/>
        <v>5</v>
      </c>
      <c r="AI66" s="55">
        <f t="shared" si="3"/>
        <v>5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1">
        <v>7</v>
      </c>
      <c r="D68" s="71">
        <v>7</v>
      </c>
      <c r="E68" s="71">
        <v>7</v>
      </c>
      <c r="F68" s="71">
        <v>7</v>
      </c>
      <c r="G68" s="71">
        <v>7</v>
      </c>
      <c r="H68" s="71">
        <v>7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7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1">
        <v>0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4">
        <v>0</v>
      </c>
      <c r="C70" s="74">
        <v>0</v>
      </c>
      <c r="D70" s="74">
        <v>0</v>
      </c>
      <c r="E70" s="74">
        <v>0</v>
      </c>
      <c r="F70" s="74">
        <v>0</v>
      </c>
      <c r="G70" s="74">
        <v>0</v>
      </c>
      <c r="H70" s="74">
        <v>0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1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4">
        <v>0</v>
      </c>
      <c r="C71" s="74">
        <v>0</v>
      </c>
      <c r="D71" s="74">
        <v>0</v>
      </c>
      <c r="E71" s="74">
        <v>0</v>
      </c>
      <c r="F71" s="74">
        <v>0</v>
      </c>
      <c r="G71" s="74">
        <v>0</v>
      </c>
      <c r="H71" s="74">
        <v>0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1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>SUMIF(B61:B71,"&gt;0")</f>
        <v>56</v>
      </c>
      <c r="C72" s="66">
        <f t="shared" ref="C72:L72" si="10">SUMIF(C61:C71,"&gt;0")</f>
        <v>52</v>
      </c>
      <c r="D72" s="66">
        <f t="shared" si="10"/>
        <v>45</v>
      </c>
      <c r="E72" s="66">
        <f t="shared" si="10"/>
        <v>39</v>
      </c>
      <c r="F72" s="66">
        <f t="shared" si="10"/>
        <v>43</v>
      </c>
      <c r="G72" s="66">
        <f t="shared" si="10"/>
        <v>48</v>
      </c>
      <c r="H72" s="66">
        <f t="shared" si="10"/>
        <v>36</v>
      </c>
      <c r="I72" s="66">
        <f t="shared" si="10"/>
        <v>39</v>
      </c>
      <c r="J72" s="66">
        <f t="shared" si="10"/>
        <v>39</v>
      </c>
      <c r="K72" s="66">
        <f t="shared" si="10"/>
        <v>75</v>
      </c>
      <c r="L72" s="66">
        <f t="shared" si="10"/>
        <v>79</v>
      </c>
      <c r="M72" s="66">
        <f>SUMIF(M61:M71,"&gt;0")</f>
        <v>79</v>
      </c>
      <c r="N72" s="66">
        <f t="shared" ref="N72:AF72" si="11">SUMIF(N61:N71,"&gt;0")</f>
        <v>68.150000000000006</v>
      </c>
      <c r="O72" s="66">
        <f t="shared" si="11"/>
        <v>54.62</v>
      </c>
      <c r="P72" s="66">
        <f t="shared" si="11"/>
        <v>55</v>
      </c>
      <c r="Q72" s="66">
        <f t="shared" si="11"/>
        <v>61</v>
      </c>
      <c r="R72" s="66">
        <f t="shared" si="11"/>
        <v>63.5</v>
      </c>
      <c r="S72" s="66">
        <f t="shared" si="11"/>
        <v>58</v>
      </c>
      <c r="T72" s="66">
        <f t="shared" si="11"/>
        <v>70.8</v>
      </c>
      <c r="U72" s="66">
        <f t="shared" si="11"/>
        <v>67.8</v>
      </c>
      <c r="V72" s="66">
        <f t="shared" si="11"/>
        <v>62</v>
      </c>
      <c r="W72" s="66">
        <f t="shared" si="11"/>
        <v>67.099999999999994</v>
      </c>
      <c r="X72" s="66">
        <f t="shared" si="11"/>
        <v>70.900000000000006</v>
      </c>
      <c r="Y72" s="66">
        <f t="shared" si="11"/>
        <v>70.900000000000006</v>
      </c>
      <c r="Z72" s="66">
        <f t="shared" si="11"/>
        <v>70.900000000000006</v>
      </c>
      <c r="AA72" s="66">
        <f t="shared" si="11"/>
        <v>72.5</v>
      </c>
      <c r="AB72" s="66">
        <f t="shared" si="11"/>
        <v>59.4</v>
      </c>
      <c r="AC72" s="66">
        <f t="shared" si="11"/>
        <v>66.2</v>
      </c>
      <c r="AD72" s="66">
        <f t="shared" si="11"/>
        <v>65.8</v>
      </c>
      <c r="AE72" s="66">
        <f t="shared" si="11"/>
        <v>97.8</v>
      </c>
      <c r="AF72" s="66">
        <f t="shared" si="11"/>
        <v>78.3</v>
      </c>
      <c r="AG72" s="138">
        <f>SUM(AG61:AG71)</f>
        <v>0</v>
      </c>
      <c r="AH72" s="54">
        <f t="shared" si="2"/>
        <v>97.8</v>
      </c>
      <c r="AI72" s="55">
        <f t="shared" si="3"/>
        <v>36</v>
      </c>
      <c r="AK72" s="56"/>
    </row>
    <row r="73" spans="1:88" x14ac:dyDescent="0.25">
      <c r="A73" s="57" t="s">
        <v>53</v>
      </c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>B38+B42+B60+B56+B72+B76</f>
        <v>1835.04</v>
      </c>
      <c r="C77" s="75">
        <f t="shared" ref="C77:AF77" si="12">C38+C42+C60+C56+C72+C76</f>
        <v>1814.04</v>
      </c>
      <c r="D77" s="75">
        <f t="shared" si="12"/>
        <v>1804.8400000000001</v>
      </c>
      <c r="E77" s="75">
        <f t="shared" si="12"/>
        <v>1776.3400000000001</v>
      </c>
      <c r="F77" s="75">
        <f t="shared" si="12"/>
        <v>1780.3400000000001</v>
      </c>
      <c r="G77" s="75">
        <f t="shared" si="12"/>
        <v>1756.3400000000001</v>
      </c>
      <c r="H77" s="75">
        <f t="shared" si="12"/>
        <v>1744.3400000000001</v>
      </c>
      <c r="I77" s="75">
        <f t="shared" si="12"/>
        <v>1747.3400000000001</v>
      </c>
      <c r="J77" s="75">
        <f t="shared" si="12"/>
        <v>1770.2399999999998</v>
      </c>
      <c r="K77" s="75">
        <f t="shared" si="12"/>
        <v>1806.2399999999998</v>
      </c>
      <c r="L77" s="75">
        <f t="shared" si="12"/>
        <v>1839.2399999999998</v>
      </c>
      <c r="M77" s="75">
        <f t="shared" si="12"/>
        <v>1911.2399999999998</v>
      </c>
      <c r="N77" s="75">
        <f t="shared" si="12"/>
        <v>1932.3899999999999</v>
      </c>
      <c r="O77" s="75">
        <f t="shared" si="12"/>
        <v>1914.8599999999997</v>
      </c>
      <c r="P77" s="75">
        <f t="shared" si="12"/>
        <v>1844.2399999999998</v>
      </c>
      <c r="Q77" s="75">
        <f t="shared" si="12"/>
        <v>1860.2399999999998</v>
      </c>
      <c r="R77" s="75">
        <f t="shared" si="12"/>
        <v>1862.7399999999998</v>
      </c>
      <c r="S77" s="75">
        <f t="shared" si="12"/>
        <v>1845.34</v>
      </c>
      <c r="T77" s="75">
        <f t="shared" si="12"/>
        <v>1858.1399999999999</v>
      </c>
      <c r="U77" s="75">
        <f t="shared" si="12"/>
        <v>1860.1399999999999</v>
      </c>
      <c r="V77" s="75">
        <f t="shared" si="12"/>
        <v>1854.34</v>
      </c>
      <c r="W77" s="75">
        <f t="shared" si="12"/>
        <v>1866.3399999999997</v>
      </c>
      <c r="X77" s="75">
        <f t="shared" si="12"/>
        <v>1870.1399999999999</v>
      </c>
      <c r="Y77" s="75">
        <f t="shared" si="12"/>
        <v>1870.1399999999999</v>
      </c>
      <c r="Z77" s="75">
        <f t="shared" si="12"/>
        <v>1870.1399999999999</v>
      </c>
      <c r="AA77" s="75">
        <f t="shared" si="12"/>
        <v>1970.1399999999999</v>
      </c>
      <c r="AB77" s="75">
        <f t="shared" si="12"/>
        <v>1951.84</v>
      </c>
      <c r="AC77" s="75">
        <f t="shared" si="12"/>
        <v>1959.24</v>
      </c>
      <c r="AD77" s="75">
        <f t="shared" si="12"/>
        <v>1930.0399999999997</v>
      </c>
      <c r="AE77" s="75">
        <f t="shared" si="12"/>
        <v>1906.44</v>
      </c>
      <c r="AF77" s="75">
        <f t="shared" si="12"/>
        <v>1869.6399999999999</v>
      </c>
      <c r="AG77" s="143">
        <f>AG38+AG42+AG60+AG56+AG72+AG76</f>
        <v>1855.1900000000003</v>
      </c>
      <c r="AH77" s="54">
        <f t="shared" si="2"/>
        <v>1970.1399999999999</v>
      </c>
      <c r="AI77" s="55">
        <f t="shared" si="3"/>
        <v>1744.3400000000001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>
        <v>30</v>
      </c>
      <c r="AE78" s="77"/>
      <c r="AF78" s="77"/>
      <c r="AG78" s="138"/>
      <c r="AH78" s="54">
        <f t="shared" si="2"/>
        <v>30</v>
      </c>
      <c r="AI78" s="55">
        <f t="shared" si="3"/>
        <v>30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>B77+B78</f>
        <v>1835.04</v>
      </c>
      <c r="C79" s="75">
        <f t="shared" ref="C79:AF79" si="13">C77+C78</f>
        <v>1814.04</v>
      </c>
      <c r="D79" s="75">
        <f t="shared" si="13"/>
        <v>1804.8400000000001</v>
      </c>
      <c r="E79" s="75">
        <f t="shared" si="13"/>
        <v>1776.3400000000001</v>
      </c>
      <c r="F79" s="75">
        <f t="shared" si="13"/>
        <v>1780.3400000000001</v>
      </c>
      <c r="G79" s="75">
        <f t="shared" si="13"/>
        <v>1756.3400000000001</v>
      </c>
      <c r="H79" s="75">
        <f t="shared" si="13"/>
        <v>1744.3400000000001</v>
      </c>
      <c r="I79" s="75">
        <f t="shared" si="13"/>
        <v>1747.3400000000001</v>
      </c>
      <c r="J79" s="75">
        <f t="shared" si="13"/>
        <v>1770.2399999999998</v>
      </c>
      <c r="K79" s="75">
        <f t="shared" si="13"/>
        <v>1806.2399999999998</v>
      </c>
      <c r="L79" s="75">
        <f t="shared" si="13"/>
        <v>1839.2399999999998</v>
      </c>
      <c r="M79" s="75">
        <f t="shared" si="13"/>
        <v>1911.2399999999998</v>
      </c>
      <c r="N79" s="75">
        <f t="shared" si="13"/>
        <v>1932.3899999999999</v>
      </c>
      <c r="O79" s="75">
        <f t="shared" si="13"/>
        <v>1914.8599999999997</v>
      </c>
      <c r="P79" s="75">
        <f t="shared" si="13"/>
        <v>1844.2399999999998</v>
      </c>
      <c r="Q79" s="75">
        <f t="shared" si="13"/>
        <v>1860.2399999999998</v>
      </c>
      <c r="R79" s="75">
        <f t="shared" si="13"/>
        <v>1862.7399999999998</v>
      </c>
      <c r="S79" s="75">
        <f t="shared" si="13"/>
        <v>1845.34</v>
      </c>
      <c r="T79" s="75">
        <f t="shared" si="13"/>
        <v>1858.1399999999999</v>
      </c>
      <c r="U79" s="75">
        <f t="shared" si="13"/>
        <v>1860.1399999999999</v>
      </c>
      <c r="V79" s="75">
        <f t="shared" si="13"/>
        <v>1854.34</v>
      </c>
      <c r="W79" s="75">
        <f t="shared" si="13"/>
        <v>1866.3399999999997</v>
      </c>
      <c r="X79" s="75">
        <f t="shared" si="13"/>
        <v>1870.1399999999999</v>
      </c>
      <c r="Y79" s="75">
        <f t="shared" si="13"/>
        <v>1870.1399999999999</v>
      </c>
      <c r="Z79" s="75">
        <f t="shared" si="13"/>
        <v>1870.1399999999999</v>
      </c>
      <c r="AA79" s="75">
        <f t="shared" si="13"/>
        <v>1970.1399999999999</v>
      </c>
      <c r="AB79" s="75">
        <f t="shared" si="13"/>
        <v>1951.84</v>
      </c>
      <c r="AC79" s="75">
        <f t="shared" si="13"/>
        <v>1959.24</v>
      </c>
      <c r="AD79" s="75">
        <f t="shared" si="13"/>
        <v>1960.0399999999997</v>
      </c>
      <c r="AE79" s="75">
        <f t="shared" si="13"/>
        <v>1906.44</v>
      </c>
      <c r="AF79" s="75">
        <f t="shared" si="13"/>
        <v>1869.6399999999999</v>
      </c>
      <c r="AG79" s="138">
        <f>AG76+AG72+AG60+AG56+AG38+AG78</f>
        <v>1317.0900000000001</v>
      </c>
      <c r="AH79" s="54">
        <f t="shared" si="2"/>
        <v>1970.1399999999999</v>
      </c>
      <c r="AI79" s="55">
        <f t="shared" si="3"/>
        <v>1744.3400000000001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:AF80" si="14">B79-B87</f>
        <v>1510.04</v>
      </c>
      <c r="C80" s="75">
        <f t="shared" si="14"/>
        <v>1454.04</v>
      </c>
      <c r="D80" s="75">
        <f t="shared" si="14"/>
        <v>1430.8400000000001</v>
      </c>
      <c r="E80" s="75">
        <f t="shared" si="14"/>
        <v>1389.3400000000001</v>
      </c>
      <c r="F80" s="75">
        <f t="shared" si="14"/>
        <v>1383.3400000000001</v>
      </c>
      <c r="G80" s="75">
        <f t="shared" si="14"/>
        <v>1375.3400000000001</v>
      </c>
      <c r="H80" s="75">
        <f t="shared" si="14"/>
        <v>1359.3400000000001</v>
      </c>
      <c r="I80" s="75">
        <f t="shared" si="14"/>
        <v>1357.3400000000001</v>
      </c>
      <c r="J80" s="75">
        <f t="shared" si="14"/>
        <v>1442.2399999999998</v>
      </c>
      <c r="K80" s="75">
        <f t="shared" si="14"/>
        <v>1478.2399999999998</v>
      </c>
      <c r="L80" s="75">
        <f t="shared" si="14"/>
        <v>1489.2399999999998</v>
      </c>
      <c r="M80" s="75">
        <f t="shared" si="14"/>
        <v>1561.2399999999998</v>
      </c>
      <c r="N80" s="75">
        <f t="shared" si="14"/>
        <v>1674.3899999999999</v>
      </c>
      <c r="O80" s="75">
        <f t="shared" si="14"/>
        <v>1685.8599999999997</v>
      </c>
      <c r="P80" s="75">
        <f t="shared" si="14"/>
        <v>1619.2399999999998</v>
      </c>
      <c r="Q80" s="75">
        <f t="shared" si="14"/>
        <v>1614.2399999999998</v>
      </c>
      <c r="R80" s="75">
        <f t="shared" si="14"/>
        <v>1643.7399999999998</v>
      </c>
      <c r="S80" s="75">
        <f t="shared" si="14"/>
        <v>1660.34</v>
      </c>
      <c r="T80" s="75">
        <f t="shared" si="14"/>
        <v>1654.34</v>
      </c>
      <c r="U80" s="75">
        <f t="shared" si="14"/>
        <v>1605.1399999999999</v>
      </c>
      <c r="V80" s="75">
        <f t="shared" si="14"/>
        <v>1537.34</v>
      </c>
      <c r="W80" s="75">
        <f t="shared" si="14"/>
        <v>1475.3399999999997</v>
      </c>
      <c r="X80" s="75">
        <f t="shared" si="14"/>
        <v>1482.1399999999999</v>
      </c>
      <c r="Y80" s="75">
        <f t="shared" si="14"/>
        <v>1512.1399999999999</v>
      </c>
      <c r="Z80" s="75">
        <f t="shared" si="14"/>
        <v>1586.1399999999999</v>
      </c>
      <c r="AA80" s="75">
        <f t="shared" si="14"/>
        <v>1707.1399999999999</v>
      </c>
      <c r="AB80" s="75">
        <f t="shared" si="14"/>
        <v>1745.84</v>
      </c>
      <c r="AC80" s="75">
        <f t="shared" si="14"/>
        <v>1757.64</v>
      </c>
      <c r="AD80" s="75">
        <f t="shared" si="14"/>
        <v>1750.0399999999997</v>
      </c>
      <c r="AE80" s="75">
        <f t="shared" si="14"/>
        <v>1626.44</v>
      </c>
      <c r="AF80" s="75">
        <f t="shared" si="14"/>
        <v>1553.6399999999999</v>
      </c>
      <c r="AG80" s="138"/>
      <c r="AH80" s="54">
        <f t="shared" ref="AH80" si="15">MAX(B80:AF80)</f>
        <v>1757.64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>IF(B64&lt;0,B64*-1,0)</f>
        <v>0</v>
      </c>
      <c r="C81" s="71">
        <f t="shared" ref="C81:AF81" si="16">IF(C64&lt;0,C64*-1,0)</f>
        <v>0</v>
      </c>
      <c r="D81" s="71">
        <f t="shared" si="16"/>
        <v>0</v>
      </c>
      <c r="E81" s="71">
        <f t="shared" si="16"/>
        <v>0</v>
      </c>
      <c r="F81" s="71">
        <f t="shared" si="16"/>
        <v>0</v>
      </c>
      <c r="G81" s="71">
        <f t="shared" si="16"/>
        <v>0</v>
      </c>
      <c r="H81" s="71">
        <f t="shared" si="16"/>
        <v>0</v>
      </c>
      <c r="I81" s="71">
        <f t="shared" si="16"/>
        <v>0</v>
      </c>
      <c r="J81" s="71">
        <f t="shared" si="16"/>
        <v>0</v>
      </c>
      <c r="K81" s="71">
        <f t="shared" si="16"/>
        <v>0</v>
      </c>
      <c r="L81" s="71">
        <f t="shared" si="16"/>
        <v>0</v>
      </c>
      <c r="M81" s="71">
        <f t="shared" si="16"/>
        <v>0</v>
      </c>
      <c r="N81" s="71">
        <f t="shared" si="16"/>
        <v>0</v>
      </c>
      <c r="O81" s="71">
        <f t="shared" si="16"/>
        <v>0</v>
      </c>
      <c r="P81" s="71">
        <f t="shared" si="16"/>
        <v>0</v>
      </c>
      <c r="Q81" s="71">
        <f t="shared" si="16"/>
        <v>0</v>
      </c>
      <c r="R81" s="71">
        <f t="shared" si="16"/>
        <v>0</v>
      </c>
      <c r="S81" s="71">
        <f t="shared" si="16"/>
        <v>0</v>
      </c>
      <c r="T81" s="71">
        <f t="shared" si="16"/>
        <v>0</v>
      </c>
      <c r="U81" s="71">
        <f t="shared" si="16"/>
        <v>0</v>
      </c>
      <c r="V81" s="71">
        <f t="shared" si="16"/>
        <v>0</v>
      </c>
      <c r="W81" s="71">
        <f t="shared" si="16"/>
        <v>0</v>
      </c>
      <c r="X81" s="71">
        <f t="shared" si="16"/>
        <v>0</v>
      </c>
      <c r="Y81" s="71">
        <f t="shared" si="16"/>
        <v>0</v>
      </c>
      <c r="Z81" s="71">
        <f t="shared" si="16"/>
        <v>0</v>
      </c>
      <c r="AA81" s="71">
        <f t="shared" si="16"/>
        <v>0</v>
      </c>
      <c r="AB81" s="71">
        <f t="shared" si="16"/>
        <v>0</v>
      </c>
      <c r="AC81" s="71">
        <f t="shared" si="16"/>
        <v>0</v>
      </c>
      <c r="AD81" s="71">
        <f t="shared" si="16"/>
        <v>0</v>
      </c>
      <c r="AE81" s="71">
        <f t="shared" si="16"/>
        <v>0</v>
      </c>
      <c r="AF81" s="71">
        <f t="shared" si="16"/>
        <v>0</v>
      </c>
      <c r="AG81" s="135"/>
      <c r="AH81" s="54">
        <f t="shared" ref="AH81:AH97" si="17">MAX(B81:AF81)</f>
        <v>0</v>
      </c>
      <c r="AI81" s="55">
        <f t="shared" ref="AI81:AI97" si="18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>IF(B62&lt;0,B62*-1,0)</f>
        <v>0</v>
      </c>
      <c r="C82" s="71">
        <f t="shared" ref="C82:AF82" si="19">IF(C62&lt;0,C62*-1,0)</f>
        <v>0</v>
      </c>
      <c r="D82" s="71">
        <f t="shared" si="19"/>
        <v>0</v>
      </c>
      <c r="E82" s="71">
        <f t="shared" si="19"/>
        <v>0</v>
      </c>
      <c r="F82" s="71">
        <f t="shared" si="19"/>
        <v>0</v>
      </c>
      <c r="G82" s="71">
        <f t="shared" si="19"/>
        <v>0</v>
      </c>
      <c r="H82" s="71">
        <f t="shared" si="19"/>
        <v>0</v>
      </c>
      <c r="I82" s="71">
        <f t="shared" si="19"/>
        <v>0</v>
      </c>
      <c r="J82" s="71">
        <f t="shared" si="19"/>
        <v>0</v>
      </c>
      <c r="K82" s="71">
        <f t="shared" si="19"/>
        <v>0</v>
      </c>
      <c r="L82" s="71">
        <f t="shared" si="19"/>
        <v>0</v>
      </c>
      <c r="M82" s="71">
        <f t="shared" si="19"/>
        <v>0</v>
      </c>
      <c r="N82" s="71">
        <f t="shared" si="19"/>
        <v>0</v>
      </c>
      <c r="O82" s="71">
        <f t="shared" si="19"/>
        <v>0</v>
      </c>
      <c r="P82" s="71">
        <f t="shared" si="19"/>
        <v>0</v>
      </c>
      <c r="Q82" s="71">
        <f t="shared" si="19"/>
        <v>0</v>
      </c>
      <c r="R82" s="71">
        <f t="shared" si="19"/>
        <v>0</v>
      </c>
      <c r="S82" s="71">
        <f t="shared" si="19"/>
        <v>0</v>
      </c>
      <c r="T82" s="71">
        <f t="shared" si="19"/>
        <v>0</v>
      </c>
      <c r="U82" s="71">
        <f t="shared" si="19"/>
        <v>0</v>
      </c>
      <c r="V82" s="71">
        <f t="shared" si="19"/>
        <v>0</v>
      </c>
      <c r="W82" s="71">
        <f t="shared" si="19"/>
        <v>0</v>
      </c>
      <c r="X82" s="71">
        <f t="shared" si="19"/>
        <v>0</v>
      </c>
      <c r="Y82" s="71">
        <f t="shared" si="19"/>
        <v>0</v>
      </c>
      <c r="Z82" s="71">
        <f t="shared" si="19"/>
        <v>0</v>
      </c>
      <c r="AA82" s="71">
        <f t="shared" si="19"/>
        <v>0</v>
      </c>
      <c r="AB82" s="71">
        <f t="shared" si="19"/>
        <v>0</v>
      </c>
      <c r="AC82" s="71">
        <f t="shared" si="19"/>
        <v>0</v>
      </c>
      <c r="AD82" s="71">
        <f t="shared" si="19"/>
        <v>0</v>
      </c>
      <c r="AE82" s="71">
        <f t="shared" si="19"/>
        <v>0</v>
      </c>
      <c r="AF82" s="71">
        <f t="shared" si="19"/>
        <v>0</v>
      </c>
      <c r="AG82" s="136"/>
      <c r="AH82" s="54">
        <f t="shared" si="17"/>
        <v>0</v>
      </c>
      <c r="AI82" s="55">
        <f t="shared" si="18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>IF(B65&lt;0,B65*-1,0)</f>
        <v>0</v>
      </c>
      <c r="C83" s="71">
        <f t="shared" ref="C83:AF83" si="20">IF(C65&lt;0,C65*-1,0)</f>
        <v>0</v>
      </c>
      <c r="D83" s="71">
        <f t="shared" si="20"/>
        <v>0</v>
      </c>
      <c r="E83" s="71">
        <f t="shared" si="20"/>
        <v>0</v>
      </c>
      <c r="F83" s="71">
        <f t="shared" si="20"/>
        <v>0</v>
      </c>
      <c r="G83" s="71">
        <f t="shared" si="20"/>
        <v>0</v>
      </c>
      <c r="H83" s="71">
        <f t="shared" si="20"/>
        <v>0</v>
      </c>
      <c r="I83" s="71">
        <f t="shared" si="20"/>
        <v>0</v>
      </c>
      <c r="J83" s="71">
        <f t="shared" si="20"/>
        <v>0</v>
      </c>
      <c r="K83" s="71">
        <f t="shared" si="20"/>
        <v>0</v>
      </c>
      <c r="L83" s="71">
        <f t="shared" si="20"/>
        <v>0</v>
      </c>
      <c r="M83" s="71">
        <f t="shared" si="20"/>
        <v>0</v>
      </c>
      <c r="N83" s="71">
        <f t="shared" si="20"/>
        <v>0</v>
      </c>
      <c r="O83" s="71">
        <f t="shared" si="20"/>
        <v>0</v>
      </c>
      <c r="P83" s="71">
        <f t="shared" si="20"/>
        <v>0</v>
      </c>
      <c r="Q83" s="71">
        <f t="shared" si="20"/>
        <v>0</v>
      </c>
      <c r="R83" s="71">
        <f t="shared" si="20"/>
        <v>0</v>
      </c>
      <c r="S83" s="71">
        <f t="shared" si="20"/>
        <v>0</v>
      </c>
      <c r="T83" s="71">
        <f t="shared" si="20"/>
        <v>0</v>
      </c>
      <c r="U83" s="71">
        <f t="shared" si="20"/>
        <v>0</v>
      </c>
      <c r="V83" s="71">
        <f t="shared" si="20"/>
        <v>0</v>
      </c>
      <c r="W83" s="71">
        <f t="shared" si="20"/>
        <v>0</v>
      </c>
      <c r="X83" s="71">
        <f t="shared" si="20"/>
        <v>0</v>
      </c>
      <c r="Y83" s="71">
        <f t="shared" si="20"/>
        <v>0</v>
      </c>
      <c r="Z83" s="71">
        <f t="shared" si="20"/>
        <v>0</v>
      </c>
      <c r="AA83" s="71">
        <f t="shared" si="20"/>
        <v>0</v>
      </c>
      <c r="AB83" s="71">
        <f t="shared" si="20"/>
        <v>0</v>
      </c>
      <c r="AC83" s="71">
        <f t="shared" si="20"/>
        <v>0</v>
      </c>
      <c r="AD83" s="71">
        <f t="shared" si="20"/>
        <v>0</v>
      </c>
      <c r="AE83" s="71">
        <f t="shared" si="20"/>
        <v>0</v>
      </c>
      <c r="AF83" s="71">
        <f t="shared" si="20"/>
        <v>0</v>
      </c>
      <c r="AG83" s="144"/>
      <c r="AH83" s="54">
        <f t="shared" si="17"/>
        <v>0</v>
      </c>
      <c r="AI83" s="55">
        <f t="shared" si="18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>IF(B63&lt;0,B63*-1,0)</f>
        <v>325</v>
      </c>
      <c r="C84" s="71">
        <f t="shared" ref="C84:AF84" si="21">IF(C63&lt;0,C63*-1,0)</f>
        <v>360</v>
      </c>
      <c r="D84" s="71">
        <f t="shared" si="21"/>
        <v>374</v>
      </c>
      <c r="E84" s="71">
        <f t="shared" si="21"/>
        <v>387</v>
      </c>
      <c r="F84" s="71">
        <f t="shared" si="21"/>
        <v>397</v>
      </c>
      <c r="G84" s="71">
        <f t="shared" si="21"/>
        <v>381</v>
      </c>
      <c r="H84" s="71">
        <f t="shared" si="21"/>
        <v>385</v>
      </c>
      <c r="I84" s="71">
        <f t="shared" si="21"/>
        <v>390</v>
      </c>
      <c r="J84" s="71">
        <f t="shared" si="21"/>
        <v>328</v>
      </c>
      <c r="K84" s="71">
        <f t="shared" si="21"/>
        <v>328</v>
      </c>
      <c r="L84" s="71">
        <f t="shared" si="21"/>
        <v>350</v>
      </c>
      <c r="M84" s="71">
        <f t="shared" si="21"/>
        <v>350</v>
      </c>
      <c r="N84" s="71">
        <f t="shared" si="21"/>
        <v>258</v>
      </c>
      <c r="O84" s="71">
        <f t="shared" si="21"/>
        <v>229</v>
      </c>
      <c r="P84" s="71">
        <f t="shared" si="21"/>
        <v>225</v>
      </c>
      <c r="Q84" s="71">
        <f t="shared" si="21"/>
        <v>246</v>
      </c>
      <c r="R84" s="71">
        <f t="shared" si="21"/>
        <v>219</v>
      </c>
      <c r="S84" s="71">
        <f t="shared" si="21"/>
        <v>185</v>
      </c>
      <c r="T84" s="71">
        <f t="shared" si="21"/>
        <v>203.8</v>
      </c>
      <c r="U84" s="71">
        <f t="shared" si="21"/>
        <v>255</v>
      </c>
      <c r="V84" s="71">
        <f t="shared" si="21"/>
        <v>317</v>
      </c>
      <c r="W84" s="71">
        <f t="shared" si="21"/>
        <v>391</v>
      </c>
      <c r="X84" s="71">
        <f t="shared" si="21"/>
        <v>388</v>
      </c>
      <c r="Y84" s="71">
        <f t="shared" si="21"/>
        <v>358</v>
      </c>
      <c r="Z84" s="71">
        <f t="shared" si="21"/>
        <v>284</v>
      </c>
      <c r="AA84" s="71">
        <f t="shared" si="21"/>
        <v>263</v>
      </c>
      <c r="AB84" s="71">
        <f t="shared" si="21"/>
        <v>206</v>
      </c>
      <c r="AC84" s="71">
        <f t="shared" si="21"/>
        <v>201.6</v>
      </c>
      <c r="AD84" s="71">
        <f t="shared" si="21"/>
        <v>210</v>
      </c>
      <c r="AE84" s="71">
        <f t="shared" si="21"/>
        <v>280</v>
      </c>
      <c r="AF84" s="71">
        <f t="shared" si="21"/>
        <v>316</v>
      </c>
      <c r="AG84" s="144"/>
      <c r="AH84" s="54">
        <f t="shared" si="17"/>
        <v>397</v>
      </c>
      <c r="AI84" s="55">
        <f t="shared" si="18"/>
        <v>185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>IF(B61&lt;0,B61*-1,0)</f>
        <v>0</v>
      </c>
      <c r="C85" s="71">
        <f t="shared" ref="C85:AF85" si="22">IF(C61&lt;0,C61*-1,0)</f>
        <v>0</v>
      </c>
      <c r="D85" s="71">
        <f t="shared" si="22"/>
        <v>0</v>
      </c>
      <c r="E85" s="71">
        <f t="shared" si="22"/>
        <v>0</v>
      </c>
      <c r="F85" s="71">
        <f t="shared" si="22"/>
        <v>0</v>
      </c>
      <c r="G85" s="71">
        <f t="shared" si="22"/>
        <v>0</v>
      </c>
      <c r="H85" s="71">
        <f t="shared" si="22"/>
        <v>0</v>
      </c>
      <c r="I85" s="71">
        <f t="shared" si="22"/>
        <v>0</v>
      </c>
      <c r="J85" s="71">
        <f t="shared" si="22"/>
        <v>0</v>
      </c>
      <c r="K85" s="71">
        <f t="shared" si="22"/>
        <v>0</v>
      </c>
      <c r="L85" s="71">
        <f t="shared" si="22"/>
        <v>0</v>
      </c>
      <c r="M85" s="71">
        <f t="shared" si="22"/>
        <v>0</v>
      </c>
      <c r="N85" s="71">
        <f t="shared" si="22"/>
        <v>0</v>
      </c>
      <c r="O85" s="71">
        <f t="shared" si="22"/>
        <v>0</v>
      </c>
      <c r="P85" s="71">
        <f t="shared" si="22"/>
        <v>0</v>
      </c>
      <c r="Q85" s="71">
        <f t="shared" si="22"/>
        <v>0</v>
      </c>
      <c r="R85" s="71">
        <f t="shared" si="22"/>
        <v>0</v>
      </c>
      <c r="S85" s="71">
        <f t="shared" si="22"/>
        <v>0</v>
      </c>
      <c r="T85" s="71">
        <f t="shared" si="22"/>
        <v>0</v>
      </c>
      <c r="U85" s="71">
        <f t="shared" si="22"/>
        <v>0</v>
      </c>
      <c r="V85" s="71">
        <f t="shared" si="22"/>
        <v>0</v>
      </c>
      <c r="W85" s="71">
        <f t="shared" si="22"/>
        <v>0</v>
      </c>
      <c r="X85" s="71">
        <f t="shared" si="22"/>
        <v>0</v>
      </c>
      <c r="Y85" s="71">
        <f t="shared" si="22"/>
        <v>0</v>
      </c>
      <c r="Z85" s="71">
        <f t="shared" si="22"/>
        <v>0</v>
      </c>
      <c r="AA85" s="71">
        <f t="shared" si="22"/>
        <v>0</v>
      </c>
      <c r="AB85" s="71">
        <f t="shared" si="22"/>
        <v>0</v>
      </c>
      <c r="AC85" s="71">
        <f t="shared" si="22"/>
        <v>0</v>
      </c>
      <c r="AD85" s="71">
        <f t="shared" si="22"/>
        <v>0</v>
      </c>
      <c r="AE85" s="71">
        <f t="shared" si="22"/>
        <v>0</v>
      </c>
      <c r="AF85" s="71">
        <f t="shared" si="22"/>
        <v>0</v>
      </c>
      <c r="AG85" s="144"/>
      <c r="AH85" s="54">
        <f t="shared" si="17"/>
        <v>0</v>
      </c>
      <c r="AI85" s="55">
        <f t="shared" si="18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>
        <v>0</v>
      </c>
      <c r="AD86" s="74">
        <v>0</v>
      </c>
      <c r="AE86" s="74"/>
      <c r="AF86" s="74"/>
      <c r="AG86" s="141"/>
      <c r="AH86" s="54">
        <f t="shared" si="17"/>
        <v>0</v>
      </c>
      <c r="AI86" s="55">
        <f t="shared" si="18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>SUM(B81:B86)</f>
        <v>325</v>
      </c>
      <c r="C87" s="66">
        <f t="shared" ref="C87:AF87" si="23">SUM(C81:C86)</f>
        <v>360</v>
      </c>
      <c r="D87" s="66">
        <f t="shared" si="23"/>
        <v>374</v>
      </c>
      <c r="E87" s="66">
        <f t="shared" si="23"/>
        <v>387</v>
      </c>
      <c r="F87" s="66">
        <f t="shared" si="23"/>
        <v>397</v>
      </c>
      <c r="G87" s="66">
        <f t="shared" si="23"/>
        <v>381</v>
      </c>
      <c r="H87" s="66">
        <f t="shared" si="23"/>
        <v>385</v>
      </c>
      <c r="I87" s="66">
        <f t="shared" si="23"/>
        <v>390</v>
      </c>
      <c r="J87" s="66">
        <f t="shared" si="23"/>
        <v>328</v>
      </c>
      <c r="K87" s="66">
        <f t="shared" si="23"/>
        <v>328</v>
      </c>
      <c r="L87" s="66">
        <f t="shared" si="23"/>
        <v>350</v>
      </c>
      <c r="M87" s="66">
        <f t="shared" si="23"/>
        <v>350</v>
      </c>
      <c r="N87" s="66">
        <f t="shared" si="23"/>
        <v>258</v>
      </c>
      <c r="O87" s="66">
        <f t="shared" si="23"/>
        <v>229</v>
      </c>
      <c r="P87" s="66">
        <f t="shared" si="23"/>
        <v>225</v>
      </c>
      <c r="Q87" s="66">
        <f t="shared" si="23"/>
        <v>246</v>
      </c>
      <c r="R87" s="66">
        <f t="shared" si="23"/>
        <v>219</v>
      </c>
      <c r="S87" s="66">
        <f t="shared" si="23"/>
        <v>185</v>
      </c>
      <c r="T87" s="66">
        <f t="shared" si="23"/>
        <v>203.8</v>
      </c>
      <c r="U87" s="66">
        <f t="shared" si="23"/>
        <v>255</v>
      </c>
      <c r="V87" s="66">
        <f t="shared" si="23"/>
        <v>317</v>
      </c>
      <c r="W87" s="66">
        <f t="shared" si="23"/>
        <v>391</v>
      </c>
      <c r="X87" s="66">
        <f t="shared" si="23"/>
        <v>388</v>
      </c>
      <c r="Y87" s="66">
        <f t="shared" si="23"/>
        <v>358</v>
      </c>
      <c r="Z87" s="66">
        <f t="shared" si="23"/>
        <v>284</v>
      </c>
      <c r="AA87" s="66">
        <f t="shared" si="23"/>
        <v>263</v>
      </c>
      <c r="AB87" s="66">
        <f t="shared" si="23"/>
        <v>206</v>
      </c>
      <c r="AC87" s="66">
        <f t="shared" si="23"/>
        <v>201.6</v>
      </c>
      <c r="AD87" s="66">
        <f t="shared" si="23"/>
        <v>210</v>
      </c>
      <c r="AE87" s="66">
        <f t="shared" si="23"/>
        <v>280</v>
      </c>
      <c r="AF87" s="66">
        <f t="shared" si="23"/>
        <v>316</v>
      </c>
      <c r="AG87" s="138"/>
      <c r="AH87" s="54">
        <f t="shared" si="17"/>
        <v>397</v>
      </c>
      <c r="AI87" s="55">
        <f t="shared" si="18"/>
        <v>185</v>
      </c>
      <c r="AK87" s="56"/>
    </row>
    <row r="88" spans="1:88" s="1" customFormat="1" ht="15.75" thickBot="1" x14ac:dyDescent="0.3">
      <c r="A88" s="65" t="s">
        <v>64</v>
      </c>
      <c r="B88" s="66">
        <f>B72-B87</f>
        <v>-269</v>
      </c>
      <c r="C88" s="66">
        <f t="shared" ref="C88:AF88" si="24">C72-C87</f>
        <v>-308</v>
      </c>
      <c r="D88" s="66">
        <f t="shared" si="24"/>
        <v>-329</v>
      </c>
      <c r="E88" s="66">
        <f t="shared" si="24"/>
        <v>-348</v>
      </c>
      <c r="F88" s="66">
        <f t="shared" si="24"/>
        <v>-354</v>
      </c>
      <c r="G88" s="66">
        <f t="shared" si="24"/>
        <v>-333</v>
      </c>
      <c r="H88" s="66">
        <f t="shared" si="24"/>
        <v>-349</v>
      </c>
      <c r="I88" s="66">
        <f t="shared" si="24"/>
        <v>-351</v>
      </c>
      <c r="J88" s="66">
        <f t="shared" si="24"/>
        <v>-289</v>
      </c>
      <c r="K88" s="66">
        <f t="shared" si="24"/>
        <v>-253</v>
      </c>
      <c r="L88" s="66">
        <f t="shared" si="24"/>
        <v>-271</v>
      </c>
      <c r="M88" s="66">
        <f t="shared" si="24"/>
        <v>-271</v>
      </c>
      <c r="N88" s="66">
        <f t="shared" si="24"/>
        <v>-189.85</v>
      </c>
      <c r="O88" s="66">
        <f t="shared" si="24"/>
        <v>-174.38</v>
      </c>
      <c r="P88" s="66">
        <f t="shared" si="24"/>
        <v>-170</v>
      </c>
      <c r="Q88" s="66">
        <f t="shared" si="24"/>
        <v>-185</v>
      </c>
      <c r="R88" s="66">
        <f t="shared" si="24"/>
        <v>-155.5</v>
      </c>
      <c r="S88" s="66">
        <f t="shared" si="24"/>
        <v>-127</v>
      </c>
      <c r="T88" s="66">
        <f t="shared" si="24"/>
        <v>-133</v>
      </c>
      <c r="U88" s="66">
        <f t="shared" si="24"/>
        <v>-187.2</v>
      </c>
      <c r="V88" s="66">
        <f t="shared" si="24"/>
        <v>-255</v>
      </c>
      <c r="W88" s="66">
        <f t="shared" si="24"/>
        <v>-323.89999999999998</v>
      </c>
      <c r="X88" s="66">
        <f t="shared" si="24"/>
        <v>-317.10000000000002</v>
      </c>
      <c r="Y88" s="66">
        <f t="shared" si="24"/>
        <v>-287.10000000000002</v>
      </c>
      <c r="Z88" s="66">
        <f t="shared" si="24"/>
        <v>-213.1</v>
      </c>
      <c r="AA88" s="66">
        <f t="shared" si="24"/>
        <v>-190.5</v>
      </c>
      <c r="AB88" s="66">
        <f t="shared" si="24"/>
        <v>-146.6</v>
      </c>
      <c r="AC88" s="66">
        <f t="shared" si="24"/>
        <v>-135.39999999999998</v>
      </c>
      <c r="AD88" s="66">
        <f t="shared" si="24"/>
        <v>-144.19999999999999</v>
      </c>
      <c r="AE88" s="66">
        <f t="shared" si="24"/>
        <v>-182.2</v>
      </c>
      <c r="AF88" s="66">
        <f t="shared" si="24"/>
        <v>-237.7</v>
      </c>
      <c r="AG88" s="138"/>
      <c r="AH88" s="54">
        <f t="shared" si="17"/>
        <v>-127</v>
      </c>
      <c r="AI88" s="55">
        <f t="shared" si="18"/>
        <v>-354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50</v>
      </c>
      <c r="C89" s="80">
        <v>49.87</v>
      </c>
      <c r="D89" s="80">
        <v>50.024000000000001</v>
      </c>
      <c r="E89" s="80">
        <v>50.04</v>
      </c>
      <c r="F89" s="80">
        <v>50.04</v>
      </c>
      <c r="G89" s="80">
        <v>50.012999999999998</v>
      </c>
      <c r="H89" s="80">
        <v>50.026000000000003</v>
      </c>
      <c r="I89" s="80">
        <v>50.000999999999998</v>
      </c>
      <c r="J89" s="80">
        <v>49.985999999999997</v>
      </c>
      <c r="K89" s="80">
        <v>49.985999999999997</v>
      </c>
      <c r="L89" s="80">
        <v>50.012</v>
      </c>
      <c r="M89" s="80">
        <v>50.012</v>
      </c>
      <c r="N89" s="80">
        <v>50.06</v>
      </c>
      <c r="O89" s="80">
        <v>49.98</v>
      </c>
      <c r="P89" s="80">
        <v>49.98</v>
      </c>
      <c r="Q89" s="80">
        <v>49.98</v>
      </c>
      <c r="R89" s="80">
        <v>50.03</v>
      </c>
      <c r="S89" s="80">
        <v>49.951000000000001</v>
      </c>
      <c r="T89" s="80">
        <v>50.024999999999999</v>
      </c>
      <c r="U89" s="80">
        <v>50.015000000000001</v>
      </c>
      <c r="V89" s="80">
        <v>49.912999999999997</v>
      </c>
      <c r="W89" s="80">
        <v>49.92</v>
      </c>
      <c r="X89" s="80">
        <v>50.034999999999997</v>
      </c>
      <c r="Y89" s="80">
        <v>50.018999999999998</v>
      </c>
      <c r="Z89" s="80">
        <v>49.953000000000003</v>
      </c>
      <c r="AA89" s="80">
        <v>49.902000000000001</v>
      </c>
      <c r="AB89" s="80">
        <v>50.03</v>
      </c>
      <c r="AC89" s="80">
        <v>49.954000000000001</v>
      </c>
      <c r="AD89" s="80">
        <v>50.015000000000001</v>
      </c>
      <c r="AE89" s="80">
        <v>49.99</v>
      </c>
      <c r="AF89" s="80">
        <v>50.04</v>
      </c>
      <c r="AG89" s="145"/>
      <c r="AH89" s="54">
        <f t="shared" si="17"/>
        <v>50.06</v>
      </c>
      <c r="AI89" s="55">
        <f t="shared" si="18"/>
        <v>49.87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124</v>
      </c>
      <c r="C90" s="48">
        <v>122</v>
      </c>
      <c r="D90" s="48">
        <v>123</v>
      </c>
      <c r="E90" s="48">
        <v>122</v>
      </c>
      <c r="F90" s="48">
        <v>122</v>
      </c>
      <c r="G90" s="48">
        <v>124</v>
      </c>
      <c r="H90" s="48">
        <v>123</v>
      </c>
      <c r="I90" s="48">
        <v>123</v>
      </c>
      <c r="J90" s="48">
        <v>123</v>
      </c>
      <c r="K90" s="48">
        <v>123</v>
      </c>
      <c r="L90" s="48">
        <v>123</v>
      </c>
      <c r="M90" s="48">
        <v>123</v>
      </c>
      <c r="N90" s="48">
        <v>125.1</v>
      </c>
      <c r="O90" s="48">
        <v>125.1</v>
      </c>
      <c r="P90" s="48">
        <v>125.1</v>
      </c>
      <c r="Q90" s="48">
        <v>125.1</v>
      </c>
      <c r="R90" s="48">
        <v>120.1</v>
      </c>
      <c r="S90" s="48">
        <v>120.7</v>
      </c>
      <c r="T90" s="48">
        <v>121</v>
      </c>
      <c r="U90" s="48">
        <v>121.3</v>
      </c>
      <c r="V90" s="48">
        <v>122.5</v>
      </c>
      <c r="W90" s="48">
        <v>124</v>
      </c>
      <c r="X90" s="48">
        <v>124.9</v>
      </c>
      <c r="Y90" s="48">
        <v>125.6</v>
      </c>
      <c r="Z90" s="48">
        <v>123.2</v>
      </c>
      <c r="AA90" s="48">
        <v>125.6</v>
      </c>
      <c r="AB90" s="48">
        <v>125.6</v>
      </c>
      <c r="AC90" s="48">
        <v>125.6</v>
      </c>
      <c r="AD90" s="48">
        <v>125.5</v>
      </c>
      <c r="AE90" s="48">
        <v>124.7</v>
      </c>
      <c r="AF90" s="48">
        <v>121.9</v>
      </c>
      <c r="AG90" s="146"/>
      <c r="AH90" s="54">
        <f t="shared" si="17"/>
        <v>125.6</v>
      </c>
      <c r="AI90" s="55">
        <f t="shared" si="18"/>
        <v>120.1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130</v>
      </c>
      <c r="C91" s="48">
        <v>127</v>
      </c>
      <c r="D91" s="48">
        <v>129</v>
      </c>
      <c r="E91" s="48">
        <v>127</v>
      </c>
      <c r="F91" s="48">
        <v>127</v>
      </c>
      <c r="G91" s="48">
        <v>128</v>
      </c>
      <c r="H91" s="48">
        <v>128</v>
      </c>
      <c r="I91" s="48">
        <v>128</v>
      </c>
      <c r="J91" s="48">
        <v>127</v>
      </c>
      <c r="K91" s="48">
        <v>127</v>
      </c>
      <c r="L91" s="48">
        <v>127</v>
      </c>
      <c r="M91" s="48">
        <v>127</v>
      </c>
      <c r="N91" s="48">
        <v>127.1</v>
      </c>
      <c r="O91" s="48">
        <v>127.1</v>
      </c>
      <c r="P91" s="48">
        <v>127.1</v>
      </c>
      <c r="Q91" s="48">
        <v>127.1</v>
      </c>
      <c r="R91" s="48">
        <v>124.3</v>
      </c>
      <c r="S91" s="48">
        <v>124.8</v>
      </c>
      <c r="T91" s="48">
        <v>125.2</v>
      </c>
      <c r="U91" s="48">
        <v>125.6</v>
      </c>
      <c r="V91" s="48">
        <v>126.8</v>
      </c>
      <c r="W91" s="48">
        <v>127.6</v>
      </c>
      <c r="X91" s="48">
        <v>128.6</v>
      </c>
      <c r="Y91" s="48">
        <v>129</v>
      </c>
      <c r="Z91" s="48">
        <v>126.3</v>
      </c>
      <c r="AA91" s="48">
        <v>128.5</v>
      </c>
      <c r="AB91" s="48">
        <v>128.80000000000001</v>
      </c>
      <c r="AC91" s="48">
        <v>128.9</v>
      </c>
      <c r="AD91" s="48">
        <v>129.1</v>
      </c>
      <c r="AE91" s="48">
        <v>128.9</v>
      </c>
      <c r="AF91" s="48">
        <v>127</v>
      </c>
      <c r="AG91" s="146"/>
      <c r="AH91" s="54">
        <f t="shared" si="17"/>
        <v>130</v>
      </c>
      <c r="AI91" s="55">
        <f t="shared" si="18"/>
        <v>124.3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130</v>
      </c>
      <c r="C92" s="48">
        <v>128</v>
      </c>
      <c r="D92" s="48">
        <v>126</v>
      </c>
      <c r="E92" s="48">
        <v>128</v>
      </c>
      <c r="F92" s="48">
        <v>128</v>
      </c>
      <c r="G92" s="48">
        <v>130</v>
      </c>
      <c r="H92" s="48">
        <v>128</v>
      </c>
      <c r="I92" s="48">
        <v>128</v>
      </c>
      <c r="J92" s="48">
        <v>127</v>
      </c>
      <c r="K92" s="48">
        <v>127</v>
      </c>
      <c r="L92" s="48">
        <v>127</v>
      </c>
      <c r="M92" s="48">
        <v>127</v>
      </c>
      <c r="N92" s="48">
        <v>127</v>
      </c>
      <c r="O92" s="48">
        <v>127</v>
      </c>
      <c r="P92" s="48">
        <v>127</v>
      </c>
      <c r="Q92" s="48">
        <v>127</v>
      </c>
      <c r="R92" s="48">
        <v>125.6</v>
      </c>
      <c r="S92" s="48">
        <v>127</v>
      </c>
      <c r="T92" s="48">
        <v>126.1</v>
      </c>
      <c r="U92" s="48">
        <v>127.7</v>
      </c>
      <c r="V92" s="48">
        <v>126.8</v>
      </c>
      <c r="W92" s="48">
        <v>128.5</v>
      </c>
      <c r="X92" s="48">
        <v>128.19999999999999</v>
      </c>
      <c r="Y92" s="48">
        <v>128.80000000000001</v>
      </c>
      <c r="Z92" s="48">
        <v>126.8</v>
      </c>
      <c r="AA92" s="48">
        <v>127.3</v>
      </c>
      <c r="AB92" s="48">
        <v>125.9</v>
      </c>
      <c r="AC92" s="48">
        <v>127</v>
      </c>
      <c r="AD92" s="48">
        <v>127.8</v>
      </c>
      <c r="AE92" s="48">
        <v>124.2</v>
      </c>
      <c r="AF92" s="48">
        <v>128.69999999999999</v>
      </c>
      <c r="AG92" s="146"/>
      <c r="AH92" s="54">
        <f t="shared" si="17"/>
        <v>130</v>
      </c>
      <c r="AI92" s="55">
        <f t="shared" si="18"/>
        <v>124.2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>
        <v>134</v>
      </c>
      <c r="C93" s="48">
        <v>133</v>
      </c>
      <c r="D93" s="48">
        <v>133</v>
      </c>
      <c r="E93" s="48">
        <v>133</v>
      </c>
      <c r="F93" s="48">
        <v>133</v>
      </c>
      <c r="G93" s="48">
        <v>136</v>
      </c>
      <c r="H93" s="48">
        <v>132</v>
      </c>
      <c r="I93" s="48">
        <v>132</v>
      </c>
      <c r="J93" s="48">
        <v>130</v>
      </c>
      <c r="K93" s="48">
        <v>130</v>
      </c>
      <c r="L93" s="48">
        <v>130</v>
      </c>
      <c r="M93" s="48">
        <v>130</v>
      </c>
      <c r="N93" s="48">
        <v>130.69999999999999</v>
      </c>
      <c r="O93" s="48">
        <v>130.69999999999999</v>
      </c>
      <c r="P93" s="48">
        <v>130.69999999999999</v>
      </c>
      <c r="Q93" s="48">
        <v>130.69999999999999</v>
      </c>
      <c r="R93" s="48">
        <v>129.69999999999999</v>
      </c>
      <c r="S93" s="48">
        <v>131</v>
      </c>
      <c r="T93" s="48">
        <v>129.5</v>
      </c>
      <c r="U93" s="48">
        <v>130.6</v>
      </c>
      <c r="V93" s="48">
        <v>130.4</v>
      </c>
      <c r="W93" s="48">
        <v>134.9</v>
      </c>
      <c r="X93" s="48">
        <v>134</v>
      </c>
      <c r="Y93" s="48">
        <v>133.4</v>
      </c>
      <c r="Z93" s="48">
        <v>131.30000000000001</v>
      </c>
      <c r="AA93" s="48">
        <v>131</v>
      </c>
      <c r="AB93" s="48">
        <v>131.1</v>
      </c>
      <c r="AC93" s="48">
        <v>133.19999999999999</v>
      </c>
      <c r="AD93" s="48">
        <v>132.80000000000001</v>
      </c>
      <c r="AE93" s="48">
        <v>130.80000000000001</v>
      </c>
      <c r="AF93" s="48">
        <v>134.5</v>
      </c>
      <c r="AG93" s="146"/>
      <c r="AH93" s="54">
        <f t="shared" si="17"/>
        <v>136</v>
      </c>
      <c r="AI93" s="55">
        <f t="shared" si="18"/>
        <v>129.5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134</v>
      </c>
      <c r="C94" s="82">
        <v>133</v>
      </c>
      <c r="D94" s="82">
        <v>133</v>
      </c>
      <c r="E94" s="82">
        <v>129</v>
      </c>
      <c r="F94" s="82">
        <v>129</v>
      </c>
      <c r="G94" s="82">
        <v>131</v>
      </c>
      <c r="H94" s="82">
        <v>129</v>
      </c>
      <c r="I94" s="82">
        <v>129</v>
      </c>
      <c r="J94" s="82">
        <v>132</v>
      </c>
      <c r="K94" s="82">
        <v>132</v>
      </c>
      <c r="L94" s="82">
        <v>132</v>
      </c>
      <c r="M94" s="82">
        <v>132</v>
      </c>
      <c r="N94" s="82">
        <v>132.6</v>
      </c>
      <c r="O94" s="82">
        <v>132.6</v>
      </c>
      <c r="P94" s="82">
        <v>132.6</v>
      </c>
      <c r="Q94" s="82">
        <v>132.6</v>
      </c>
      <c r="R94" s="82">
        <v>124.3</v>
      </c>
      <c r="S94" s="82">
        <v>132.6</v>
      </c>
      <c r="T94" s="82">
        <v>133.69999999999999</v>
      </c>
      <c r="U94" s="82">
        <v>133.80000000000001</v>
      </c>
      <c r="V94" s="82">
        <v>135.80000000000001</v>
      </c>
      <c r="W94" s="82">
        <v>131.4</v>
      </c>
      <c r="X94" s="82">
        <v>134.69999999999999</v>
      </c>
      <c r="Y94" s="82">
        <v>135.30000000000001</v>
      </c>
      <c r="Z94" s="82">
        <v>130.69999999999999</v>
      </c>
      <c r="AA94" s="82">
        <v>132.69999999999999</v>
      </c>
      <c r="AB94" s="82">
        <v>128.80000000000001</v>
      </c>
      <c r="AC94" s="82">
        <v>130.69999999999999</v>
      </c>
      <c r="AD94" s="82">
        <v>132.1</v>
      </c>
      <c r="AE94" s="82">
        <v>131.69999999999999</v>
      </c>
      <c r="AF94" s="82">
        <v>128.69999999999999</v>
      </c>
      <c r="AG94" s="147"/>
      <c r="AH94" s="54">
        <f t="shared" si="17"/>
        <v>135.80000000000001</v>
      </c>
      <c r="AI94" s="55">
        <f t="shared" si="18"/>
        <v>124.3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128</v>
      </c>
      <c r="C95" s="48">
        <v>128</v>
      </c>
      <c r="D95" s="48">
        <v>128</v>
      </c>
      <c r="E95" s="48">
        <v>125</v>
      </c>
      <c r="F95" s="48">
        <v>125</v>
      </c>
      <c r="G95" s="48">
        <v>122</v>
      </c>
      <c r="H95" s="48">
        <v>120</v>
      </c>
      <c r="I95" s="48">
        <v>120</v>
      </c>
      <c r="J95" s="48">
        <v>125</v>
      </c>
      <c r="K95" s="48">
        <v>125</v>
      </c>
      <c r="L95" s="48">
        <v>125</v>
      </c>
      <c r="M95" s="48">
        <v>125</v>
      </c>
      <c r="N95" s="48">
        <v>128.80000000000001</v>
      </c>
      <c r="O95" s="48">
        <v>128.80000000000001</v>
      </c>
      <c r="P95" s="48">
        <v>128.80000000000001</v>
      </c>
      <c r="Q95" s="48">
        <v>128.80000000000001</v>
      </c>
      <c r="R95" s="48">
        <v>129.1</v>
      </c>
      <c r="S95" s="48">
        <v>131.1</v>
      </c>
      <c r="T95" s="48">
        <v>130.6</v>
      </c>
      <c r="U95" s="48">
        <v>131.9</v>
      </c>
      <c r="V95" s="48">
        <v>134.30000000000001</v>
      </c>
      <c r="W95" s="48">
        <v>128.19999999999999</v>
      </c>
      <c r="X95" s="48">
        <v>132.30000000000001</v>
      </c>
      <c r="Y95" s="48">
        <v>132.19999999999999</v>
      </c>
      <c r="Z95" s="48">
        <v>129</v>
      </c>
      <c r="AA95" s="48">
        <v>129.69999999999999</v>
      </c>
      <c r="AB95" s="48">
        <v>128.80000000000001</v>
      </c>
      <c r="AC95" s="48">
        <v>129.6</v>
      </c>
      <c r="AD95" s="48">
        <v>129.69999999999999</v>
      </c>
      <c r="AE95" s="48">
        <v>125.8</v>
      </c>
      <c r="AF95" s="48">
        <v>124.7</v>
      </c>
      <c r="AG95" s="146"/>
      <c r="AH95" s="54">
        <f t="shared" si="17"/>
        <v>134.30000000000001</v>
      </c>
      <c r="AI95" s="55">
        <f t="shared" si="18"/>
        <v>120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64.900000000000006</v>
      </c>
      <c r="C96" s="83">
        <v>64.3</v>
      </c>
      <c r="D96" s="83">
        <v>64.599999999999994</v>
      </c>
      <c r="E96" s="83">
        <v>64.400000000000006</v>
      </c>
      <c r="F96" s="83">
        <v>64.400000000000006</v>
      </c>
      <c r="G96" s="83">
        <v>64.400000000000006</v>
      </c>
      <c r="H96" s="83">
        <v>64.8</v>
      </c>
      <c r="I96" s="83">
        <v>64.8</v>
      </c>
      <c r="J96" s="83">
        <v>64</v>
      </c>
      <c r="K96" s="83">
        <v>64</v>
      </c>
      <c r="L96" s="83">
        <v>64</v>
      </c>
      <c r="M96" s="83">
        <v>64</v>
      </c>
      <c r="N96" s="83">
        <v>64.5</v>
      </c>
      <c r="O96" s="83">
        <v>64.5</v>
      </c>
      <c r="P96" s="83">
        <v>64.5</v>
      </c>
      <c r="Q96" s="83">
        <v>64.5</v>
      </c>
      <c r="R96" s="83">
        <v>62.8</v>
      </c>
      <c r="S96" s="83">
        <v>62.8</v>
      </c>
      <c r="T96" s="83">
        <v>63</v>
      </c>
      <c r="U96" s="83">
        <v>63.2</v>
      </c>
      <c r="V96" s="83">
        <v>64.099999999999994</v>
      </c>
      <c r="W96" s="83">
        <v>64.7</v>
      </c>
      <c r="X96" s="83">
        <v>65.400000000000006</v>
      </c>
      <c r="Y96" s="83">
        <v>65.3</v>
      </c>
      <c r="Z96" s="83">
        <v>63.6</v>
      </c>
      <c r="AA96" s="83">
        <v>64.8</v>
      </c>
      <c r="AB96" s="83">
        <v>65.3</v>
      </c>
      <c r="AC96" s="83">
        <v>65.400000000000006</v>
      </c>
      <c r="AD96" s="83">
        <v>65.3</v>
      </c>
      <c r="AE96" s="83">
        <v>65.5</v>
      </c>
      <c r="AF96" s="83">
        <v>64.3</v>
      </c>
      <c r="AG96" s="148"/>
      <c r="AH96" s="54">
        <f t="shared" si="17"/>
        <v>65.5</v>
      </c>
      <c r="AI96" s="55">
        <f t="shared" si="18"/>
        <v>62.8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17"/>
        <v>0</v>
      </c>
      <c r="AI97" s="55">
        <f t="shared" si="18"/>
        <v>0</v>
      </c>
    </row>
    <row r="98" spans="1:37" ht="15.75" thickBot="1" x14ac:dyDescent="0.3">
      <c r="A98" s="85" t="s">
        <v>73</v>
      </c>
      <c r="B98" s="86">
        <f t="shared" ref="B98:AF98" si="25">SUM(B15,B18,B21:B22,B46,B48:B49,B51,B53,B99:B102,B123,B129,B135,B144,B146,B158,B165,B168:B169,B176,B178,B180,B184:B186,B188:B190,B195,B201:B202,B204:B206,B214,B219)</f>
        <v>23.099999999999994</v>
      </c>
      <c r="C98" s="86">
        <f t="shared" si="25"/>
        <v>20.539999999999996</v>
      </c>
      <c r="D98" s="86">
        <f t="shared" si="25"/>
        <v>12.539999999999996</v>
      </c>
      <c r="E98" s="86">
        <f t="shared" si="25"/>
        <v>0.53999999999999426</v>
      </c>
      <c r="F98" s="86">
        <f t="shared" si="25"/>
        <v>0.53999999999999426</v>
      </c>
      <c r="G98" s="86">
        <f t="shared" si="25"/>
        <v>19.039999999999996</v>
      </c>
      <c r="H98" s="86">
        <f>SUM(H15,H18,H21:H22,H46,H48:H49,H51,H53,H99:H102,H123,H129,H135,H144,H146,H158,H165,H168:H169,H176,H178,H180,H184:H186,H188:H190,H195,H201:H202,H204:H206,H214,H219)</f>
        <v>147.54</v>
      </c>
      <c r="I98" s="86">
        <f>SUM(I15,I18,I21:I22,I46,I48:I49,I51,I53,I99:I102,I123,I129,I135,I144,I146,I158,I165,I168:I169,I176,I178,I180,I184:I186,I188:I190,I195,I201:I202,I204:I206,I214,I219)</f>
        <v>147.54</v>
      </c>
      <c r="J98" s="86">
        <f t="shared" si="25"/>
        <v>99.24</v>
      </c>
      <c r="K98" s="86">
        <f t="shared" si="25"/>
        <v>131.54</v>
      </c>
      <c r="L98" s="86">
        <f t="shared" si="25"/>
        <v>247.54</v>
      </c>
      <c r="M98" s="86">
        <f t="shared" si="25"/>
        <v>271.54000000000002</v>
      </c>
      <c r="N98" s="86">
        <f t="shared" si="25"/>
        <v>306.54000000000002</v>
      </c>
      <c r="O98" s="86">
        <f t="shared" si="25"/>
        <v>294.03999999999996</v>
      </c>
      <c r="P98" s="86">
        <f t="shared" si="25"/>
        <v>284.03999999999996</v>
      </c>
      <c r="Q98" s="86">
        <f t="shared" si="25"/>
        <v>283.89999999999998</v>
      </c>
      <c r="R98" s="86">
        <f t="shared" si="25"/>
        <v>288.10000000000002</v>
      </c>
      <c r="S98" s="86">
        <f t="shared" si="25"/>
        <v>209.3</v>
      </c>
      <c r="T98" s="86">
        <f t="shared" si="25"/>
        <v>190.10000000000002</v>
      </c>
      <c r="U98" s="86">
        <f t="shared" si="25"/>
        <v>169</v>
      </c>
      <c r="V98" s="86">
        <f t="shared" si="25"/>
        <v>166.5</v>
      </c>
      <c r="W98" s="86">
        <f t="shared" si="25"/>
        <v>157.40000000000003</v>
      </c>
      <c r="X98" s="86">
        <f t="shared" si="25"/>
        <v>154.1</v>
      </c>
      <c r="Y98" s="86">
        <f t="shared" si="25"/>
        <v>177.8</v>
      </c>
      <c r="Z98" s="86">
        <f t="shared" si="25"/>
        <v>203.3</v>
      </c>
      <c r="AA98" s="86">
        <f t="shared" si="25"/>
        <v>230.49999999999997</v>
      </c>
      <c r="AB98" s="86">
        <f t="shared" si="25"/>
        <v>236.2</v>
      </c>
      <c r="AC98" s="86">
        <f t="shared" si="25"/>
        <v>193.89999999999995</v>
      </c>
      <c r="AD98" s="86">
        <f t="shared" si="25"/>
        <v>167.09999999999997</v>
      </c>
      <c r="AE98" s="86">
        <f t="shared" si="25"/>
        <v>132.89999999999998</v>
      </c>
      <c r="AF98" s="86">
        <f t="shared" si="25"/>
        <v>96.799999999999983</v>
      </c>
      <c r="AG98" s="150"/>
      <c r="AH98" s="54">
        <f>MAX(C98:AF98)</f>
        <v>306.54000000000002</v>
      </c>
      <c r="AI98" s="55">
        <f>MIN(C98:AF98)</f>
        <v>0.53999999999999426</v>
      </c>
    </row>
    <row r="99" spans="1:37" x14ac:dyDescent="0.25">
      <c r="A99" s="170" t="s">
        <v>74</v>
      </c>
      <c r="B99" s="87">
        <v>11</v>
      </c>
      <c r="C99" s="87">
        <v>15</v>
      </c>
      <c r="D99" s="87">
        <v>19</v>
      </c>
      <c r="E99" s="87">
        <v>14</v>
      </c>
      <c r="F99" s="87">
        <v>14</v>
      </c>
      <c r="G99" s="87">
        <v>8.5</v>
      </c>
      <c r="H99" s="87">
        <v>7</v>
      </c>
      <c r="I99" s="87">
        <v>7</v>
      </c>
      <c r="J99" s="87">
        <v>27</v>
      </c>
      <c r="K99" s="87">
        <v>25</v>
      </c>
      <c r="L99" s="87">
        <v>27</v>
      </c>
      <c r="M99" s="87">
        <v>27</v>
      </c>
      <c r="N99" s="87">
        <v>17.3</v>
      </c>
      <c r="O99" s="87">
        <v>20.2</v>
      </c>
      <c r="P99" s="87">
        <v>20.2</v>
      </c>
      <c r="Q99" s="87">
        <v>21.2</v>
      </c>
      <c r="R99" s="87">
        <v>12.5</v>
      </c>
      <c r="S99" s="87">
        <v>15</v>
      </c>
      <c r="T99" s="87">
        <v>18.899999999999999</v>
      </c>
      <c r="U99" s="87">
        <v>31.2</v>
      </c>
      <c r="V99" s="87">
        <v>33.9</v>
      </c>
      <c r="W99" s="87">
        <v>36.700000000000003</v>
      </c>
      <c r="X99" s="87">
        <v>32.4</v>
      </c>
      <c r="Y99" s="87">
        <v>28.3</v>
      </c>
      <c r="Z99" s="87">
        <v>28.6</v>
      </c>
      <c r="AA99" s="87">
        <v>19.100000000000001</v>
      </c>
      <c r="AB99" s="87">
        <f>23.2+8.1</f>
        <v>31.299999999999997</v>
      </c>
      <c r="AC99" s="87">
        <v>7.5</v>
      </c>
      <c r="AD99" s="87">
        <v>16.2</v>
      </c>
      <c r="AE99" s="87">
        <f>40+20.3</f>
        <v>60.3</v>
      </c>
      <c r="AF99" s="87">
        <v>65.2</v>
      </c>
      <c r="AG99" s="151">
        <v>75</v>
      </c>
      <c r="AH99" s="54">
        <f t="shared" ref="AH99:AH105" si="26">IF(ABS(MAX(C99:AF99))&gt;ABS(MIN(C99:AF99)),MAX(C99:AF99),MIN(C99:AF99))</f>
        <v>65.2</v>
      </c>
      <c r="AI99" s="89">
        <f t="shared" ref="AI99:AI105" si="27">INDEX($C$9:$AF$9,1,MATCH(AH99,C99:AF99,0))</f>
        <v>0.95833333333333304</v>
      </c>
    </row>
    <row r="100" spans="1:37" x14ac:dyDescent="0.25">
      <c r="A100" s="163" t="s">
        <v>75</v>
      </c>
      <c r="B100" s="90">
        <v>-156</v>
      </c>
      <c r="C100" s="90">
        <v>-158</v>
      </c>
      <c r="D100" s="90">
        <v>-170</v>
      </c>
      <c r="E100" s="90">
        <v>-162</v>
      </c>
      <c r="F100" s="90">
        <v>-162</v>
      </c>
      <c r="G100" s="90">
        <v>-139</v>
      </c>
      <c r="H100" s="90">
        <v>-16</v>
      </c>
      <c r="I100" s="90">
        <v>-16</v>
      </c>
      <c r="J100" s="90">
        <v>-103</v>
      </c>
      <c r="K100" s="90">
        <v>-74</v>
      </c>
      <c r="L100" s="90"/>
      <c r="M100" s="90"/>
      <c r="N100" s="90"/>
      <c r="O100" s="90"/>
      <c r="P100" s="90"/>
      <c r="Q100" s="90"/>
      <c r="R100" s="90"/>
      <c r="S100" s="90">
        <f>-44.5-41.5</f>
        <v>-86</v>
      </c>
      <c r="T100" s="90">
        <f>-49.3-46.4</f>
        <v>-95.699999999999989</v>
      </c>
      <c r="U100" s="90">
        <f>-54.5-51.1</f>
        <v>-105.6</v>
      </c>
      <c r="V100" s="90">
        <f>-54.1-50</f>
        <v>-104.1</v>
      </c>
      <c r="W100" s="90">
        <f>-52.6-49</f>
        <v>-101.6</v>
      </c>
      <c r="X100" s="90">
        <f>-52.8-49.4</f>
        <v>-102.19999999999999</v>
      </c>
      <c r="Y100" s="90">
        <f>-47.1-43.8</f>
        <v>-90.9</v>
      </c>
      <c r="Z100" s="90">
        <f>-41.9-38.7</f>
        <v>-80.599999999999994</v>
      </c>
      <c r="AA100" s="90">
        <f>-41.7-69.3+10.6+29.6</f>
        <v>-70.800000000000011</v>
      </c>
      <c r="AB100" s="90">
        <f>-42-32</f>
        <v>-74</v>
      </c>
      <c r="AC100" s="90">
        <v>-88</v>
      </c>
      <c r="AD100" s="90">
        <v>-96</v>
      </c>
      <c r="AE100" s="90">
        <f>-61.9-58</f>
        <v>-119.9</v>
      </c>
      <c r="AF100" s="90">
        <f>-77.1-71.3</f>
        <v>-148.39999999999998</v>
      </c>
      <c r="AG100" s="151">
        <v>240</v>
      </c>
      <c r="AH100" s="54">
        <f t="shared" si="26"/>
        <v>-170</v>
      </c>
      <c r="AI100" s="89">
        <f t="shared" si="27"/>
        <v>8.3333333333333301E-2</v>
      </c>
    </row>
    <row r="101" spans="1:37" x14ac:dyDescent="0.25">
      <c r="A101" s="163" t="s">
        <v>76</v>
      </c>
      <c r="B101" s="90">
        <v>-2.5</v>
      </c>
      <c r="C101" s="90">
        <v>-8</v>
      </c>
      <c r="D101" s="90">
        <v>-8</v>
      </c>
      <c r="E101" s="90">
        <v>-8</v>
      </c>
      <c r="F101" s="90">
        <v>-8</v>
      </c>
      <c r="G101" s="90">
        <v>-7</v>
      </c>
      <c r="H101" s="90">
        <v>0</v>
      </c>
      <c r="I101" s="90">
        <v>0</v>
      </c>
      <c r="J101" s="90">
        <v>3.7</v>
      </c>
      <c r="K101" s="90">
        <v>9</v>
      </c>
      <c r="L101" s="90">
        <v>18</v>
      </c>
      <c r="M101" s="90">
        <v>18</v>
      </c>
      <c r="N101" s="90">
        <v>28.9</v>
      </c>
      <c r="O101" s="90">
        <v>5.7</v>
      </c>
      <c r="P101" s="90">
        <v>5.7</v>
      </c>
      <c r="Q101" s="90">
        <v>5.8</v>
      </c>
      <c r="R101" s="90">
        <v>17.399999999999999</v>
      </c>
      <c r="S101" s="90">
        <v>5.5</v>
      </c>
      <c r="T101" s="90">
        <v>3.9</v>
      </c>
      <c r="U101" s="90">
        <v>4.3</v>
      </c>
      <c r="V101" s="90">
        <v>4</v>
      </c>
      <c r="W101" s="90">
        <v>4.8</v>
      </c>
      <c r="X101" s="90">
        <v>5.6</v>
      </c>
      <c r="Y101" s="90">
        <v>8</v>
      </c>
      <c r="Z101" s="90">
        <v>6</v>
      </c>
      <c r="AA101" s="90">
        <v>34.6</v>
      </c>
      <c r="AB101" s="90">
        <v>39.799999999999997</v>
      </c>
      <c r="AC101" s="90">
        <v>41</v>
      </c>
      <c r="AD101" s="90">
        <v>18.399999999999999</v>
      </c>
      <c r="AE101" s="90">
        <v>4.0999999999999996</v>
      </c>
      <c r="AF101" s="90">
        <v>-8.1</v>
      </c>
      <c r="AG101" s="151">
        <v>60</v>
      </c>
      <c r="AH101" s="54">
        <f t="shared" si="26"/>
        <v>41</v>
      </c>
      <c r="AI101" s="89">
        <f t="shared" si="27"/>
        <v>0.85416666666666663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31</v>
      </c>
      <c r="M102" s="91">
        <v>31</v>
      </c>
      <c r="N102" s="91">
        <v>64.8</v>
      </c>
      <c r="O102" s="91">
        <v>72.599999999999994</v>
      </c>
      <c r="P102" s="91">
        <v>72.599999999999994</v>
      </c>
      <c r="Q102" s="91">
        <v>62.3</v>
      </c>
      <c r="R102" s="91">
        <v>63.6</v>
      </c>
      <c r="S102" s="91">
        <v>80.2</v>
      </c>
      <c r="T102" s="91">
        <v>68.400000000000006</v>
      </c>
      <c r="U102" s="91">
        <v>44.5</v>
      </c>
      <c r="V102" s="91">
        <v>38.1</v>
      </c>
      <c r="W102" s="91">
        <v>22.9</v>
      </c>
      <c r="X102" s="91">
        <v>23.7</v>
      </c>
      <c r="Y102" s="91">
        <v>37.799999999999997</v>
      </c>
      <c r="Z102" s="91">
        <v>54.7</v>
      </c>
      <c r="AA102" s="91">
        <v>53</v>
      </c>
      <c r="AB102" s="91">
        <v>50.3</v>
      </c>
      <c r="AC102" s="91">
        <v>44.6</v>
      </c>
      <c r="AD102" s="91">
        <v>39.700000000000003</v>
      </c>
      <c r="AE102" s="91">
        <v>0</v>
      </c>
      <c r="AF102" s="91">
        <v>0</v>
      </c>
      <c r="AG102" s="152">
        <v>120</v>
      </c>
      <c r="AH102" s="54">
        <f t="shared" si="26"/>
        <v>80.2</v>
      </c>
      <c r="AI102" s="89">
        <f t="shared" si="27"/>
        <v>0.58333333333333304</v>
      </c>
    </row>
    <row r="103" spans="1:37" x14ac:dyDescent="0.25">
      <c r="A103" s="164" t="s">
        <v>78</v>
      </c>
      <c r="B103" s="91">
        <v>37</v>
      </c>
      <c r="C103" s="91">
        <v>39</v>
      </c>
      <c r="D103" s="91">
        <v>16</v>
      </c>
      <c r="E103" s="91">
        <v>24</v>
      </c>
      <c r="F103" s="91">
        <v>24</v>
      </c>
      <c r="G103" s="91">
        <v>45</v>
      </c>
      <c r="H103" s="91">
        <v>60</v>
      </c>
      <c r="I103" s="91">
        <v>60</v>
      </c>
      <c r="J103" s="91">
        <v>54</v>
      </c>
      <c r="K103" s="91">
        <v>73</v>
      </c>
      <c r="L103" s="91">
        <v>34</v>
      </c>
      <c r="M103" s="91">
        <v>34</v>
      </c>
      <c r="N103" s="91">
        <v>60.7</v>
      </c>
      <c r="O103" s="91">
        <v>78.2</v>
      </c>
      <c r="P103" s="91">
        <v>78.2</v>
      </c>
      <c r="Q103" s="91">
        <v>66.900000000000006</v>
      </c>
      <c r="R103" s="91">
        <v>70.900000000000006</v>
      </c>
      <c r="S103" s="91">
        <v>80</v>
      </c>
      <c r="T103" s="91">
        <v>68.7</v>
      </c>
      <c r="U103" s="91">
        <v>50.8</v>
      </c>
      <c r="V103" s="91">
        <v>40</v>
      </c>
      <c r="W103" s="91">
        <v>19</v>
      </c>
      <c r="X103" s="91">
        <v>21.6</v>
      </c>
      <c r="Y103" s="91">
        <v>31.8</v>
      </c>
      <c r="Z103" s="91">
        <v>45.3</v>
      </c>
      <c r="AA103" s="91">
        <v>47.2</v>
      </c>
      <c r="AB103" s="91">
        <v>44.6</v>
      </c>
      <c r="AC103" s="91">
        <v>42.8</v>
      </c>
      <c r="AD103" s="91">
        <v>44.8</v>
      </c>
      <c r="AE103" s="91">
        <v>38.299999999999997</v>
      </c>
      <c r="AF103" s="91">
        <v>27.1</v>
      </c>
      <c r="AG103" s="152"/>
      <c r="AH103" s="54">
        <f t="shared" si="26"/>
        <v>80</v>
      </c>
      <c r="AI103" s="89">
        <f t="shared" si="27"/>
        <v>0.58333333333333304</v>
      </c>
    </row>
    <row r="104" spans="1:37" x14ac:dyDescent="0.25">
      <c r="A104" s="164" t="s">
        <v>105</v>
      </c>
      <c r="B104" s="91">
        <v>52</v>
      </c>
      <c r="C104" s="91">
        <v>40</v>
      </c>
      <c r="D104" s="91">
        <v>20</v>
      </c>
      <c r="E104" s="91">
        <v>32</v>
      </c>
      <c r="F104" s="91">
        <v>32</v>
      </c>
      <c r="G104" s="91">
        <v>60</v>
      </c>
      <c r="H104" s="91">
        <v>68</v>
      </c>
      <c r="I104" s="91">
        <v>68</v>
      </c>
      <c r="J104" s="91">
        <v>7</v>
      </c>
      <c r="K104" s="91">
        <v>14</v>
      </c>
      <c r="L104" s="91">
        <v>-3</v>
      </c>
      <c r="M104" s="91">
        <v>-3</v>
      </c>
      <c r="N104" s="91">
        <v>-3</v>
      </c>
      <c r="O104" s="91">
        <v>0</v>
      </c>
      <c r="P104" s="91">
        <v>0</v>
      </c>
      <c r="Q104" s="91">
        <v>29.5</v>
      </c>
      <c r="R104" s="91">
        <v>71.3</v>
      </c>
      <c r="S104" s="91">
        <v>59</v>
      </c>
      <c r="T104" s="91">
        <v>43.2</v>
      </c>
      <c r="U104" s="91">
        <v>-3.2</v>
      </c>
      <c r="V104" s="91">
        <v>-6.5</v>
      </c>
      <c r="W104" s="91">
        <v>-23</v>
      </c>
      <c r="X104" s="91">
        <v>-15.2</v>
      </c>
      <c r="Y104" s="91">
        <v>5</v>
      </c>
      <c r="Z104" s="91">
        <v>6.3</v>
      </c>
      <c r="AA104" s="91">
        <v>40.799999999999997</v>
      </c>
      <c r="AB104" s="91">
        <v>81.2</v>
      </c>
      <c r="AC104" s="91">
        <v>83.2</v>
      </c>
      <c r="AD104" s="91">
        <v>72.5</v>
      </c>
      <c r="AE104" s="91">
        <v>24.5</v>
      </c>
      <c r="AF104" s="91">
        <v>22</v>
      </c>
      <c r="AG104" s="153"/>
      <c r="AH104" s="54">
        <f t="shared" si="26"/>
        <v>83.2</v>
      </c>
      <c r="AI104" s="89">
        <f t="shared" si="27"/>
        <v>0.85416666666666663</v>
      </c>
    </row>
    <row r="105" spans="1:37" ht="15.75" thickBot="1" x14ac:dyDescent="0.3">
      <c r="A105" s="171" t="s">
        <v>106</v>
      </c>
      <c r="B105" s="82">
        <v>97</v>
      </c>
      <c r="C105" s="82">
        <v>102</v>
      </c>
      <c r="D105" s="82">
        <v>117</v>
      </c>
      <c r="E105" s="82">
        <v>122</v>
      </c>
      <c r="F105" s="82">
        <v>122</v>
      </c>
      <c r="G105" s="82">
        <v>130</v>
      </c>
      <c r="H105" s="82">
        <v>124</v>
      </c>
      <c r="I105" s="82">
        <v>124</v>
      </c>
      <c r="J105" s="82">
        <v>108</v>
      </c>
      <c r="K105" s="82">
        <v>113</v>
      </c>
      <c r="L105" s="82">
        <v>115</v>
      </c>
      <c r="M105" s="82">
        <v>115</v>
      </c>
      <c r="N105" s="82">
        <v>103.8</v>
      </c>
      <c r="O105" s="82">
        <v>99.2</v>
      </c>
      <c r="P105" s="82">
        <v>99.2</v>
      </c>
      <c r="Q105" s="82">
        <v>92.9</v>
      </c>
      <c r="R105" s="82">
        <v>81.900000000000006</v>
      </c>
      <c r="S105" s="82">
        <v>79</v>
      </c>
      <c r="T105" s="82">
        <v>78.900000000000006</v>
      </c>
      <c r="U105" s="82">
        <v>80.2</v>
      </c>
      <c r="V105" s="82">
        <v>94.1</v>
      </c>
      <c r="W105" s="82">
        <v>94.8</v>
      </c>
      <c r="X105" s="82">
        <v>80.900000000000006</v>
      </c>
      <c r="Y105" s="82">
        <v>79.7</v>
      </c>
      <c r="Z105" s="82">
        <v>72.3</v>
      </c>
      <c r="AA105" s="82">
        <v>71.099999999999994</v>
      </c>
      <c r="AB105" s="82">
        <v>52.5</v>
      </c>
      <c r="AC105" s="82">
        <v>51.1</v>
      </c>
      <c r="AD105" s="82">
        <v>54.2</v>
      </c>
      <c r="AE105" s="82">
        <v>74.099999999999994</v>
      </c>
      <c r="AF105" s="82">
        <v>74.599999999999994</v>
      </c>
      <c r="AG105" s="153"/>
      <c r="AH105" s="54">
        <f t="shared" si="26"/>
        <v>130</v>
      </c>
      <c r="AI105" s="89">
        <f t="shared" si="27"/>
        <v>0.20833333333333301</v>
      </c>
    </row>
    <row r="106" spans="1:37" ht="15.75" thickBot="1" x14ac:dyDescent="0.3">
      <c r="A106" s="92" t="s">
        <v>79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154"/>
      <c r="AH106" s="94"/>
      <c r="AI106" s="55"/>
      <c r="AK106" s="56"/>
    </row>
    <row r="107" spans="1:37" x14ac:dyDescent="0.25">
      <c r="A107" s="162" t="s">
        <v>133</v>
      </c>
      <c r="B107" s="95"/>
      <c r="C107" s="53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6">
        <v>9.94</v>
      </c>
      <c r="AH107" s="54"/>
      <c r="AI107" s="55"/>
      <c r="AK107" s="56"/>
    </row>
    <row r="108" spans="1:37" x14ac:dyDescent="0.25">
      <c r="A108" s="163" t="s">
        <v>134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/>
      <c r="AH108" s="54"/>
      <c r="AI108" s="55"/>
      <c r="AK108" s="56"/>
    </row>
    <row r="109" spans="1:37" x14ac:dyDescent="0.25">
      <c r="A109" s="163" t="s">
        <v>135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136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137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138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139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140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141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142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143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144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145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146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147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148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149</v>
      </c>
      <c r="B123" s="97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9">
        <v>9.9</v>
      </c>
      <c r="AH123" s="54"/>
      <c r="AI123" s="55"/>
      <c r="AK123" s="56"/>
    </row>
    <row r="124" spans="1:37" x14ac:dyDescent="0.25">
      <c r="A124" s="164" t="s">
        <v>80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100">
        <v>9.6579999999999995</v>
      </c>
      <c r="AH124" s="54"/>
      <c r="AI124" s="55"/>
      <c r="AK124" s="56"/>
    </row>
    <row r="125" spans="1:37" x14ac:dyDescent="0.25">
      <c r="A125" s="164" t="s">
        <v>150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</v>
      </c>
      <c r="AH125" s="54"/>
      <c r="AI125" s="55"/>
      <c r="AK125" s="56"/>
    </row>
    <row r="126" spans="1:37" x14ac:dyDescent="0.25">
      <c r="A126" s="164" t="s">
        <v>151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9.51</v>
      </c>
      <c r="AH126" s="54"/>
      <c r="AI126" s="55"/>
      <c r="AK126" s="56"/>
    </row>
    <row r="127" spans="1:37" x14ac:dyDescent="0.25">
      <c r="A127" s="164" t="s">
        <v>152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9.4</v>
      </c>
      <c r="AH127" s="54"/>
      <c r="AI127" s="55"/>
      <c r="AK127" s="56"/>
    </row>
    <row r="128" spans="1:37" x14ac:dyDescent="0.25">
      <c r="A128" s="164" t="s">
        <v>153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8.8000000000000007</v>
      </c>
      <c r="AH128" s="54"/>
      <c r="AI128" s="55"/>
      <c r="AK128" s="56"/>
    </row>
    <row r="129" spans="1:37" x14ac:dyDescent="0.25">
      <c r="A129" s="164" t="s">
        <v>154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8.5</v>
      </c>
      <c r="AH129" s="54"/>
      <c r="AI129" s="55"/>
      <c r="AK129" s="56"/>
    </row>
    <row r="130" spans="1:37" x14ac:dyDescent="0.25">
      <c r="A130" s="164" t="s">
        <v>155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156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8.4</v>
      </c>
      <c r="AH131" s="54"/>
      <c r="AI131" s="55"/>
      <c r="AK131" s="56"/>
    </row>
    <row r="132" spans="1:37" ht="13.5" customHeight="1" x14ac:dyDescent="0.25">
      <c r="A132" s="164" t="s">
        <v>157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</v>
      </c>
      <c r="AH132" s="54"/>
      <c r="AI132" s="55"/>
      <c r="AK132" s="56"/>
    </row>
    <row r="133" spans="1:37" x14ac:dyDescent="0.25">
      <c r="A133" s="164" t="s">
        <v>158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159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160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7.8</v>
      </c>
      <c r="AH135" s="54"/>
      <c r="AI135" s="55"/>
      <c r="AK135" s="56"/>
    </row>
    <row r="136" spans="1:37" x14ac:dyDescent="0.25">
      <c r="A136" s="164" t="s">
        <v>161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7.6</v>
      </c>
      <c r="AH136" s="54"/>
      <c r="AI136" s="55"/>
      <c r="AK136" s="56"/>
    </row>
    <row r="137" spans="1:37" x14ac:dyDescent="0.25">
      <c r="A137" s="164" t="s">
        <v>162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7.5</v>
      </c>
      <c r="AH137" s="54"/>
      <c r="AI137" s="55"/>
      <c r="AK137" s="56"/>
    </row>
    <row r="138" spans="1:37" x14ac:dyDescent="0.25">
      <c r="A138" s="164" t="s">
        <v>163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164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</v>
      </c>
      <c r="AH139" s="54"/>
      <c r="AI139" s="55"/>
      <c r="AK139" s="56"/>
    </row>
    <row r="140" spans="1:37" x14ac:dyDescent="0.25">
      <c r="A140" s="164" t="s">
        <v>165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166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167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168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6.6</v>
      </c>
      <c r="AH143" s="54"/>
      <c r="AI143" s="55"/>
      <c r="AK143" s="56"/>
    </row>
    <row r="144" spans="1:37" x14ac:dyDescent="0.25">
      <c r="A144" s="164" t="s">
        <v>169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170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6.4</v>
      </c>
      <c r="AH145" s="54"/>
      <c r="AI145" s="55"/>
      <c r="AK145" s="56"/>
    </row>
    <row r="146" spans="1:37" x14ac:dyDescent="0.25">
      <c r="A146" s="164" t="s">
        <v>171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</v>
      </c>
      <c r="AH146" s="54"/>
      <c r="AI146" s="55"/>
      <c r="AK146" s="56"/>
    </row>
    <row r="147" spans="1:37" x14ac:dyDescent="0.25">
      <c r="A147" s="164" t="s">
        <v>172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5.0999999999999996</v>
      </c>
      <c r="AH147" s="54"/>
      <c r="AI147" s="55"/>
      <c r="AK147" s="56"/>
    </row>
    <row r="148" spans="1:37" x14ac:dyDescent="0.25">
      <c r="A148" s="164" t="s">
        <v>173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</v>
      </c>
      <c r="AH148" s="54"/>
      <c r="AI148" s="55"/>
      <c r="AK148" s="56"/>
    </row>
    <row r="149" spans="1:37" x14ac:dyDescent="0.25">
      <c r="A149" s="163" t="s">
        <v>174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9">
        <v>5</v>
      </c>
      <c r="AH149" s="54"/>
      <c r="AI149" s="55"/>
      <c r="AK149" s="56"/>
    </row>
    <row r="150" spans="1:37" x14ac:dyDescent="0.25">
      <c r="A150" s="164" t="s">
        <v>175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100">
        <v>5</v>
      </c>
      <c r="AH150" s="54"/>
      <c r="AI150" s="55"/>
      <c r="AK150" s="56"/>
    </row>
    <row r="151" spans="1:37" x14ac:dyDescent="0.25">
      <c r="A151" s="164" t="s">
        <v>176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177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178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179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180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4.9930000000000003</v>
      </c>
      <c r="AH155" s="54"/>
      <c r="AI155" s="55"/>
      <c r="AK155" s="56"/>
    </row>
    <row r="156" spans="1:37" x14ac:dyDescent="0.25">
      <c r="A156" s="164" t="s">
        <v>181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4.9800000000000004</v>
      </c>
      <c r="AH156" s="54"/>
      <c r="AI156" s="55"/>
      <c r="AK156" s="56"/>
    </row>
    <row r="157" spans="1:37" x14ac:dyDescent="0.25">
      <c r="A157" s="164" t="s">
        <v>182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4.95</v>
      </c>
      <c r="AH157" s="54"/>
      <c r="AI157" s="55"/>
      <c r="AK157" s="56"/>
    </row>
    <row r="158" spans="1:37" x14ac:dyDescent="0.25">
      <c r="A158" s="164" t="s">
        <v>81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183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4.8</v>
      </c>
      <c r="AH159" s="54"/>
      <c r="AI159" s="55"/>
      <c r="AK159" s="56"/>
    </row>
    <row r="160" spans="1:37" x14ac:dyDescent="0.25">
      <c r="A160" s="164" t="s">
        <v>184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185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186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4.5</v>
      </c>
      <c r="AH162" s="54"/>
      <c r="AI162" s="55"/>
      <c r="AK162" s="56"/>
    </row>
    <row r="163" spans="1:37" x14ac:dyDescent="0.25">
      <c r="A163" s="164" t="s">
        <v>187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188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4.4550000000000001</v>
      </c>
      <c r="AH164" s="54"/>
      <c r="AI164" s="55"/>
      <c r="AK164" s="56"/>
    </row>
    <row r="165" spans="1:37" x14ac:dyDescent="0.25">
      <c r="A165" s="164" t="s">
        <v>189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4.41</v>
      </c>
      <c r="AH165" s="54"/>
      <c r="AI165" s="55"/>
      <c r="AK165" s="56"/>
    </row>
    <row r="166" spans="1:37" x14ac:dyDescent="0.25">
      <c r="A166" s="164" t="s">
        <v>190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4.4000000000000004</v>
      </c>
      <c r="AH166" s="54"/>
      <c r="AI166" s="55"/>
      <c r="AK166" s="56"/>
    </row>
    <row r="167" spans="1:37" x14ac:dyDescent="0.25">
      <c r="A167" s="164" t="s">
        <v>191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4.3600000000000003</v>
      </c>
      <c r="AH167" s="54"/>
      <c r="AI167" s="55"/>
      <c r="AK167" s="56"/>
    </row>
    <row r="168" spans="1:37" x14ac:dyDescent="0.25">
      <c r="A168" s="164" t="s">
        <v>192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4.2</v>
      </c>
      <c r="AH168" s="54"/>
      <c r="AI168" s="55"/>
      <c r="AK168" s="56"/>
    </row>
    <row r="169" spans="1:37" x14ac:dyDescent="0.25">
      <c r="A169" s="164" t="s">
        <v>193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</v>
      </c>
      <c r="AH169" s="54"/>
      <c r="AI169" s="55"/>
      <c r="AK169" s="56"/>
    </row>
    <row r="170" spans="1:37" x14ac:dyDescent="0.25">
      <c r="A170" s="164" t="s">
        <v>194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195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196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197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198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199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200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201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3.75</v>
      </c>
      <c r="AH177" s="54"/>
      <c r="AI177" s="55"/>
      <c r="AK177" s="56"/>
    </row>
    <row r="178" spans="1:37" x14ac:dyDescent="0.25">
      <c r="A178" s="164" t="s">
        <v>202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3.52</v>
      </c>
      <c r="AH178" s="54"/>
      <c r="AI178" s="55"/>
      <c r="AK178" s="56"/>
    </row>
    <row r="179" spans="1:37" x14ac:dyDescent="0.25">
      <c r="A179" s="164" t="s">
        <v>203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3.33</v>
      </c>
      <c r="AH179" s="54"/>
      <c r="AI179" s="55"/>
      <c r="AK179" s="56"/>
    </row>
    <row r="180" spans="1:37" x14ac:dyDescent="0.25">
      <c r="A180" s="164" t="s">
        <v>204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3.2</v>
      </c>
      <c r="AH180" s="54"/>
      <c r="AI180" s="55"/>
      <c r="AK180" s="56"/>
    </row>
    <row r="181" spans="1:37" x14ac:dyDescent="0.25">
      <c r="A181" s="164" t="s">
        <v>205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</v>
      </c>
      <c r="AH181" s="54"/>
      <c r="AI181" s="55"/>
      <c r="AK181" s="56"/>
    </row>
    <row r="182" spans="1:37" x14ac:dyDescent="0.25">
      <c r="A182" s="164" t="s">
        <v>206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207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208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209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210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211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212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213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2.83</v>
      </c>
      <c r="AH189" s="54"/>
      <c r="AI189" s="55"/>
      <c r="AK189" s="56"/>
    </row>
    <row r="190" spans="1:37" x14ac:dyDescent="0.25">
      <c r="A190" s="164" t="s">
        <v>214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2.5</v>
      </c>
      <c r="AH190" s="54"/>
      <c r="AI190" s="55"/>
      <c r="AK190" s="56"/>
    </row>
    <row r="191" spans="1:37" x14ac:dyDescent="0.25">
      <c r="A191" s="164" t="s">
        <v>215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216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2.4</v>
      </c>
      <c r="AH192" s="54"/>
      <c r="AI192" s="55"/>
      <c r="AK192" s="56"/>
    </row>
    <row r="193" spans="1:37" x14ac:dyDescent="0.25">
      <c r="A193" s="164" t="s">
        <v>217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218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2.2000000000000002</v>
      </c>
      <c r="AH194" s="54"/>
      <c r="AI194" s="55"/>
      <c r="AK194" s="56"/>
    </row>
    <row r="195" spans="1:37" x14ac:dyDescent="0.25">
      <c r="A195" s="164" t="s">
        <v>219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</v>
      </c>
      <c r="AH195" s="54"/>
      <c r="AI195" s="55"/>
      <c r="AK195" s="56"/>
    </row>
    <row r="196" spans="1:37" x14ac:dyDescent="0.25">
      <c r="A196" s="164" t="s">
        <v>220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221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222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1.8</v>
      </c>
      <c r="AH198" s="54"/>
      <c r="AI198" s="55"/>
      <c r="AK198" s="56"/>
    </row>
    <row r="199" spans="1:37" x14ac:dyDescent="0.25">
      <c r="A199" s="164" t="s">
        <v>223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224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1.65</v>
      </c>
      <c r="AH200" s="54"/>
      <c r="AI200" s="55"/>
      <c r="AK200" s="56"/>
    </row>
    <row r="201" spans="1:37" x14ac:dyDescent="0.25">
      <c r="A201" s="164" t="s">
        <v>225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1.5</v>
      </c>
      <c r="AH201" s="54"/>
      <c r="AI201" s="55"/>
      <c r="AK201" s="56"/>
    </row>
    <row r="202" spans="1:37" x14ac:dyDescent="0.25">
      <c r="A202" s="164" t="s">
        <v>226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0.998</v>
      </c>
      <c r="AH202" s="54"/>
      <c r="AI202" s="55"/>
      <c r="AK202" s="56"/>
    </row>
    <row r="203" spans="1:37" x14ac:dyDescent="0.25">
      <c r="A203" s="164" t="s">
        <v>227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0.997</v>
      </c>
      <c r="AH203" s="54"/>
      <c r="AI203" s="55"/>
      <c r="AK203" s="56"/>
    </row>
    <row r="204" spans="1:37" x14ac:dyDescent="0.25">
      <c r="A204" s="164" t="s">
        <v>228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229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0.996</v>
      </c>
      <c r="AH205" s="54"/>
      <c r="AI205" s="55"/>
      <c r="AK205" s="56"/>
    </row>
    <row r="206" spans="1:37" x14ac:dyDescent="0.25">
      <c r="A206" s="164" t="s">
        <v>230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231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232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0.995</v>
      </c>
      <c r="AH208" s="54"/>
      <c r="AI208" s="55"/>
      <c r="AK208" s="56"/>
    </row>
    <row r="209" spans="1:37" x14ac:dyDescent="0.25">
      <c r="A209" s="164" t="s">
        <v>233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0.99299999999999999</v>
      </c>
      <c r="AH209" s="54"/>
      <c r="AI209" s="55"/>
      <c r="AK209" s="56"/>
    </row>
    <row r="210" spans="1:37" x14ac:dyDescent="0.25">
      <c r="A210" s="164" t="s">
        <v>234</v>
      </c>
      <c r="B210" s="97"/>
      <c r="C210" s="53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</v>
      </c>
      <c r="AH210" s="54"/>
      <c r="AI210" s="55"/>
      <c r="AK210" s="56"/>
    </row>
    <row r="211" spans="1:37" ht="15.75" thickBot="1" x14ac:dyDescent="0.3">
      <c r="A211" s="164" t="s">
        <v>235</v>
      </c>
      <c r="B211" s="102"/>
      <c r="C211" s="166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0">
        <v>0.97899999999999998</v>
      </c>
      <c r="AH211" s="54"/>
      <c r="AI211" s="55"/>
      <c r="AK211" s="56"/>
    </row>
    <row r="212" spans="1:37" ht="15.75" thickBot="1" x14ac:dyDescent="0.3">
      <c r="A212" s="165" t="s">
        <v>82</v>
      </c>
      <c r="B212" s="167">
        <f>SUM(B107:B211)</f>
        <v>0</v>
      </c>
      <c r="C212" s="103">
        <f t="shared" ref="C212:AG212" si="28">SUM(C107:C211)</f>
        <v>0</v>
      </c>
      <c r="D212" s="103">
        <f t="shared" si="28"/>
        <v>0</v>
      </c>
      <c r="E212" s="103">
        <f t="shared" si="28"/>
        <v>0</v>
      </c>
      <c r="F212" s="103">
        <f t="shared" si="28"/>
        <v>0</v>
      </c>
      <c r="G212" s="103">
        <f t="shared" si="28"/>
        <v>0</v>
      </c>
      <c r="H212" s="103">
        <f t="shared" si="28"/>
        <v>0</v>
      </c>
      <c r="I212" s="103">
        <f t="shared" si="28"/>
        <v>0</v>
      </c>
      <c r="J212" s="103">
        <f t="shared" si="28"/>
        <v>0</v>
      </c>
      <c r="K212" s="103">
        <f t="shared" si="28"/>
        <v>0</v>
      </c>
      <c r="L212" s="103">
        <f t="shared" si="28"/>
        <v>0</v>
      </c>
      <c r="M212" s="103">
        <f t="shared" si="28"/>
        <v>0</v>
      </c>
      <c r="N212" s="103">
        <f t="shared" si="28"/>
        <v>0</v>
      </c>
      <c r="O212" s="103">
        <f t="shared" si="28"/>
        <v>0</v>
      </c>
      <c r="P212" s="103">
        <f t="shared" si="28"/>
        <v>0</v>
      </c>
      <c r="Q212" s="103">
        <f t="shared" si="28"/>
        <v>0</v>
      </c>
      <c r="R212" s="103">
        <f t="shared" si="28"/>
        <v>0</v>
      </c>
      <c r="S212" s="103">
        <f t="shared" si="28"/>
        <v>0</v>
      </c>
      <c r="T212" s="103">
        <f t="shared" si="28"/>
        <v>0</v>
      </c>
      <c r="U212" s="103">
        <f t="shared" si="28"/>
        <v>0</v>
      </c>
      <c r="V212" s="103">
        <f t="shared" si="28"/>
        <v>0</v>
      </c>
      <c r="W212" s="103">
        <f t="shared" si="28"/>
        <v>0</v>
      </c>
      <c r="X212" s="103">
        <f t="shared" si="28"/>
        <v>0</v>
      </c>
      <c r="Y212" s="103">
        <f t="shared" si="28"/>
        <v>0</v>
      </c>
      <c r="Z212" s="103">
        <f t="shared" si="28"/>
        <v>0</v>
      </c>
      <c r="AA212" s="103">
        <f t="shared" si="28"/>
        <v>0</v>
      </c>
      <c r="AB212" s="103">
        <f t="shared" si="28"/>
        <v>0</v>
      </c>
      <c r="AC212" s="103">
        <f t="shared" si="28"/>
        <v>0</v>
      </c>
      <c r="AD212" s="103">
        <f t="shared" si="28"/>
        <v>0</v>
      </c>
      <c r="AE212" s="103">
        <f t="shared" si="28"/>
        <v>0</v>
      </c>
      <c r="AF212" s="168">
        <f t="shared" si="28"/>
        <v>0</v>
      </c>
      <c r="AG212" s="169">
        <f t="shared" si="28"/>
        <v>412.72299999999984</v>
      </c>
      <c r="AH212" s="54"/>
      <c r="AI212" s="55"/>
      <c r="AK212" s="56"/>
    </row>
    <row r="213" spans="1:37" ht="15.75" thickBot="1" x14ac:dyDescent="0.3">
      <c r="A213" s="28" t="s">
        <v>35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149"/>
      <c r="AH213" s="54"/>
      <c r="AI213" s="55"/>
      <c r="AK213" s="56"/>
    </row>
    <row r="214" spans="1:37" x14ac:dyDescent="0.25">
      <c r="A214" s="170" t="s">
        <v>83</v>
      </c>
      <c r="B214" s="101">
        <f t="shared" ref="B214:B219" si="29">AF214</f>
        <v>0</v>
      </c>
      <c r="C214" s="101">
        <v>0.3</v>
      </c>
      <c r="D214" s="101">
        <f t="shared" ref="D214:P219" si="30">C214</f>
        <v>0.3</v>
      </c>
      <c r="E214" s="101">
        <f t="shared" si="30"/>
        <v>0.3</v>
      </c>
      <c r="F214" s="101">
        <f t="shared" si="30"/>
        <v>0.3</v>
      </c>
      <c r="G214" s="101">
        <f t="shared" si="30"/>
        <v>0.3</v>
      </c>
      <c r="H214" s="101">
        <f t="shared" si="30"/>
        <v>0.3</v>
      </c>
      <c r="I214" s="101">
        <f t="shared" si="30"/>
        <v>0.3</v>
      </c>
      <c r="J214" s="101">
        <f t="shared" si="30"/>
        <v>0.3</v>
      </c>
      <c r="K214" s="101">
        <f t="shared" si="30"/>
        <v>0.3</v>
      </c>
      <c r="L214" s="101">
        <f t="shared" si="30"/>
        <v>0.3</v>
      </c>
      <c r="M214" s="101">
        <f t="shared" si="30"/>
        <v>0.3</v>
      </c>
      <c r="N214" s="101">
        <f t="shared" si="30"/>
        <v>0.3</v>
      </c>
      <c r="O214" s="101">
        <f t="shared" si="30"/>
        <v>0.3</v>
      </c>
      <c r="P214" s="101">
        <f t="shared" si="30"/>
        <v>0.3</v>
      </c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55">
        <v>2.4</v>
      </c>
      <c r="AH214" s="54"/>
      <c r="AI214" s="55"/>
      <c r="AK214" s="56"/>
    </row>
    <row r="215" spans="1:37" x14ac:dyDescent="0.25">
      <c r="A215" s="163" t="s">
        <v>84</v>
      </c>
      <c r="B215" s="97">
        <f t="shared" si="29"/>
        <v>0</v>
      </c>
      <c r="C215" s="97">
        <v>0.4</v>
      </c>
      <c r="D215" s="97">
        <f t="shared" si="30"/>
        <v>0.4</v>
      </c>
      <c r="E215" s="97">
        <f t="shared" si="30"/>
        <v>0.4</v>
      </c>
      <c r="F215" s="97">
        <f t="shared" si="30"/>
        <v>0.4</v>
      </c>
      <c r="G215" s="97">
        <f t="shared" si="30"/>
        <v>0.4</v>
      </c>
      <c r="H215" s="97">
        <f t="shared" si="30"/>
        <v>0.4</v>
      </c>
      <c r="I215" s="97">
        <f t="shared" si="30"/>
        <v>0.4</v>
      </c>
      <c r="J215" s="97">
        <f t="shared" si="30"/>
        <v>0.4</v>
      </c>
      <c r="K215" s="97">
        <f t="shared" si="30"/>
        <v>0.4</v>
      </c>
      <c r="L215" s="97">
        <f t="shared" si="30"/>
        <v>0.4</v>
      </c>
      <c r="M215" s="97">
        <f t="shared" si="30"/>
        <v>0.4</v>
      </c>
      <c r="N215" s="97">
        <f t="shared" si="30"/>
        <v>0.4</v>
      </c>
      <c r="O215" s="97">
        <f t="shared" si="30"/>
        <v>0.4</v>
      </c>
      <c r="P215" s="97">
        <f t="shared" si="30"/>
        <v>0.4</v>
      </c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56">
        <v>2</v>
      </c>
      <c r="AH215" s="54"/>
      <c r="AI215" s="55"/>
      <c r="AK215" s="56"/>
    </row>
    <row r="216" spans="1:37" x14ac:dyDescent="0.25">
      <c r="A216" s="163" t="s">
        <v>85</v>
      </c>
      <c r="B216" s="97">
        <f t="shared" si="29"/>
        <v>0</v>
      </c>
      <c r="C216" s="97">
        <v>1.5</v>
      </c>
      <c r="D216" s="97">
        <f t="shared" si="30"/>
        <v>1.5</v>
      </c>
      <c r="E216" s="97">
        <f t="shared" si="30"/>
        <v>1.5</v>
      </c>
      <c r="F216" s="97">
        <f t="shared" si="30"/>
        <v>1.5</v>
      </c>
      <c r="G216" s="97">
        <f t="shared" si="30"/>
        <v>1.5</v>
      </c>
      <c r="H216" s="97">
        <f t="shared" si="30"/>
        <v>1.5</v>
      </c>
      <c r="I216" s="97">
        <f t="shared" si="30"/>
        <v>1.5</v>
      </c>
      <c r="J216" s="97">
        <f t="shared" si="30"/>
        <v>1.5</v>
      </c>
      <c r="K216" s="97">
        <f t="shared" si="30"/>
        <v>1.5</v>
      </c>
      <c r="L216" s="97">
        <f t="shared" si="30"/>
        <v>1.5</v>
      </c>
      <c r="M216" s="97">
        <f t="shared" si="30"/>
        <v>1.5</v>
      </c>
      <c r="N216" s="97">
        <f t="shared" si="30"/>
        <v>1.5</v>
      </c>
      <c r="O216" s="97">
        <f t="shared" si="30"/>
        <v>1.5</v>
      </c>
      <c r="P216" s="97">
        <f t="shared" si="30"/>
        <v>1.5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1.5</v>
      </c>
      <c r="AH216" s="54"/>
      <c r="AI216" s="55"/>
      <c r="AK216" s="56"/>
    </row>
    <row r="217" spans="1:37" x14ac:dyDescent="0.25">
      <c r="A217" s="163" t="s">
        <v>86</v>
      </c>
      <c r="B217" s="97">
        <f t="shared" si="29"/>
        <v>0</v>
      </c>
      <c r="C217" s="97">
        <v>0.3</v>
      </c>
      <c r="D217" s="97">
        <f t="shared" si="30"/>
        <v>0.3</v>
      </c>
      <c r="E217" s="97">
        <f t="shared" si="30"/>
        <v>0.3</v>
      </c>
      <c r="F217" s="97">
        <f t="shared" si="30"/>
        <v>0.3</v>
      </c>
      <c r="G217" s="97">
        <f t="shared" si="30"/>
        <v>0.3</v>
      </c>
      <c r="H217" s="97">
        <f t="shared" si="30"/>
        <v>0.3</v>
      </c>
      <c r="I217" s="97">
        <f t="shared" si="30"/>
        <v>0.3</v>
      </c>
      <c r="J217" s="97">
        <f t="shared" si="30"/>
        <v>0.3</v>
      </c>
      <c r="K217" s="97">
        <f t="shared" si="30"/>
        <v>0.3</v>
      </c>
      <c r="L217" s="97">
        <f t="shared" si="30"/>
        <v>0.3</v>
      </c>
      <c r="M217" s="97">
        <f t="shared" si="30"/>
        <v>0.3</v>
      </c>
      <c r="N217" s="97">
        <f t="shared" si="30"/>
        <v>0.3</v>
      </c>
      <c r="O217" s="97">
        <f t="shared" si="30"/>
        <v>0.3</v>
      </c>
      <c r="P217" s="97">
        <f t="shared" si="30"/>
        <v>0.3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</v>
      </c>
      <c r="AH217" s="54"/>
      <c r="AI217" s="55"/>
      <c r="AK217" s="56"/>
    </row>
    <row r="218" spans="1:37" x14ac:dyDescent="0.25">
      <c r="A218" s="163" t="s">
        <v>87</v>
      </c>
      <c r="B218" s="97">
        <f t="shared" si="29"/>
        <v>0</v>
      </c>
      <c r="C218" s="97">
        <v>0.4</v>
      </c>
      <c r="D218" s="97">
        <f t="shared" si="30"/>
        <v>0.4</v>
      </c>
      <c r="E218" s="97">
        <f t="shared" si="30"/>
        <v>0.4</v>
      </c>
      <c r="F218" s="97">
        <f t="shared" si="30"/>
        <v>0.4</v>
      </c>
      <c r="G218" s="97">
        <f t="shared" si="30"/>
        <v>0.4</v>
      </c>
      <c r="H218" s="97">
        <f t="shared" si="30"/>
        <v>0.4</v>
      </c>
      <c r="I218" s="97">
        <f t="shared" si="30"/>
        <v>0.4</v>
      </c>
      <c r="J218" s="97">
        <f t="shared" si="30"/>
        <v>0.4</v>
      </c>
      <c r="K218" s="97">
        <f t="shared" si="30"/>
        <v>0.4</v>
      </c>
      <c r="L218" s="97">
        <f t="shared" si="30"/>
        <v>0.4</v>
      </c>
      <c r="M218" s="97">
        <f t="shared" si="30"/>
        <v>0.4</v>
      </c>
      <c r="N218" s="97">
        <f t="shared" si="30"/>
        <v>0.4</v>
      </c>
      <c r="O218" s="97">
        <f t="shared" si="30"/>
        <v>0.4</v>
      </c>
      <c r="P218" s="97">
        <f t="shared" si="30"/>
        <v>0.4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ht="15.75" thickBot="1" x14ac:dyDescent="0.3">
      <c r="A219" s="164" t="s">
        <v>88</v>
      </c>
      <c r="B219" s="102">
        <f t="shared" si="29"/>
        <v>0</v>
      </c>
      <c r="C219" s="102">
        <v>0.64</v>
      </c>
      <c r="D219" s="102">
        <f t="shared" si="30"/>
        <v>0.64</v>
      </c>
      <c r="E219" s="102">
        <f t="shared" si="30"/>
        <v>0.64</v>
      </c>
      <c r="F219" s="102">
        <f t="shared" si="30"/>
        <v>0.64</v>
      </c>
      <c r="G219" s="102">
        <f t="shared" si="30"/>
        <v>0.64</v>
      </c>
      <c r="H219" s="102">
        <f t="shared" si="30"/>
        <v>0.64</v>
      </c>
      <c r="I219" s="102">
        <f t="shared" si="30"/>
        <v>0.64</v>
      </c>
      <c r="J219" s="102">
        <f t="shared" si="30"/>
        <v>0.64</v>
      </c>
      <c r="K219" s="102">
        <f t="shared" si="30"/>
        <v>0.64</v>
      </c>
      <c r="L219" s="102">
        <f t="shared" si="30"/>
        <v>0.64</v>
      </c>
      <c r="M219" s="102">
        <f t="shared" si="30"/>
        <v>0.64</v>
      </c>
      <c r="N219" s="102">
        <f t="shared" si="30"/>
        <v>0.64</v>
      </c>
      <c r="O219" s="102">
        <f t="shared" si="30"/>
        <v>0.64</v>
      </c>
      <c r="P219" s="102">
        <f t="shared" si="30"/>
        <v>0.64</v>
      </c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57">
        <v>0.66</v>
      </c>
      <c r="AH219" s="54"/>
      <c r="AI219" s="55"/>
    </row>
    <row r="220" spans="1:37" ht="15.75" thickBot="1" x14ac:dyDescent="0.3">
      <c r="A220" s="173" t="s">
        <v>35</v>
      </c>
      <c r="B220" s="103">
        <f>SUM(B214:B219)</f>
        <v>0</v>
      </c>
      <c r="C220" s="103">
        <f>SUM(C214:C219)</f>
        <v>3.54</v>
      </c>
      <c r="D220" s="103">
        <f t="shared" ref="D220:L220" si="31">SUM(D214:D219)</f>
        <v>3.54</v>
      </c>
      <c r="E220" s="103">
        <f t="shared" si="31"/>
        <v>3.54</v>
      </c>
      <c r="F220" s="103">
        <f t="shared" si="31"/>
        <v>3.54</v>
      </c>
      <c r="G220" s="103">
        <f t="shared" si="31"/>
        <v>3.54</v>
      </c>
      <c r="H220" s="103">
        <f t="shared" si="31"/>
        <v>3.54</v>
      </c>
      <c r="I220" s="103">
        <f t="shared" si="31"/>
        <v>3.54</v>
      </c>
      <c r="J220" s="103">
        <f t="shared" si="31"/>
        <v>3.54</v>
      </c>
      <c r="K220" s="103">
        <f t="shared" si="31"/>
        <v>3.54</v>
      </c>
      <c r="L220" s="103">
        <f t="shared" si="31"/>
        <v>3.54</v>
      </c>
      <c r="M220" s="103">
        <f>SUM(M214:M219)</f>
        <v>3.54</v>
      </c>
      <c r="N220" s="103">
        <f t="shared" ref="N220:S220" si="32">SUM(N214:N219)</f>
        <v>3.54</v>
      </c>
      <c r="O220" s="103">
        <f t="shared" si="32"/>
        <v>3.54</v>
      </c>
      <c r="P220" s="103">
        <f t="shared" si="32"/>
        <v>3.54</v>
      </c>
      <c r="Q220" s="103">
        <f t="shared" si="32"/>
        <v>0</v>
      </c>
      <c r="R220" s="103">
        <f t="shared" si="32"/>
        <v>0</v>
      </c>
      <c r="S220" s="103">
        <f t="shared" si="32"/>
        <v>0</v>
      </c>
      <c r="T220" s="103">
        <f>SUM(T214:T219)</f>
        <v>0</v>
      </c>
      <c r="U220" s="103">
        <f t="shared" ref="U220:AG220" si="33">SUM(U214:U219)</f>
        <v>0</v>
      </c>
      <c r="V220" s="103">
        <f t="shared" si="33"/>
        <v>0</v>
      </c>
      <c r="W220" s="103">
        <f t="shared" si="33"/>
        <v>0</v>
      </c>
      <c r="X220" s="103">
        <f t="shared" si="33"/>
        <v>0</v>
      </c>
      <c r="Y220" s="103">
        <f t="shared" si="33"/>
        <v>0</v>
      </c>
      <c r="Z220" s="103">
        <f t="shared" si="33"/>
        <v>0</v>
      </c>
      <c r="AA220" s="103">
        <f t="shared" si="33"/>
        <v>0</v>
      </c>
      <c r="AB220" s="103">
        <f t="shared" si="33"/>
        <v>0</v>
      </c>
      <c r="AC220" s="103">
        <f t="shared" si="33"/>
        <v>0</v>
      </c>
      <c r="AD220" s="103">
        <f t="shared" si="33"/>
        <v>0</v>
      </c>
      <c r="AE220" s="103">
        <f t="shared" si="33"/>
        <v>0</v>
      </c>
      <c r="AF220" s="103">
        <f t="shared" si="33"/>
        <v>0</v>
      </c>
      <c r="AG220" s="158">
        <f t="shared" si="33"/>
        <v>8.56</v>
      </c>
      <c r="AH220" s="54"/>
      <c r="AI220" s="55"/>
    </row>
    <row r="221" spans="1:37" ht="15.75" thickBot="1" x14ac:dyDescent="0.3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84"/>
      <c r="AH221" s="47"/>
    </row>
    <row r="222" spans="1:37" x14ac:dyDescent="0.25">
      <c r="A222" s="79" t="s">
        <v>89</v>
      </c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5"/>
      <c r="AG222" s="47"/>
      <c r="AH222" s="54"/>
      <c r="AI222" s="55"/>
    </row>
    <row r="223" spans="1:37" x14ac:dyDescent="0.25">
      <c r="A223" s="106" t="s">
        <v>90</v>
      </c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8"/>
      <c r="AG223" s="109"/>
      <c r="AH223" s="54"/>
      <c r="AI223" s="55"/>
    </row>
    <row r="224" spans="1:37" x14ac:dyDescent="0.25">
      <c r="A224" s="81" t="s">
        <v>91</v>
      </c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1"/>
      <c r="AG224" s="109"/>
      <c r="AH224" s="54"/>
      <c r="AI224" s="55"/>
    </row>
    <row r="225" spans="1:50" x14ac:dyDescent="0.25">
      <c r="A225" s="81" t="s">
        <v>92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ht="15.75" thickBot="1" x14ac:dyDescent="0.3">
      <c r="A226" s="112" t="s">
        <v>93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4"/>
      <c r="AG226" s="109"/>
      <c r="AH226" s="54"/>
      <c r="AI226" s="55"/>
    </row>
    <row r="227" spans="1:50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50" x14ac:dyDescent="0.25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50" x14ac:dyDescent="0.25">
      <c r="A229" s="115" t="s">
        <v>94</v>
      </c>
      <c r="B229" s="116">
        <f>MAX(G79:N79)</f>
        <v>1932.3899999999999</v>
      </c>
      <c r="C229" s="117">
        <f>INDEX(G9:N9,1,MATCH(MAX(G79:N79),G79:N79,0))</f>
        <v>0.375</v>
      </c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50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118" t="str">
        <f ca="1">MID(CELL("filename",C7),FIND("]",CELL("filename",C7))+1,600)</f>
        <v>3</v>
      </c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50" x14ac:dyDescent="0.25">
      <c r="A231" s="208" t="s">
        <v>95</v>
      </c>
      <c r="B231" s="208"/>
      <c r="C231" s="47"/>
      <c r="D231" s="118" t="str">
        <f ca="1">"Pie Chart of Daily Peak Demand(Inclusive of Export) of Nepal ("&amp;A4&amp;" "&amp;B4&amp;")"</f>
        <v>Pie Chart of Daily Peak Demand(Inclusive of Export) of Nepal (Nepali Date: 2079/02/3)</v>
      </c>
      <c r="E231" s="47"/>
      <c r="F231" s="47"/>
      <c r="G231" s="118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118" t="str">
        <f ca="1">"Daily Load Curve(Excluding of Export) of Nepal ("&amp;A4&amp;" "&amp;B4&amp;")"</f>
        <v>Daily Load Curve(Excluding of Export) of Nepal (Nepali Date: 2079/02/3)</v>
      </c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50" ht="12.75" customHeight="1" thickBot="1" x14ac:dyDescent="0.3">
      <c r="A232" s="119" t="s">
        <v>7</v>
      </c>
      <c r="B232" s="120"/>
      <c r="C232" s="47"/>
      <c r="D232" s="121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50" ht="15.75" thickTop="1" x14ac:dyDescent="0.25">
      <c r="A233" s="119" t="s">
        <v>96</v>
      </c>
      <c r="B233" s="120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122" t="s">
        <v>97</v>
      </c>
      <c r="T233" s="123">
        <v>0</v>
      </c>
      <c r="U233" s="124">
        <v>4.1666666666666664E-2</v>
      </c>
      <c r="V233" s="125">
        <v>8.3333333333333301E-2</v>
      </c>
      <c r="W233" s="125">
        <v>0.125</v>
      </c>
      <c r="X233" s="125">
        <v>0.16666666666666699</v>
      </c>
      <c r="Y233" s="125">
        <v>0.20833333333333301</v>
      </c>
      <c r="Z233" s="125">
        <v>0.22916666666666666</v>
      </c>
      <c r="AA233" s="125">
        <v>0.25</v>
      </c>
      <c r="AB233" s="125">
        <v>0.27083333333333331</v>
      </c>
      <c r="AC233" s="125">
        <v>0.29166666666666669</v>
      </c>
      <c r="AD233" s="125">
        <v>0.3125</v>
      </c>
      <c r="AE233" s="126">
        <v>0.33333333333333331</v>
      </c>
      <c r="AF233" s="126">
        <v>0.375</v>
      </c>
      <c r="AG233" s="126">
        <v>0.41666666666666702</v>
      </c>
      <c r="AH233" s="126">
        <v>0.45833333333333298</v>
      </c>
      <c r="AI233" s="126">
        <v>0.5</v>
      </c>
      <c r="AJ233" s="126">
        <v>0.54166666666666696</v>
      </c>
      <c r="AK233" s="126">
        <v>0.58333333333333304</v>
      </c>
      <c r="AL233" s="126">
        <v>0.625</v>
      </c>
      <c r="AM233" s="126">
        <v>0.66666666666666696</v>
      </c>
      <c r="AN233" s="126">
        <v>0.70833333333333304</v>
      </c>
      <c r="AO233" s="126">
        <v>0.72916666666666663</v>
      </c>
      <c r="AP233" s="126">
        <v>0.75</v>
      </c>
      <c r="AQ233" s="126">
        <v>0.77083333333333337</v>
      </c>
      <c r="AR233" s="126">
        <v>0.79166666666666663</v>
      </c>
      <c r="AS233" s="126">
        <v>0.8125</v>
      </c>
      <c r="AT233" s="125">
        <v>0.83333333333333337</v>
      </c>
      <c r="AU233" s="125">
        <v>0.85416666666666663</v>
      </c>
      <c r="AV233" s="125">
        <v>0.875</v>
      </c>
      <c r="AW233" s="125">
        <v>0.91666666666666696</v>
      </c>
      <c r="AX233" s="125">
        <v>0.95833333333333304</v>
      </c>
    </row>
    <row r="234" spans="1:50" x14ac:dyDescent="0.25">
      <c r="A234" s="119" t="s">
        <v>98</v>
      </c>
      <c r="B234" s="120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 t="s">
        <v>99</v>
      </c>
      <c r="T234" s="127">
        <f t="shared" ref="T234:AX234" si="34">B79</f>
        <v>1835.04</v>
      </c>
      <c r="U234" s="127">
        <f t="shared" si="34"/>
        <v>1814.04</v>
      </c>
      <c r="V234" s="127">
        <f t="shared" si="34"/>
        <v>1804.8400000000001</v>
      </c>
      <c r="W234" s="127">
        <f t="shared" si="34"/>
        <v>1776.3400000000001</v>
      </c>
      <c r="X234" s="127">
        <f t="shared" si="34"/>
        <v>1780.3400000000001</v>
      </c>
      <c r="Y234" s="127">
        <f t="shared" si="34"/>
        <v>1756.3400000000001</v>
      </c>
      <c r="Z234" s="127">
        <f t="shared" si="34"/>
        <v>1744.3400000000001</v>
      </c>
      <c r="AA234" s="127">
        <f t="shared" si="34"/>
        <v>1747.3400000000001</v>
      </c>
      <c r="AB234" s="127">
        <f t="shared" si="34"/>
        <v>1770.2399999999998</v>
      </c>
      <c r="AC234" s="127">
        <f t="shared" si="34"/>
        <v>1806.2399999999998</v>
      </c>
      <c r="AD234" s="127">
        <f t="shared" si="34"/>
        <v>1839.2399999999998</v>
      </c>
      <c r="AE234" s="127">
        <f t="shared" si="34"/>
        <v>1911.2399999999998</v>
      </c>
      <c r="AF234" s="127">
        <f t="shared" si="34"/>
        <v>1932.3899999999999</v>
      </c>
      <c r="AG234" s="127">
        <f t="shared" si="34"/>
        <v>1914.8599999999997</v>
      </c>
      <c r="AH234" s="127">
        <f t="shared" si="34"/>
        <v>1844.2399999999998</v>
      </c>
      <c r="AI234" s="127">
        <f t="shared" si="34"/>
        <v>1860.2399999999998</v>
      </c>
      <c r="AJ234" s="127">
        <f t="shared" si="34"/>
        <v>1862.7399999999998</v>
      </c>
      <c r="AK234" s="127">
        <f t="shared" si="34"/>
        <v>1845.34</v>
      </c>
      <c r="AL234" s="127">
        <f t="shared" si="34"/>
        <v>1858.1399999999999</v>
      </c>
      <c r="AM234" s="127">
        <f t="shared" si="34"/>
        <v>1860.1399999999999</v>
      </c>
      <c r="AN234" s="127">
        <f t="shared" si="34"/>
        <v>1854.34</v>
      </c>
      <c r="AO234" s="127">
        <f t="shared" si="34"/>
        <v>1866.3399999999997</v>
      </c>
      <c r="AP234" s="127">
        <f t="shared" si="34"/>
        <v>1870.1399999999999</v>
      </c>
      <c r="AQ234" s="127">
        <f t="shared" si="34"/>
        <v>1870.1399999999999</v>
      </c>
      <c r="AR234" s="127">
        <f t="shared" si="34"/>
        <v>1870.1399999999999</v>
      </c>
      <c r="AS234" s="127">
        <f t="shared" si="34"/>
        <v>1970.1399999999999</v>
      </c>
      <c r="AT234" s="127">
        <f t="shared" si="34"/>
        <v>1951.84</v>
      </c>
      <c r="AU234" s="127">
        <f t="shared" si="34"/>
        <v>1959.24</v>
      </c>
      <c r="AV234" s="127">
        <f t="shared" si="34"/>
        <v>1960.0399999999997</v>
      </c>
      <c r="AW234" s="127">
        <f t="shared" si="34"/>
        <v>1906.44</v>
      </c>
      <c r="AX234" s="127">
        <f t="shared" si="34"/>
        <v>1869.6399999999999</v>
      </c>
    </row>
    <row r="235" spans="1:50" x14ac:dyDescent="0.25">
      <c r="A235" s="119" t="s">
        <v>100</v>
      </c>
      <c r="B235" s="120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</row>
    <row r="236" spans="1:50" x14ac:dyDescent="0.25">
      <c r="A236" s="119" t="s">
        <v>101</v>
      </c>
      <c r="B236" s="120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</row>
    <row r="237" spans="1:50" x14ac:dyDescent="0.25">
      <c r="A237" s="119" t="s">
        <v>102</v>
      </c>
      <c r="B237" s="120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50" x14ac:dyDescent="0.25">
      <c r="A238" s="119" t="s">
        <v>103</v>
      </c>
      <c r="B238" s="128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50" x14ac:dyDescent="0.25">
      <c r="A239" s="119" t="s">
        <v>104</v>
      </c>
      <c r="B239" s="120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50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1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1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1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1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1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</row>
    <row r="246" spans="1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J246"/>
    </row>
    <row r="247" spans="1:36" x14ac:dyDescent="0.25"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J247"/>
    </row>
    <row r="248" spans="1:36" x14ac:dyDescent="0.25"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J248"/>
    </row>
    <row r="249" spans="1:36" x14ac:dyDescent="0.25"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J249"/>
    </row>
    <row r="250" spans="1:36" x14ac:dyDescent="0.25"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J250"/>
    </row>
    <row r="251" spans="1:36" x14ac:dyDescent="0.25"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J251"/>
    </row>
    <row r="252" spans="1:36" x14ac:dyDescent="0.25"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J252"/>
    </row>
    <row r="253" spans="1:36" x14ac:dyDescent="0.25"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J253"/>
    </row>
    <row r="254" spans="1:36" x14ac:dyDescent="0.25"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J254"/>
    </row>
    <row r="255" spans="1:36" x14ac:dyDescent="0.25">
      <c r="A255" s="129" t="s">
        <v>89</v>
      </c>
      <c r="B255" s="130">
        <f t="shared" ref="B255:AE255" si="35">C219</f>
        <v>0.64</v>
      </c>
      <c r="C255" s="130">
        <f t="shared" si="35"/>
        <v>0.64</v>
      </c>
      <c r="D255" s="130">
        <f t="shared" si="35"/>
        <v>0.64</v>
      </c>
      <c r="E255" s="130">
        <f t="shared" si="35"/>
        <v>0.64</v>
      </c>
      <c r="F255" s="130">
        <f t="shared" si="35"/>
        <v>0.64</v>
      </c>
      <c r="G255" s="130">
        <f t="shared" si="35"/>
        <v>0.64</v>
      </c>
      <c r="H255" s="130">
        <f t="shared" si="35"/>
        <v>0.64</v>
      </c>
      <c r="I255" s="130">
        <f t="shared" si="35"/>
        <v>0.64</v>
      </c>
      <c r="J255" s="130">
        <f t="shared" si="35"/>
        <v>0.64</v>
      </c>
      <c r="K255" s="130">
        <f t="shared" si="35"/>
        <v>0.64</v>
      </c>
      <c r="L255" s="130">
        <f t="shared" si="35"/>
        <v>0.64</v>
      </c>
      <c r="M255" s="130">
        <f t="shared" si="35"/>
        <v>0.64</v>
      </c>
      <c r="N255" s="130">
        <f t="shared" si="35"/>
        <v>0.64</v>
      </c>
      <c r="O255" s="130">
        <f t="shared" si="35"/>
        <v>0.64</v>
      </c>
      <c r="P255" s="130">
        <f t="shared" si="35"/>
        <v>0</v>
      </c>
      <c r="Q255" s="130">
        <f t="shared" si="35"/>
        <v>0</v>
      </c>
      <c r="R255" s="130">
        <f t="shared" si="35"/>
        <v>0</v>
      </c>
      <c r="S255" s="130">
        <f t="shared" si="35"/>
        <v>0</v>
      </c>
      <c r="T255" s="130">
        <f t="shared" si="35"/>
        <v>0</v>
      </c>
      <c r="U255" s="130">
        <f t="shared" si="35"/>
        <v>0</v>
      </c>
      <c r="V255" s="130">
        <f t="shared" si="35"/>
        <v>0</v>
      </c>
      <c r="W255" s="130">
        <f t="shared" si="35"/>
        <v>0</v>
      </c>
      <c r="X255" s="130">
        <f t="shared" si="35"/>
        <v>0</v>
      </c>
      <c r="Y255" s="130">
        <f t="shared" si="35"/>
        <v>0</v>
      </c>
      <c r="Z255" s="130">
        <f t="shared" si="35"/>
        <v>0</v>
      </c>
      <c r="AA255" s="130">
        <f t="shared" si="35"/>
        <v>0</v>
      </c>
      <c r="AB255" s="130">
        <f t="shared" si="35"/>
        <v>0</v>
      </c>
      <c r="AC255" s="130">
        <f t="shared" si="35"/>
        <v>0</v>
      </c>
      <c r="AD255" s="130">
        <f t="shared" si="35"/>
        <v>0</v>
      </c>
      <c r="AE255" s="130">
        <f t="shared" si="35"/>
        <v>0</v>
      </c>
      <c r="AF255" s="130">
        <f>B219</f>
        <v>0</v>
      </c>
      <c r="AG255" s="47"/>
      <c r="AH255" s="47"/>
      <c r="AJ255"/>
    </row>
    <row r="256" spans="1:36" x14ac:dyDescent="0.25">
      <c r="A256" s="88" t="str">
        <f>A223</f>
        <v>KGA</v>
      </c>
      <c r="B256" s="88" t="str">
        <f>IF(B223&lt;100,"",B223-520)</f>
        <v/>
      </c>
      <c r="C256" s="88" t="str">
        <f t="shared" ref="C256:AF256" si="36">IF(C223&lt;100,"",C223-520)</f>
        <v/>
      </c>
      <c r="D256" s="88" t="str">
        <f t="shared" si="36"/>
        <v/>
      </c>
      <c r="E256" s="88" t="str">
        <f t="shared" si="36"/>
        <v/>
      </c>
      <c r="F256" s="88" t="str">
        <f t="shared" si="36"/>
        <v/>
      </c>
      <c r="G256" s="88" t="str">
        <f t="shared" si="36"/>
        <v/>
      </c>
      <c r="H256" s="88" t="str">
        <f t="shared" si="36"/>
        <v/>
      </c>
      <c r="I256" s="88" t="str">
        <f t="shared" si="36"/>
        <v/>
      </c>
      <c r="J256" s="88" t="str">
        <f t="shared" si="36"/>
        <v/>
      </c>
      <c r="K256" s="88" t="str">
        <f t="shared" si="36"/>
        <v/>
      </c>
      <c r="L256" s="88" t="str">
        <f t="shared" si="36"/>
        <v/>
      </c>
      <c r="M256" s="88" t="str">
        <f t="shared" si="36"/>
        <v/>
      </c>
      <c r="N256" s="88" t="str">
        <f t="shared" si="36"/>
        <v/>
      </c>
      <c r="O256" s="88" t="str">
        <f t="shared" si="36"/>
        <v/>
      </c>
      <c r="P256" s="88" t="str">
        <f t="shared" si="36"/>
        <v/>
      </c>
      <c r="Q256" s="88" t="str">
        <f t="shared" si="36"/>
        <v/>
      </c>
      <c r="R256" s="88" t="str">
        <f t="shared" si="36"/>
        <v/>
      </c>
      <c r="S256" s="88" t="str">
        <f t="shared" si="36"/>
        <v/>
      </c>
      <c r="T256" s="88" t="str">
        <f t="shared" si="36"/>
        <v/>
      </c>
      <c r="U256" s="88" t="str">
        <f t="shared" si="36"/>
        <v/>
      </c>
      <c r="V256" s="88" t="str">
        <f t="shared" si="36"/>
        <v/>
      </c>
      <c r="W256" s="88" t="str">
        <f t="shared" si="36"/>
        <v/>
      </c>
      <c r="X256" s="88" t="str">
        <f t="shared" si="36"/>
        <v/>
      </c>
      <c r="Y256" s="88" t="str">
        <f t="shared" si="36"/>
        <v/>
      </c>
      <c r="Z256" s="88" t="str">
        <f t="shared" si="36"/>
        <v/>
      </c>
      <c r="AA256" s="88" t="str">
        <f t="shared" si="36"/>
        <v/>
      </c>
      <c r="AB256" s="88" t="str">
        <f t="shared" si="36"/>
        <v/>
      </c>
      <c r="AC256" s="88" t="str">
        <f t="shared" si="36"/>
        <v/>
      </c>
      <c r="AD256" s="88" t="str">
        <f t="shared" si="36"/>
        <v/>
      </c>
      <c r="AE256" s="88" t="str">
        <f t="shared" si="36"/>
        <v/>
      </c>
      <c r="AF256" s="88" t="str">
        <f t="shared" si="36"/>
        <v/>
      </c>
      <c r="AG256" s="47"/>
      <c r="AH256" s="47"/>
      <c r="AJ256"/>
    </row>
    <row r="257" spans="1:36" x14ac:dyDescent="0.25">
      <c r="A257" s="88" t="str">
        <f>A224</f>
        <v>MMRS</v>
      </c>
      <c r="B257" s="88" t="str">
        <f t="shared" ref="B257:AF257" si="37">IF(B224&lt;100,"",B224-620)</f>
        <v/>
      </c>
      <c r="C257" s="88" t="str">
        <f t="shared" si="37"/>
        <v/>
      </c>
      <c r="D257" s="88" t="str">
        <f t="shared" si="37"/>
        <v/>
      </c>
      <c r="E257" s="88" t="str">
        <f t="shared" si="37"/>
        <v/>
      </c>
      <c r="F257" s="88" t="str">
        <f t="shared" si="37"/>
        <v/>
      </c>
      <c r="G257" s="88" t="str">
        <f t="shared" si="37"/>
        <v/>
      </c>
      <c r="H257" s="88" t="str">
        <f t="shared" si="37"/>
        <v/>
      </c>
      <c r="I257" s="88" t="str">
        <f t="shared" si="37"/>
        <v/>
      </c>
      <c r="J257" s="88" t="str">
        <f t="shared" si="37"/>
        <v/>
      </c>
      <c r="K257" s="88" t="str">
        <f t="shared" si="37"/>
        <v/>
      </c>
      <c r="L257" s="88" t="str">
        <f t="shared" si="37"/>
        <v/>
      </c>
      <c r="M257" s="88" t="str">
        <f t="shared" si="37"/>
        <v/>
      </c>
      <c r="N257" s="88" t="str">
        <f t="shared" si="37"/>
        <v/>
      </c>
      <c r="O257" s="88" t="str">
        <f t="shared" si="37"/>
        <v/>
      </c>
      <c r="P257" s="88" t="str">
        <f t="shared" si="37"/>
        <v/>
      </c>
      <c r="Q257" s="88" t="str">
        <f t="shared" si="37"/>
        <v/>
      </c>
      <c r="R257" s="88" t="str">
        <f t="shared" si="37"/>
        <v/>
      </c>
      <c r="S257" s="88" t="str">
        <f t="shared" si="37"/>
        <v/>
      </c>
      <c r="T257" s="88" t="str">
        <f t="shared" si="37"/>
        <v/>
      </c>
      <c r="U257" s="88" t="str">
        <f t="shared" si="37"/>
        <v/>
      </c>
      <c r="V257" s="88" t="str">
        <f t="shared" si="37"/>
        <v/>
      </c>
      <c r="W257" s="88" t="str">
        <f t="shared" si="37"/>
        <v/>
      </c>
      <c r="X257" s="88" t="str">
        <f t="shared" si="37"/>
        <v/>
      </c>
      <c r="Y257" s="88" t="str">
        <f t="shared" si="37"/>
        <v/>
      </c>
      <c r="Z257" s="88" t="str">
        <f t="shared" si="37"/>
        <v/>
      </c>
      <c r="AA257" s="88" t="str">
        <f t="shared" si="37"/>
        <v/>
      </c>
      <c r="AB257" s="88" t="str">
        <f t="shared" si="37"/>
        <v/>
      </c>
      <c r="AC257" s="88" t="str">
        <f t="shared" si="37"/>
        <v/>
      </c>
      <c r="AD257" s="88" t="str">
        <f t="shared" si="37"/>
        <v/>
      </c>
      <c r="AE257" s="88" t="str">
        <f t="shared" si="37"/>
        <v/>
      </c>
      <c r="AF257" s="88" t="str">
        <f t="shared" si="37"/>
        <v/>
      </c>
      <c r="AG257" s="47"/>
      <c r="AH257" s="47"/>
      <c r="AJ257"/>
    </row>
    <row r="258" spans="1:36" x14ac:dyDescent="0.25">
      <c r="A258" s="88" t="str">
        <f>A225</f>
        <v>MRS</v>
      </c>
      <c r="B258" s="88" t="str">
        <f t="shared" ref="B258:AF258" si="38">IF(B225&lt;100,"",B225-330)</f>
        <v/>
      </c>
      <c r="C258" s="88" t="str">
        <f t="shared" si="38"/>
        <v/>
      </c>
      <c r="D258" s="88" t="str">
        <f t="shared" si="38"/>
        <v/>
      </c>
      <c r="E258" s="88" t="str">
        <f t="shared" si="38"/>
        <v/>
      </c>
      <c r="F258" s="88" t="str">
        <f t="shared" si="38"/>
        <v/>
      </c>
      <c r="G258" s="88" t="str">
        <f t="shared" si="38"/>
        <v/>
      </c>
      <c r="H258" s="88" t="str">
        <f t="shared" si="38"/>
        <v/>
      </c>
      <c r="I258" s="88" t="str">
        <f t="shared" si="38"/>
        <v/>
      </c>
      <c r="J258" s="88" t="str">
        <f t="shared" si="38"/>
        <v/>
      </c>
      <c r="K258" s="88" t="str">
        <f t="shared" si="38"/>
        <v/>
      </c>
      <c r="L258" s="88" t="str">
        <f t="shared" si="38"/>
        <v/>
      </c>
      <c r="M258" s="88" t="str">
        <f t="shared" si="38"/>
        <v/>
      </c>
      <c r="N258" s="88" t="str">
        <f t="shared" si="38"/>
        <v/>
      </c>
      <c r="O258" s="88" t="str">
        <f t="shared" si="38"/>
        <v/>
      </c>
      <c r="P258" s="88" t="str">
        <f t="shared" si="38"/>
        <v/>
      </c>
      <c r="Q258" s="88" t="str">
        <f t="shared" si="38"/>
        <v/>
      </c>
      <c r="R258" s="88" t="str">
        <f t="shared" si="38"/>
        <v/>
      </c>
      <c r="S258" s="88" t="str">
        <f t="shared" si="38"/>
        <v/>
      </c>
      <c r="T258" s="88" t="str">
        <f t="shared" si="38"/>
        <v/>
      </c>
      <c r="U258" s="88" t="str">
        <f t="shared" si="38"/>
        <v/>
      </c>
      <c r="V258" s="88" t="str">
        <f t="shared" si="38"/>
        <v/>
      </c>
      <c r="W258" s="88" t="str">
        <f t="shared" si="38"/>
        <v/>
      </c>
      <c r="X258" s="88" t="str">
        <f t="shared" si="38"/>
        <v/>
      </c>
      <c r="Y258" s="88" t="str">
        <f t="shared" si="38"/>
        <v/>
      </c>
      <c r="Z258" s="88" t="str">
        <f t="shared" si="38"/>
        <v/>
      </c>
      <c r="AA258" s="88" t="str">
        <f t="shared" si="38"/>
        <v/>
      </c>
      <c r="AB258" s="88" t="str">
        <f t="shared" si="38"/>
        <v/>
      </c>
      <c r="AC258" s="88" t="str">
        <f t="shared" si="38"/>
        <v/>
      </c>
      <c r="AD258" s="88" t="str">
        <f t="shared" si="38"/>
        <v/>
      </c>
      <c r="AE258" s="88" t="str">
        <f t="shared" si="38"/>
        <v/>
      </c>
      <c r="AF258" s="88" t="str">
        <f t="shared" si="38"/>
        <v/>
      </c>
      <c r="AG258" s="47"/>
      <c r="AH258" s="47"/>
      <c r="AJ258"/>
    </row>
    <row r="259" spans="1:36" x14ac:dyDescent="0.25">
      <c r="A259" s="88" t="str">
        <f>A226</f>
        <v>KL 1</v>
      </c>
      <c r="B259" s="88" t="str">
        <f>IF(B226&lt;100,"",B226-1500)</f>
        <v/>
      </c>
      <c r="C259" s="88" t="str">
        <f t="shared" ref="C259:AF259" si="39">IF(C226&lt;100,"",C226-1500)</f>
        <v/>
      </c>
      <c r="D259" s="88" t="str">
        <f t="shared" si="39"/>
        <v/>
      </c>
      <c r="E259" s="88" t="str">
        <f t="shared" si="39"/>
        <v/>
      </c>
      <c r="F259" s="88" t="str">
        <f t="shared" si="39"/>
        <v/>
      </c>
      <c r="G259" s="88" t="str">
        <f t="shared" si="39"/>
        <v/>
      </c>
      <c r="H259" s="88" t="str">
        <f t="shared" si="39"/>
        <v/>
      </c>
      <c r="I259" s="88" t="str">
        <f t="shared" si="39"/>
        <v/>
      </c>
      <c r="J259" s="88" t="str">
        <f t="shared" si="39"/>
        <v/>
      </c>
      <c r="K259" s="88" t="str">
        <f t="shared" si="39"/>
        <v/>
      </c>
      <c r="L259" s="88" t="str">
        <f t="shared" si="39"/>
        <v/>
      </c>
      <c r="M259" s="88" t="str">
        <f t="shared" si="39"/>
        <v/>
      </c>
      <c r="N259" s="88" t="str">
        <f t="shared" si="39"/>
        <v/>
      </c>
      <c r="O259" s="88" t="str">
        <f t="shared" si="39"/>
        <v/>
      </c>
      <c r="P259" s="88" t="str">
        <f t="shared" si="39"/>
        <v/>
      </c>
      <c r="Q259" s="88" t="str">
        <f t="shared" si="39"/>
        <v/>
      </c>
      <c r="R259" s="88" t="str">
        <f t="shared" si="39"/>
        <v/>
      </c>
      <c r="S259" s="88" t="str">
        <f t="shared" si="39"/>
        <v/>
      </c>
      <c r="T259" s="88" t="str">
        <f t="shared" si="39"/>
        <v/>
      </c>
      <c r="U259" s="88" t="str">
        <f t="shared" si="39"/>
        <v/>
      </c>
      <c r="V259" s="88" t="str">
        <f t="shared" si="39"/>
        <v/>
      </c>
      <c r="W259" s="88" t="str">
        <f t="shared" si="39"/>
        <v/>
      </c>
      <c r="X259" s="88" t="str">
        <f t="shared" si="39"/>
        <v/>
      </c>
      <c r="Y259" s="88" t="str">
        <f t="shared" si="39"/>
        <v/>
      </c>
      <c r="Z259" s="88" t="str">
        <f t="shared" si="39"/>
        <v/>
      </c>
      <c r="AA259" s="88" t="str">
        <f t="shared" si="39"/>
        <v/>
      </c>
      <c r="AB259" s="88" t="str">
        <f t="shared" si="39"/>
        <v/>
      </c>
      <c r="AC259" s="88" t="str">
        <f t="shared" si="39"/>
        <v/>
      </c>
      <c r="AD259" s="88" t="str">
        <f t="shared" si="39"/>
        <v/>
      </c>
      <c r="AE259" s="88" t="str">
        <f t="shared" si="39"/>
        <v/>
      </c>
      <c r="AF259" s="88" t="str">
        <f t="shared" si="39"/>
        <v/>
      </c>
      <c r="AG259" s="47"/>
      <c r="AH259" s="47"/>
      <c r="AJ259"/>
    </row>
    <row r="260" spans="1:36" x14ac:dyDescent="0.25"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J260"/>
    </row>
    <row r="261" spans="1:36" x14ac:dyDescent="0.25"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J261"/>
    </row>
    <row r="262" spans="1:36" x14ac:dyDescent="0.25"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J262"/>
    </row>
    <row r="263" spans="1:36" x14ac:dyDescent="0.25"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J263"/>
    </row>
    <row r="264" spans="1:36" x14ac:dyDescent="0.25"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J264"/>
    </row>
    <row r="265" spans="1:36" x14ac:dyDescent="0.25"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J265"/>
    </row>
    <row r="266" spans="1:36" x14ac:dyDescent="0.25"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J266"/>
    </row>
    <row r="490" spans="36:38" x14ac:dyDescent="0.25">
      <c r="AK490" s="1"/>
    </row>
    <row r="491" spans="36:38" x14ac:dyDescent="0.25">
      <c r="AK491" s="1"/>
      <c r="AL491" s="1"/>
    </row>
    <row r="492" spans="36:38" x14ac:dyDescent="0.25">
      <c r="AJ49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1:B23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4">
      <iconSet iconSet="3TrafficLights2" reverse="1">
        <cfvo type="percent" val="0"/>
        <cfvo type="num" val="1"/>
        <cfvo type="num" val="1"/>
      </iconSet>
    </cfRule>
  </conditionalFormatting>
  <conditionalFormatting sqref="D214:AF220 B214:B220 B212:AF212 U233:AF233 B9:AF10 C99:AF105">
    <cfRule type="expression" dxfId="6604" priority="230">
      <formula>B$9&gt;=20/24</formula>
    </cfRule>
    <cfRule type="expression" dxfId="6603" priority="231">
      <formula>AND(B$9&gt;=14/24,B$9&lt;20/24)</formula>
    </cfRule>
    <cfRule type="expression" dxfId="6602" priority="232">
      <formula>AND(B$9&gt;=8/24,B$9&lt;14/24)</formula>
    </cfRule>
    <cfRule type="expression" dxfId="6601" priority="233">
      <formula>B$9&lt;8/24</formula>
    </cfRule>
  </conditionalFormatting>
  <conditionalFormatting sqref="AL4:AL6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T37:AF37">
    <cfRule type="expression" dxfId="6600" priority="225">
      <formula>T$9&gt;=20/24</formula>
    </cfRule>
    <cfRule type="expression" dxfId="6599" priority="226">
      <formula>AND(T$9&gt;=14/24,T$9&lt;20/24)</formula>
    </cfRule>
    <cfRule type="expression" dxfId="6598" priority="227">
      <formula>AND(T$9&gt;=8/24,T$9&lt;14/24)</formula>
    </cfRule>
    <cfRule type="expression" dxfId="6597" priority="228">
      <formula>T$9&lt;8/24</formula>
    </cfRule>
  </conditionalFormatting>
  <conditionalFormatting sqref="AG55 T37:AF37 B35:AF35 B12:AF16">
    <cfRule type="expression" dxfId="6596" priority="224">
      <formula>B12&gt;$AG12</formula>
    </cfRule>
  </conditionalFormatting>
  <conditionalFormatting sqref="A89:A102 A11:A14 A49:A76 A85:A87 A78 A190:A220 A16:A30 A36:A47 A106:A177 A32:A33 A81:A83">
    <cfRule type="expression" dxfId="6595" priority="223">
      <formula>$AH11=0</formula>
    </cfRule>
  </conditionalFormatting>
  <conditionalFormatting sqref="A103">
    <cfRule type="expression" dxfId="6594" priority="222">
      <formula>$AH103=0</formula>
    </cfRule>
  </conditionalFormatting>
  <conditionalFormatting sqref="AL33">
    <cfRule type="iconSet" priority="221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6593" priority="220">
      <formula>$AH35=0</formula>
    </cfRule>
  </conditionalFormatting>
  <conditionalFormatting sqref="A88">
    <cfRule type="expression" dxfId="6592" priority="219">
      <formula>$AH88=0</formula>
    </cfRule>
  </conditionalFormatting>
  <conditionalFormatting sqref="A15">
    <cfRule type="expression" dxfId="6591" priority="218">
      <formula>$AH15=0</formula>
    </cfRule>
  </conditionalFormatting>
  <conditionalFormatting sqref="A184:A189">
    <cfRule type="expression" dxfId="6590" priority="217">
      <formula>$AH184=0</formula>
    </cfRule>
  </conditionalFormatting>
  <conditionalFormatting sqref="A178:A183">
    <cfRule type="expression" dxfId="6589" priority="216">
      <formula>$AH178=0</formula>
    </cfRule>
  </conditionalFormatting>
  <conditionalFormatting sqref="A48">
    <cfRule type="expression" dxfId="6588" priority="215">
      <formula>$AH48=0</formula>
    </cfRule>
  </conditionalFormatting>
  <conditionalFormatting sqref="A84">
    <cfRule type="expression" dxfId="6587" priority="214">
      <formula>$AH84=0</formula>
    </cfRule>
  </conditionalFormatting>
  <conditionalFormatting sqref="A77">
    <cfRule type="expression" dxfId="6586" priority="213">
      <formula>$AH77=0</formula>
    </cfRule>
  </conditionalFormatting>
  <conditionalFormatting sqref="C89:AF89">
    <cfRule type="expression" dxfId="6585" priority="209">
      <formula>C$9&gt;=20/24</formula>
    </cfRule>
    <cfRule type="expression" dxfId="6584" priority="210">
      <formula>AND(C$9&gt;=14/24,C$9&lt;20/24)</formula>
    </cfRule>
    <cfRule type="expression" dxfId="6583" priority="211">
      <formula>AND(C$9&gt;=8/24,C$9&lt;14/24)</formula>
    </cfRule>
    <cfRule type="expression" dxfId="6582" priority="212">
      <formula>C$9&lt;8/24</formula>
    </cfRule>
  </conditionalFormatting>
  <conditionalFormatting sqref="AL34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581" priority="236">
      <formula>C$9&gt;=20/24</formula>
    </cfRule>
    <cfRule type="expression" dxfId="6580" priority="237">
      <formula>AND(C$9&gt;=14/24,C$9&lt;20/24)</formula>
    </cfRule>
    <cfRule type="expression" dxfId="6579" priority="238">
      <formula>AND(C$9&gt;=8/24,C$9&lt;14/24)</formula>
    </cfRule>
    <cfRule type="expression" dxfId="6578" priority="239">
      <formula>C$9&lt;8/24</formula>
    </cfRule>
  </conditionalFormatting>
  <conditionalFormatting sqref="A221">
    <cfRule type="expression" dxfId="6577" priority="240">
      <formula>$AH221=0</formula>
    </cfRule>
  </conditionalFormatting>
  <conditionalFormatting sqref="AG233">
    <cfRule type="expression" dxfId="6576" priority="241">
      <formula>B$9&gt;=20/24</formula>
    </cfRule>
    <cfRule type="expression" dxfId="6575" priority="242">
      <formula>AND(B$9&gt;=14/24,B$9&lt;20/24)</formula>
    </cfRule>
    <cfRule type="expression" dxfId="6574" priority="243">
      <formula>AND(B$9&gt;=8/24,B$9&lt;14/24)</formula>
    </cfRule>
    <cfRule type="expression" dxfId="6573" priority="244">
      <formula>B$9&lt;8/24</formula>
    </cfRule>
  </conditionalFormatting>
  <conditionalFormatting sqref="S8">
    <cfRule type="expression" dxfId="6572" priority="204">
      <formula>U$9&gt;=20/24</formula>
    </cfRule>
    <cfRule type="expression" dxfId="6571" priority="205">
      <formula>AND(U$9&gt;=14/24,U$9&lt;20/24)</formula>
    </cfRule>
    <cfRule type="expression" dxfId="6570" priority="206">
      <formula>AND(U$9&gt;=8/24,U$9&lt;14/24)</formula>
    </cfRule>
    <cfRule type="expression" dxfId="6569" priority="207">
      <formula>U$9&lt;8/24</formula>
    </cfRule>
  </conditionalFormatting>
  <conditionalFormatting sqref="AB8">
    <cfRule type="expression" dxfId="6568" priority="200">
      <formula>AD$9&gt;=20/24</formula>
    </cfRule>
    <cfRule type="expression" dxfId="6567" priority="201">
      <formula>AND(AD$9&gt;=14/24,AD$9&lt;20/24)</formula>
    </cfRule>
    <cfRule type="expression" dxfId="6566" priority="202">
      <formula>AND(AD$9&gt;=8/24,AD$9&lt;14/24)</formula>
    </cfRule>
    <cfRule type="expression" dxfId="6565" priority="203">
      <formula>AD$9&lt;8/24</formula>
    </cfRule>
  </conditionalFormatting>
  <conditionalFormatting sqref="AH233:AX233">
    <cfRule type="expression" dxfId="6564" priority="245">
      <formula>AG$9&gt;=20/24</formula>
    </cfRule>
    <cfRule type="expression" dxfId="6563" priority="246">
      <formula>AND(AG$9&gt;=14/24,AG$9&lt;20/24)</formula>
    </cfRule>
    <cfRule type="expression" dxfId="6562" priority="247">
      <formula>AND(AG$9&gt;=8/24,AG$9&lt;14/24)</formula>
    </cfRule>
    <cfRule type="expression" dxfId="6561" priority="248">
      <formula>AG$9&lt;8/24</formula>
    </cfRule>
  </conditionalFormatting>
  <conditionalFormatting sqref="T233">
    <cfRule type="expression" dxfId="6560" priority="249">
      <formula>AX$9&gt;=20/24</formula>
    </cfRule>
    <cfRule type="expression" dxfId="6559" priority="250">
      <formula>AND(AX$9&gt;=14/24,AX$9&lt;20/24)</formula>
    </cfRule>
    <cfRule type="expression" dxfId="6558" priority="251">
      <formula>AND(AX$9&gt;=8/24,AX$9&lt;14/24)</formula>
    </cfRule>
    <cfRule type="expression" dxfId="6557" priority="252">
      <formula>AX$9&lt;8/24</formula>
    </cfRule>
  </conditionalFormatting>
  <conditionalFormatting sqref="A104:A105">
    <cfRule type="expression" dxfId="6556" priority="199">
      <formula>$AH104=0</formula>
    </cfRule>
  </conditionalFormatting>
  <conditionalFormatting sqref="C61:AF61 AB44:AF45">
    <cfRule type="expression" dxfId="6555" priority="195">
      <formula>C$9&gt;=20/24</formula>
    </cfRule>
    <cfRule type="expression" dxfId="6554" priority="196">
      <formula>AND(C$9&gt;=14/24,C$9&lt;20/24)</formula>
    </cfRule>
    <cfRule type="expression" dxfId="6553" priority="197">
      <formula>AND(C$9&gt;=8/24,C$9&lt;14/24)</formula>
    </cfRule>
    <cfRule type="expression" dxfId="6552" priority="198">
      <formula>C$9&lt;8/24</formula>
    </cfRule>
  </conditionalFormatting>
  <conditionalFormatting sqref="AB43:AF43">
    <cfRule type="expression" dxfId="6551" priority="191">
      <formula>AB$9&gt;=20/24</formula>
    </cfRule>
    <cfRule type="expression" dxfId="6550" priority="192">
      <formula>AND(AB$9&gt;=14/24,AB$9&lt;20/24)</formula>
    </cfRule>
    <cfRule type="expression" dxfId="6549" priority="193">
      <formula>AND(AB$9&gt;=8/24,AB$9&lt;14/24)</formula>
    </cfRule>
    <cfRule type="expression" dxfId="6548" priority="194">
      <formula>AB$9&lt;8/24</formula>
    </cfRule>
  </conditionalFormatting>
  <conditionalFormatting sqref="AB43:AF45">
    <cfRule type="expression" dxfId="6547" priority="190">
      <formula>AB43&gt;$AG43</formula>
    </cfRule>
  </conditionalFormatting>
  <conditionalFormatting sqref="C86:AF86 C90:AF96 C57:AF59 C71:AA71 C62:AA67 C73:AF76 AB62:AF71">
    <cfRule type="expression" dxfId="6546" priority="186">
      <formula>C$9&gt;=20/24</formula>
    </cfRule>
    <cfRule type="expression" dxfId="6545" priority="187">
      <formula>AND(C$9&gt;=14/24,C$9&lt;20/24)</formula>
    </cfRule>
    <cfRule type="expression" dxfId="6544" priority="188">
      <formula>AND(C$9&gt;=8/24,C$9&lt;14/24)</formula>
    </cfRule>
    <cfRule type="expression" dxfId="6543" priority="189">
      <formula>C$9&lt;8/24</formula>
    </cfRule>
  </conditionalFormatting>
  <conditionalFormatting sqref="C55:AF55 C57:AF59 AB46:AF47">
    <cfRule type="expression" dxfId="6542" priority="181">
      <formula>C46&gt;$AG46</formula>
    </cfRule>
  </conditionalFormatting>
  <conditionalFormatting sqref="U35:AF35">
    <cfRule type="expression" dxfId="6541" priority="177">
      <formula>U$9&gt;=20/24</formula>
    </cfRule>
    <cfRule type="expression" dxfId="6540" priority="178">
      <formula>AND(U$9&gt;=14/24,U$9&lt;20/24)</formula>
    </cfRule>
    <cfRule type="expression" dxfId="6539" priority="179">
      <formula>AND(U$9&gt;=8/24,U$9&lt;14/24)</formula>
    </cfRule>
    <cfRule type="expression" dxfId="6538" priority="180">
      <formula>U$9&lt;8/24</formula>
    </cfRule>
  </conditionalFormatting>
  <conditionalFormatting sqref="U34:AF34">
    <cfRule type="expression" dxfId="6537" priority="169">
      <formula>U$9&gt;=20/24</formula>
    </cfRule>
    <cfRule type="expression" dxfId="6536" priority="170">
      <formula>AND(U$9&gt;=14/24,U$9&lt;20/24)</formula>
    </cfRule>
    <cfRule type="expression" dxfId="6535" priority="171">
      <formula>AND(U$9&gt;=8/24,U$9&lt;14/24)</formula>
    </cfRule>
    <cfRule type="expression" dxfId="6534" priority="172">
      <formula>U$9&lt;8/24</formula>
    </cfRule>
  </conditionalFormatting>
  <conditionalFormatting sqref="U34:AF34">
    <cfRule type="expression" dxfId="6533" priority="168">
      <formula>U34&gt;$AG34</formula>
    </cfRule>
  </conditionalFormatting>
  <conditionalFormatting sqref="AB48:AF54">
    <cfRule type="expression" dxfId="6532" priority="160">
      <formula>AB$9&gt;=20/24</formula>
    </cfRule>
    <cfRule type="expression" dxfId="6531" priority="161">
      <formula>AND(AB$9&gt;=14/24,AB$9&lt;20/24)</formula>
    </cfRule>
    <cfRule type="expression" dxfId="6530" priority="162">
      <formula>AND(AB$9&gt;=8/24,AB$9&lt;14/24)</formula>
    </cfRule>
    <cfRule type="expression" dxfId="6529" priority="163">
      <formula>AB$9&lt;8/24</formula>
    </cfRule>
  </conditionalFormatting>
  <conditionalFormatting sqref="AB48:AF54">
    <cfRule type="expression" dxfId="6528" priority="159">
      <formula>AB48&gt;$AG48</formula>
    </cfRule>
  </conditionalFormatting>
  <conditionalFormatting sqref="M46:AA47">
    <cfRule type="expression" dxfId="6527" priority="155">
      <formula>M$9&gt;=20/24</formula>
    </cfRule>
    <cfRule type="expression" dxfId="6526" priority="156">
      <formula>AND(M$9&gt;=14/24,M$9&lt;20/24)</formula>
    </cfRule>
    <cfRule type="expression" dxfId="6525" priority="157">
      <formula>AND(M$9&gt;=8/24,M$9&lt;14/24)</formula>
    </cfRule>
    <cfRule type="expression" dxfId="6524" priority="158">
      <formula>M$9&lt;8/24</formula>
    </cfRule>
  </conditionalFormatting>
  <conditionalFormatting sqref="M46:AA47">
    <cfRule type="expression" dxfId="6523" priority="154">
      <formula>M46&gt;$AG46</formula>
    </cfRule>
  </conditionalFormatting>
  <conditionalFormatting sqref="C68:AA70">
    <cfRule type="expression" dxfId="6522" priority="115">
      <formula>C$9&gt;=20/24</formula>
    </cfRule>
    <cfRule type="expression" dxfId="6521" priority="116">
      <formula>AND(C$9&gt;=14/24,C$9&lt;20/24)</formula>
    </cfRule>
    <cfRule type="expression" dxfId="6520" priority="117">
      <formula>AND(C$9&gt;=8/24,C$9&lt;14/24)</formula>
    </cfRule>
    <cfRule type="expression" dxfId="6519" priority="118">
      <formula>C$9&lt;8/24</formula>
    </cfRule>
  </conditionalFormatting>
  <conditionalFormatting sqref="B99:B105 B78:AF78 B87:AF87 B11:AF11">
    <cfRule type="expression" dxfId="6518" priority="96">
      <formula>B$9&gt;=20/24</formula>
    </cfRule>
    <cfRule type="expression" dxfId="6517" priority="97">
      <formula>AND(B$9&gt;=14/24,B$9&lt;20/24)</formula>
    </cfRule>
    <cfRule type="expression" dxfId="6516" priority="98">
      <formula>AND(B$9&gt;=8/24,B$9&lt;14/24)</formula>
    </cfRule>
    <cfRule type="expression" dxfId="6515" priority="99">
      <formula>B$9&lt;8/24</formula>
    </cfRule>
  </conditionalFormatting>
  <conditionalFormatting sqref="B37:S37">
    <cfRule type="expression" dxfId="6514" priority="92">
      <formula>B$9&gt;=20/24</formula>
    </cfRule>
    <cfRule type="expression" dxfId="6513" priority="93">
      <formula>AND(B$9&gt;=14/24,B$9&lt;20/24)</formula>
    </cfRule>
    <cfRule type="expression" dxfId="6512" priority="94">
      <formula>AND(B$9&gt;=8/24,B$9&lt;14/24)</formula>
    </cfRule>
    <cfRule type="expression" dxfId="6511" priority="95">
      <formula>B$9&lt;8/24</formula>
    </cfRule>
  </conditionalFormatting>
  <conditionalFormatting sqref="B37:S37 B11:AF11">
    <cfRule type="expression" dxfId="6510" priority="91">
      <formula>B11&gt;$AG11</formula>
    </cfRule>
  </conditionalFormatting>
  <conditionalFormatting sqref="B89">
    <cfRule type="expression" dxfId="6509" priority="87">
      <formula>B$9&gt;=20/24</formula>
    </cfRule>
    <cfRule type="expression" dxfId="6508" priority="88">
      <formula>AND(B$9&gt;=14/24,B$9&lt;20/24)</formula>
    </cfRule>
    <cfRule type="expression" dxfId="6507" priority="89">
      <formula>AND(B$9&gt;=8/24,B$9&lt;14/24)</formula>
    </cfRule>
    <cfRule type="expression" dxfId="6506" priority="90">
      <formula>B$9&lt;8/24</formula>
    </cfRule>
  </conditionalFormatting>
  <conditionalFormatting sqref="B61 B44:AA45 B36:AF36">
    <cfRule type="expression" dxfId="6505" priority="83">
      <formula>B$9&gt;=20/24</formula>
    </cfRule>
    <cfRule type="expression" dxfId="6504" priority="84">
      <formula>AND(B$9&gt;=14/24,B$9&lt;20/24)</formula>
    </cfRule>
    <cfRule type="expression" dxfId="6503" priority="85">
      <formula>AND(B$9&gt;=8/24,B$9&lt;14/24)</formula>
    </cfRule>
    <cfRule type="expression" dxfId="6502" priority="86">
      <formula>B$9&lt;8/24</formula>
    </cfRule>
  </conditionalFormatting>
  <conditionalFormatting sqref="B43:AA43">
    <cfRule type="expression" dxfId="6501" priority="79">
      <formula>B$9&gt;=20/24</formula>
    </cfRule>
    <cfRule type="expression" dxfId="6500" priority="80">
      <formula>AND(B$9&gt;=14/24,B$9&lt;20/24)</formula>
    </cfRule>
    <cfRule type="expression" dxfId="6499" priority="81">
      <formula>AND(B$9&gt;=8/24,B$9&lt;14/24)</formula>
    </cfRule>
    <cfRule type="expression" dxfId="6498" priority="82">
      <formula>B$9&lt;8/24</formula>
    </cfRule>
  </conditionalFormatting>
  <conditionalFormatting sqref="B43:AA45 B36:AF36">
    <cfRule type="expression" dxfId="6497" priority="78">
      <formula>B36&gt;$AG36</formula>
    </cfRule>
  </conditionalFormatting>
  <conditionalFormatting sqref="B90:B96 B57:B60 B62:B71 B73:B77 B79:AF79 B86 C60:AG60 C77:AG77 B88:AF88 B12:AF14 B16:AF16 B18:AF22 B24:AF26 B28:AF30 B32:AF32">
    <cfRule type="expression" dxfId="6496" priority="74">
      <formula>B$9&gt;=20/24</formula>
    </cfRule>
    <cfRule type="expression" dxfId="6495" priority="75">
      <formula>AND(B$9&gt;=14/24,B$9&lt;20/24)</formula>
    </cfRule>
    <cfRule type="expression" dxfId="6494" priority="76">
      <formula>AND(B$9&gt;=8/24,B$9&lt;14/24)</formula>
    </cfRule>
    <cfRule type="expression" dxfId="6493" priority="77">
      <formula>B$9&lt;8/24</formula>
    </cfRule>
  </conditionalFormatting>
  <conditionalFormatting sqref="B33:AF33">
    <cfRule type="expression" dxfId="6492" priority="70">
      <formula>B$9&gt;=20/24</formula>
    </cfRule>
    <cfRule type="expression" dxfId="6491" priority="71">
      <formula>AND(B$9&gt;=14/24,B$9&lt;20/24)</formula>
    </cfRule>
    <cfRule type="expression" dxfId="6490" priority="72">
      <formula>AND(B$9&gt;=8/24,B$9&lt;14/24)</formula>
    </cfRule>
    <cfRule type="expression" dxfId="6489" priority="73">
      <formula>B$9&lt;8/24</formula>
    </cfRule>
  </conditionalFormatting>
  <conditionalFormatting sqref="B55:B60 B38:AG38 C56:AG56 C60:AG60 B46:L47 B18:AF22 B24:AF30 B32:AF33">
    <cfRule type="expression" dxfId="6488" priority="69">
      <formula>B18&gt;$AG18</formula>
    </cfRule>
  </conditionalFormatting>
  <conditionalFormatting sqref="B35:T35">
    <cfRule type="expression" dxfId="6487" priority="65">
      <formula>B$9&gt;=20/24</formula>
    </cfRule>
    <cfRule type="expression" dxfId="6486" priority="66">
      <formula>AND(B$9&gt;=14/24,B$9&lt;20/24)</formula>
    </cfRule>
    <cfRule type="expression" dxfId="6485" priority="67">
      <formula>AND(B$9&gt;=8/24,B$9&lt;14/24)</formula>
    </cfRule>
    <cfRule type="expression" dxfId="6484" priority="68">
      <formula>B$9&lt;8/24</formula>
    </cfRule>
  </conditionalFormatting>
  <conditionalFormatting sqref="B15:AF15">
    <cfRule type="expression" dxfId="6483" priority="61">
      <formula>B$9&gt;=20/24</formula>
    </cfRule>
    <cfRule type="expression" dxfId="6482" priority="62">
      <formula>AND(B$9&gt;=14/24,B$9&lt;20/24)</formula>
    </cfRule>
    <cfRule type="expression" dxfId="6481" priority="63">
      <formula>AND(B$9&gt;=8/24,B$9&lt;14/24)</formula>
    </cfRule>
    <cfRule type="expression" dxfId="6480" priority="64">
      <formula>B$9&lt;8/24</formula>
    </cfRule>
  </conditionalFormatting>
  <conditionalFormatting sqref="B34:T34">
    <cfRule type="expression" dxfId="6479" priority="57">
      <formula>B$9&gt;=20/24</formula>
    </cfRule>
    <cfRule type="expression" dxfId="6478" priority="58">
      <formula>AND(B$9&gt;=14/24,B$9&lt;20/24)</formula>
    </cfRule>
    <cfRule type="expression" dxfId="6477" priority="59">
      <formula>AND(B$9&gt;=8/24,B$9&lt;14/24)</formula>
    </cfRule>
    <cfRule type="expression" dxfId="6476" priority="60">
      <formula>B$9&lt;8/24</formula>
    </cfRule>
  </conditionalFormatting>
  <conditionalFormatting sqref="B34:T34">
    <cfRule type="expression" dxfId="6475" priority="56">
      <formula>B34&gt;$AG34</formula>
    </cfRule>
  </conditionalFormatting>
  <conditionalFormatting sqref="B48:AA54">
    <cfRule type="expression" dxfId="6474" priority="52">
      <formula>B$9&gt;=20/24</formula>
    </cfRule>
    <cfRule type="expression" dxfId="6473" priority="53">
      <formula>AND(B$9&gt;=14/24,B$9&lt;20/24)</formula>
    </cfRule>
    <cfRule type="expression" dxfId="6472" priority="54">
      <formula>AND(B$9&gt;=8/24,B$9&lt;14/24)</formula>
    </cfRule>
    <cfRule type="expression" dxfId="6471" priority="55">
      <formula>B$9&lt;8/24</formula>
    </cfRule>
  </conditionalFormatting>
  <conditionalFormatting sqref="B48:AA54">
    <cfRule type="expression" dxfId="6470" priority="51">
      <formula>B48&gt;$AG48</formula>
    </cfRule>
  </conditionalFormatting>
  <conditionalFormatting sqref="B27:AF27">
    <cfRule type="expression" dxfId="6469" priority="47">
      <formula>B$9&gt;=20/24</formula>
    </cfRule>
    <cfRule type="expression" dxfId="6468" priority="48">
      <formula>AND(B$9&gt;=14/24,B$9&lt;20/24)</formula>
    </cfRule>
    <cfRule type="expression" dxfId="6467" priority="49">
      <formula>AND(B$9&gt;=8/24,B$9&lt;14/24)</formula>
    </cfRule>
    <cfRule type="expression" dxfId="6466" priority="50">
      <formula>B$9&lt;8/24</formula>
    </cfRule>
  </conditionalFormatting>
  <conditionalFormatting sqref="B17:AF17 B23:AF23">
    <cfRule type="expression" dxfId="6465" priority="43">
      <formula>B$9&gt;=20/24</formula>
    </cfRule>
    <cfRule type="expression" dxfId="6464" priority="44">
      <formula>AND(B$9&gt;=14/24,B$9&lt;20/24)</formula>
    </cfRule>
    <cfRule type="expression" dxfId="6463" priority="45">
      <formula>AND(B$9&gt;=8/24,B$9&lt;14/24)</formula>
    </cfRule>
    <cfRule type="expression" dxfId="6462" priority="46">
      <formula>B$9&lt;8/24</formula>
    </cfRule>
  </conditionalFormatting>
  <conditionalFormatting sqref="B17:AF17 B23:AF23">
    <cfRule type="expression" dxfId="6461" priority="42">
      <formula>B17&gt;$AG17</formula>
    </cfRule>
  </conditionalFormatting>
  <conditionalFormatting sqref="A34">
    <cfRule type="expression" dxfId="6460" priority="41">
      <formula>$AH34=0</formula>
    </cfRule>
  </conditionalFormatting>
  <conditionalFormatting sqref="B72:AF72">
    <cfRule type="expression" dxfId="6459" priority="37">
      <formula>B$9&gt;=20/24</formula>
    </cfRule>
    <cfRule type="expression" dxfId="6458" priority="38">
      <formula>AND(B$9&gt;=14/24,B$9&lt;20/24)</formula>
    </cfRule>
    <cfRule type="expression" dxfId="6457" priority="39">
      <formula>AND(B$9&gt;=8/24,B$9&lt;14/24)</formula>
    </cfRule>
    <cfRule type="expression" dxfId="6456" priority="40">
      <formula>B$9&lt;8/24</formula>
    </cfRule>
  </conditionalFormatting>
  <conditionalFormatting sqref="B81:AF85">
    <cfRule type="expression" dxfId="6455" priority="33">
      <formula>B$9&gt;=20/24</formula>
    </cfRule>
    <cfRule type="expression" dxfId="6454" priority="34">
      <formula>AND(B$9&gt;=14/24,B$9&lt;20/24)</formula>
    </cfRule>
    <cfRule type="expression" dxfId="6453" priority="35">
      <formula>AND(B$9&gt;=8/24,B$9&lt;14/24)</formula>
    </cfRule>
    <cfRule type="expression" dxfId="6452" priority="36">
      <formula>B$9&lt;8/24</formula>
    </cfRule>
  </conditionalFormatting>
  <conditionalFormatting sqref="AL35 AL7:AL30 AL32">
    <cfRule type="iconSet" priority="253">
      <iconSet iconSet="3TrafficLights2" reverse="1">
        <cfvo type="percent" val="0"/>
        <cfvo type="num" val="1"/>
        <cfvo type="num" val="1"/>
      </iconSet>
    </cfRule>
  </conditionalFormatting>
  <conditionalFormatting sqref="AB39:AF41">
    <cfRule type="expression" dxfId="6451" priority="29">
      <formula>AB$9&gt;=20/24</formula>
    </cfRule>
    <cfRule type="expression" dxfId="6450" priority="30">
      <formula>AND(AB$9&gt;=14/24,AB$9&lt;20/24)</formula>
    </cfRule>
    <cfRule type="expression" dxfId="6449" priority="31">
      <formula>AND(AB$9&gt;=8/24,AB$9&lt;14/24)</formula>
    </cfRule>
    <cfRule type="expression" dxfId="6448" priority="32">
      <formula>AB$9&lt;8/24</formula>
    </cfRule>
  </conditionalFormatting>
  <conditionalFormatting sqref="AB39:AF41">
    <cfRule type="expression" dxfId="6447" priority="28">
      <formula>AB39&gt;$AG39</formula>
    </cfRule>
  </conditionalFormatting>
  <conditionalFormatting sqref="B39:B42 C39:AA41 C42:AG42">
    <cfRule type="expression" dxfId="6446" priority="24">
      <formula>B$9&gt;=20/24</formula>
    </cfRule>
    <cfRule type="expression" dxfId="6445" priority="25">
      <formula>AND(B$9&gt;=14/24,B$9&lt;20/24)</formula>
    </cfRule>
    <cfRule type="expression" dxfId="6444" priority="26">
      <formula>AND(B$9&gt;=8/24,B$9&lt;14/24)</formula>
    </cfRule>
    <cfRule type="expression" dxfId="6443" priority="27">
      <formula>B$9&lt;8/24</formula>
    </cfRule>
  </conditionalFormatting>
  <conditionalFormatting sqref="B39:B42 C39:AA41 C42:AG42">
    <cfRule type="expression" dxfId="6442" priority="23">
      <formula>B39&gt;$AG39</formula>
    </cfRule>
  </conditionalFormatting>
  <conditionalFormatting sqref="C97:AF97">
    <cfRule type="expression" dxfId="6441" priority="19">
      <formula>C$9&gt;=20/24</formula>
    </cfRule>
    <cfRule type="expression" dxfId="6440" priority="20">
      <formula>AND(C$9&gt;=14/24,C$9&lt;20/24)</formula>
    </cfRule>
    <cfRule type="expression" dxfId="6439" priority="21">
      <formula>AND(C$9&gt;=8/24,C$9&lt;14/24)</formula>
    </cfRule>
    <cfRule type="expression" dxfId="6438" priority="22">
      <formula>C$9&lt;8/24</formula>
    </cfRule>
  </conditionalFormatting>
  <conditionalFormatting sqref="B97">
    <cfRule type="expression" dxfId="6437" priority="15">
      <formula>B$9&gt;=20/24</formula>
    </cfRule>
    <cfRule type="expression" dxfId="6436" priority="16">
      <formula>AND(B$9&gt;=14/24,B$9&lt;20/24)</formula>
    </cfRule>
    <cfRule type="expression" dxfId="6435" priority="17">
      <formula>AND(B$9&gt;=8/24,B$9&lt;14/24)</formula>
    </cfRule>
    <cfRule type="expression" dxfId="6434" priority="18">
      <formula>B$9&lt;8/24</formula>
    </cfRule>
  </conditionalFormatting>
  <conditionalFormatting sqref="AL31">
    <cfRule type="iconSet" priority="14">
      <iconSet iconSet="3TrafficLights2" reverse="1">
        <cfvo type="percent" val="0"/>
        <cfvo type="num" val="1"/>
        <cfvo type="num" val="1"/>
      </iconSet>
    </cfRule>
  </conditionalFormatting>
  <conditionalFormatting sqref="A79">
    <cfRule type="expression" dxfId="6433" priority="2">
      <formula>$AH79=0</formula>
    </cfRule>
  </conditionalFormatting>
  <conditionalFormatting sqref="A80">
    <cfRule type="expression" dxfId="6432" priority="1">
      <formula>$AH80=0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737A878A-9B33-439F-A8A1-A395368DB6EA}">
            <xm:f>'2'!$AH31=0</xm:f>
            <x14:dxf>
              <fill>
                <patternFill>
                  <bgColor rgb="FF51E2F1"/>
                </patternFill>
              </fill>
            </x14:dxf>
          </x14:cfRule>
          <xm:sqref>A31</xm:sqref>
        </x14:conditionalFormatting>
        <x14:conditionalFormatting xmlns:xm="http://schemas.microsoft.com/office/excel/2006/main">
          <x14:cfRule type="expression" priority="9" id="{645FEA4A-D30C-4470-9536-FCC96092075E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" id="{03E86F68-B4EE-4FB0-8B27-151BD7BB2CF3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1" id="{2F69F95D-A24F-43D0-95CB-1F5E1D3E43ED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2" id="{54B5D484-25E7-4426-B6D5-1B912870F087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B31:AF31 B80:AF80</xm:sqref>
        </x14:conditionalFormatting>
        <x14:conditionalFormatting xmlns:xm="http://schemas.microsoft.com/office/excel/2006/main">
          <x14:cfRule type="expression" priority="8" id="{B43B6BC3-FC61-449E-96C8-9B67082A37DF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2"/>
  <sheetViews>
    <sheetView zoomScale="90" zoomScaleNormal="9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R12" sqref="R12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2" width="6" bestFit="1" customWidth="1"/>
    <col min="13" max="13" width="8.28515625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2079/02/4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("&amp;ROUND(B237,0)&amp;" MW)"&amp;"    IPP   = "&amp;ROUND(B232,0)&amp;" MW     NEA RoR = "&amp;ROUND(B233,0)&amp;" MWImport   = "&amp;ROUND(B235,0)&amp;" MW      KL1+KL2+K3 = "&amp;ROUND(B234,0) &amp;" MW    EXPORT = "&amp;ROUND(B236,0)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52.8</v>
      </c>
      <c r="C5" s="32">
        <f t="shared" si="0"/>
        <v>58.9</v>
      </c>
      <c r="D5" s="32">
        <f t="shared" si="0"/>
        <v>21.6</v>
      </c>
      <c r="E5" s="32">
        <f t="shared" si="0"/>
        <v>17</v>
      </c>
      <c r="F5" s="32">
        <f t="shared" si="0"/>
        <v>27</v>
      </c>
      <c r="G5" s="32">
        <f t="shared" si="0"/>
        <v>23</v>
      </c>
      <c r="H5" s="32">
        <f t="shared" si="0"/>
        <v>12.1</v>
      </c>
      <c r="I5" s="32">
        <f t="shared" si="0"/>
        <v>20.2</v>
      </c>
      <c r="J5" s="32">
        <f t="shared" si="0"/>
        <v>57.9</v>
      </c>
      <c r="K5" s="32">
        <f t="shared" si="0"/>
        <v>54.3</v>
      </c>
      <c r="L5" s="32">
        <f t="shared" si="0"/>
        <v>37.5</v>
      </c>
      <c r="M5" s="32">
        <f t="shared" si="0"/>
        <v>42.8</v>
      </c>
      <c r="N5" s="32">
        <f t="shared" si="0"/>
        <v>39.4</v>
      </c>
      <c r="O5" s="32">
        <f t="shared" si="0"/>
        <v>55.5</v>
      </c>
      <c r="P5" s="32">
        <f t="shared" si="0"/>
        <v>53.2</v>
      </c>
      <c r="Q5" s="32">
        <f t="shared" si="0"/>
        <v>48.9</v>
      </c>
      <c r="R5" s="32">
        <f t="shared" si="0"/>
        <v>38.51</v>
      </c>
      <c r="S5" s="32">
        <f t="shared" si="0"/>
        <v>44.6</v>
      </c>
      <c r="T5" s="32">
        <f t="shared" si="0"/>
        <v>48.2</v>
      </c>
      <c r="U5" s="32">
        <f t="shared" si="0"/>
        <v>41.6</v>
      </c>
      <c r="V5" s="32">
        <f t="shared" si="0"/>
        <v>41.6</v>
      </c>
      <c r="W5" s="32">
        <f t="shared" si="0"/>
        <v>37.1</v>
      </c>
      <c r="X5" s="32">
        <f t="shared" si="0"/>
        <v>24.9</v>
      </c>
      <c r="Y5" s="32">
        <f t="shared" si="0"/>
        <v>40.1</v>
      </c>
      <c r="Z5" s="32">
        <f t="shared" si="0"/>
        <v>40.1</v>
      </c>
      <c r="AA5" s="32">
        <f t="shared" si="0"/>
        <v>24.3</v>
      </c>
      <c r="AB5" s="32">
        <f t="shared" si="0"/>
        <v>43.5</v>
      </c>
      <c r="AC5" s="32">
        <f t="shared" si="0"/>
        <v>44.5</v>
      </c>
      <c r="AD5" s="32">
        <f t="shared" si="0"/>
        <v>45.5</v>
      </c>
      <c r="AE5" s="32">
        <f t="shared" si="0"/>
        <v>26</v>
      </c>
      <c r="AF5" s="32">
        <f>B72</f>
        <v>72.900000000000006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"&amp;ROUND(B237,0)&amp;"MW at "&amp;TRUNC(B238*24,0)&amp;":"&amp;ROUND((B238*24-TRUNC(B238*24,0))*60,0)&amp;"hr at "&amp;ROUND(B239,1)&amp;"Hz     "&amp;A229&amp;" "&amp;ROUND(B229,0)&amp;"MW at "&amp;TRUNC(C229*24,0)&amp;":"&amp;ROUND((C229*24-TRUNC(C229*24,0))*6,0)&amp;"0hr"</f>
        <v>Evening Peak 0MW at 0:0hr at 0Hz     Morning Peak 1816MW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Load=1677</v>
      </c>
      <c r="B7" s="37">
        <f>B79</f>
        <v>1864.14</v>
      </c>
      <c r="C7" s="37">
        <f t="shared" ref="C7:AF7" si="1">C79</f>
        <v>1844.34</v>
      </c>
      <c r="D7" s="37">
        <f t="shared" si="1"/>
        <v>1849.1399999999999</v>
      </c>
      <c r="E7" s="37">
        <f t="shared" si="1"/>
        <v>1810.6399999999999</v>
      </c>
      <c r="F7" s="37">
        <f t="shared" si="1"/>
        <v>1806.04</v>
      </c>
      <c r="G7" s="37">
        <f t="shared" si="1"/>
        <v>1785.1399999999999</v>
      </c>
      <c r="H7" s="37">
        <f t="shared" si="1"/>
        <v>1781.1399999999999</v>
      </c>
      <c r="I7" s="37">
        <f t="shared" si="1"/>
        <v>1770.2399999999998</v>
      </c>
      <c r="J7" s="37">
        <f t="shared" si="1"/>
        <v>1781.14</v>
      </c>
      <c r="K7" s="37">
        <f t="shared" si="1"/>
        <v>1811.3400000000001</v>
      </c>
      <c r="L7" s="37">
        <f t="shared" si="1"/>
        <v>1816.04</v>
      </c>
      <c r="M7" s="37">
        <f t="shared" si="1"/>
        <v>1801.2400000000002</v>
      </c>
      <c r="N7" s="37">
        <f t="shared" si="1"/>
        <v>1774.1399999999999</v>
      </c>
      <c r="O7" s="37">
        <f t="shared" si="1"/>
        <v>1812.74</v>
      </c>
      <c r="P7" s="37">
        <f t="shared" si="1"/>
        <v>1798.64</v>
      </c>
      <c r="Q7" s="37">
        <f t="shared" si="1"/>
        <v>1798.3400000000001</v>
      </c>
      <c r="R7" s="37">
        <f t="shared" si="1"/>
        <v>1684.64</v>
      </c>
      <c r="S7" s="37">
        <f t="shared" si="1"/>
        <v>1676.96</v>
      </c>
      <c r="T7" s="37">
        <f t="shared" si="1"/>
        <v>1692.6399999999999</v>
      </c>
      <c r="U7" s="37">
        <f t="shared" si="1"/>
        <v>1681.4399999999998</v>
      </c>
      <c r="V7" s="37">
        <f t="shared" si="1"/>
        <v>1706.64</v>
      </c>
      <c r="W7" s="37">
        <f t="shared" si="1"/>
        <v>1755.7399999999998</v>
      </c>
      <c r="X7" s="37">
        <f t="shared" si="1"/>
        <v>1757.74</v>
      </c>
      <c r="Y7" s="37">
        <f t="shared" si="1"/>
        <v>1761.14</v>
      </c>
      <c r="Z7" s="37">
        <f t="shared" si="1"/>
        <v>1816.34</v>
      </c>
      <c r="AA7" s="37">
        <f t="shared" si="1"/>
        <v>1831.34</v>
      </c>
      <c r="AB7" s="37">
        <f t="shared" si="1"/>
        <v>1815.1399999999999</v>
      </c>
      <c r="AC7" s="37">
        <f t="shared" si="1"/>
        <v>1834.34</v>
      </c>
      <c r="AD7" s="37">
        <f t="shared" si="1"/>
        <v>1833.44</v>
      </c>
      <c r="AE7" s="37">
        <f t="shared" si="1"/>
        <v>1844.6399999999999</v>
      </c>
      <c r="AF7" s="37">
        <f t="shared" si="1"/>
        <v>1825.1399999999999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0">
        <v>54.1</v>
      </c>
      <c r="C11" s="50">
        <v>54</v>
      </c>
      <c r="D11" s="50">
        <v>54</v>
      </c>
      <c r="E11" s="50">
        <v>54</v>
      </c>
      <c r="F11" s="50">
        <v>54</v>
      </c>
      <c r="G11" s="50">
        <v>54</v>
      </c>
      <c r="H11" s="50">
        <v>54</v>
      </c>
      <c r="I11" s="50">
        <v>54</v>
      </c>
      <c r="J11" s="50">
        <v>54</v>
      </c>
      <c r="K11" s="50">
        <v>54</v>
      </c>
      <c r="L11" s="50">
        <v>54</v>
      </c>
      <c r="M11" s="50">
        <v>53.9</v>
      </c>
      <c r="N11" s="50">
        <v>54</v>
      </c>
      <c r="O11" s="50">
        <v>54</v>
      </c>
      <c r="P11" s="50">
        <v>53.8</v>
      </c>
      <c r="Q11" s="50">
        <v>53.8</v>
      </c>
      <c r="R11" s="50">
        <v>5.8</v>
      </c>
      <c r="S11" s="50">
        <v>53.9</v>
      </c>
      <c r="T11" s="50">
        <v>53.9</v>
      </c>
      <c r="U11" s="50">
        <v>53.9</v>
      </c>
      <c r="V11" s="50">
        <v>53.9</v>
      </c>
      <c r="W11" s="50">
        <v>53.9</v>
      </c>
      <c r="X11" s="50">
        <v>53.9</v>
      </c>
      <c r="Y11" s="50">
        <v>53.9</v>
      </c>
      <c r="Z11" s="50">
        <v>53.9</v>
      </c>
      <c r="AA11" s="50">
        <v>53.9</v>
      </c>
      <c r="AB11" s="50">
        <v>53.9</v>
      </c>
      <c r="AC11" s="50">
        <v>53.9</v>
      </c>
      <c r="AD11" s="50">
        <v>53.9</v>
      </c>
      <c r="AE11" s="50">
        <v>53.9</v>
      </c>
      <c r="AF11" s="50">
        <v>53.9</v>
      </c>
      <c r="AG11" s="133">
        <v>52.4</v>
      </c>
      <c r="AH11" s="54">
        <f>MAX(B11:AF11)</f>
        <v>54.1</v>
      </c>
      <c r="AI11" s="55">
        <f>MIN(B11:AF11)</f>
        <v>5.8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50.7</v>
      </c>
      <c r="C12" s="50">
        <v>50.5</v>
      </c>
      <c r="D12" s="50">
        <v>50.6</v>
      </c>
      <c r="E12" s="50">
        <v>50.6</v>
      </c>
      <c r="F12" s="50">
        <v>50.6</v>
      </c>
      <c r="G12" s="50">
        <v>50.6</v>
      </c>
      <c r="H12" s="50">
        <v>50.6</v>
      </c>
      <c r="I12" s="50">
        <v>50.6</v>
      </c>
      <c r="J12" s="50">
        <v>50.6</v>
      </c>
      <c r="K12" s="50">
        <v>50.6</v>
      </c>
      <c r="L12" s="50">
        <v>50.6</v>
      </c>
      <c r="M12" s="50">
        <v>50.4</v>
      </c>
      <c r="N12" s="50">
        <v>50.3</v>
      </c>
      <c r="O12" s="50">
        <v>50.5</v>
      </c>
      <c r="P12" s="50">
        <v>50.3</v>
      </c>
      <c r="Q12" s="50">
        <v>50.5</v>
      </c>
      <c r="R12" s="50">
        <v>50.5</v>
      </c>
      <c r="S12" s="50">
        <v>50.7</v>
      </c>
      <c r="T12" s="50">
        <v>50.7</v>
      </c>
      <c r="U12" s="50">
        <v>50.3</v>
      </c>
      <c r="V12" s="50">
        <v>50.3</v>
      </c>
      <c r="W12" s="50">
        <v>50.3</v>
      </c>
      <c r="X12" s="50">
        <v>50.3</v>
      </c>
      <c r="Y12" s="50">
        <v>50.3</v>
      </c>
      <c r="Z12" s="50">
        <v>50.3</v>
      </c>
      <c r="AA12" s="50">
        <v>50.3</v>
      </c>
      <c r="AB12" s="50">
        <v>50.3</v>
      </c>
      <c r="AC12" s="50">
        <v>50.3</v>
      </c>
      <c r="AD12" s="50">
        <v>50.3</v>
      </c>
      <c r="AE12" s="50">
        <v>50.3</v>
      </c>
      <c r="AF12" s="50">
        <v>50.3</v>
      </c>
      <c r="AG12" s="134">
        <v>50</v>
      </c>
      <c r="AH12" s="54">
        <f t="shared" ref="AH12:AH79" si="2">MAX(B12:AF12)</f>
        <v>50.7</v>
      </c>
      <c r="AI12" s="55">
        <f t="shared" ref="AI12:AI79" si="3">MIN(B12:AF12)</f>
        <v>50.3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46</v>
      </c>
      <c r="C13" s="50">
        <v>46</v>
      </c>
      <c r="D13" s="50">
        <v>45.9</v>
      </c>
      <c r="E13" s="50">
        <v>45.9</v>
      </c>
      <c r="F13" s="50">
        <v>45.9</v>
      </c>
      <c r="G13" s="50">
        <v>45.9</v>
      </c>
      <c r="H13" s="50">
        <v>45.9</v>
      </c>
      <c r="I13" s="50">
        <v>45.9</v>
      </c>
      <c r="J13" s="50">
        <v>45.9</v>
      </c>
      <c r="K13" s="50">
        <v>45.9</v>
      </c>
      <c r="L13" s="50">
        <v>45.9</v>
      </c>
      <c r="M13" s="50">
        <v>45.9</v>
      </c>
      <c r="N13" s="50">
        <v>45.9</v>
      </c>
      <c r="O13" s="50">
        <v>45.9</v>
      </c>
      <c r="P13" s="50">
        <v>45.9</v>
      </c>
      <c r="Q13" s="50">
        <v>45.9</v>
      </c>
      <c r="R13" s="50">
        <v>45.9</v>
      </c>
      <c r="S13" s="50">
        <v>45.7</v>
      </c>
      <c r="T13" s="50">
        <v>45.7</v>
      </c>
      <c r="U13" s="50">
        <v>45.9</v>
      </c>
      <c r="V13" s="50">
        <v>46</v>
      </c>
      <c r="W13" s="50">
        <v>46</v>
      </c>
      <c r="X13" s="50">
        <v>46</v>
      </c>
      <c r="Y13" s="50">
        <v>46</v>
      </c>
      <c r="Z13" s="50">
        <v>46</v>
      </c>
      <c r="AA13" s="50">
        <v>46</v>
      </c>
      <c r="AB13" s="50">
        <v>46</v>
      </c>
      <c r="AC13" s="50">
        <v>46</v>
      </c>
      <c r="AD13" s="50">
        <v>46</v>
      </c>
      <c r="AE13" s="50">
        <v>46</v>
      </c>
      <c r="AF13" s="50">
        <v>46</v>
      </c>
      <c r="AG13" s="134">
        <v>45</v>
      </c>
      <c r="AH13" s="54">
        <f t="shared" si="2"/>
        <v>46</v>
      </c>
      <c r="AI13" s="55">
        <f t="shared" si="3"/>
        <v>45.7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28</v>
      </c>
      <c r="C14" s="50">
        <v>28</v>
      </c>
      <c r="D14" s="50">
        <v>28</v>
      </c>
      <c r="E14" s="50">
        <v>28</v>
      </c>
      <c r="F14" s="50">
        <v>28</v>
      </c>
      <c r="G14" s="50">
        <v>28</v>
      </c>
      <c r="H14" s="50">
        <v>28</v>
      </c>
      <c r="I14" s="50">
        <v>28</v>
      </c>
      <c r="J14" s="50">
        <v>28</v>
      </c>
      <c r="K14" s="50">
        <v>28</v>
      </c>
      <c r="L14" s="50">
        <v>28</v>
      </c>
      <c r="M14" s="50">
        <v>28</v>
      </c>
      <c r="N14" s="50">
        <v>28</v>
      </c>
      <c r="O14" s="50">
        <v>28</v>
      </c>
      <c r="P14" s="50">
        <v>28</v>
      </c>
      <c r="Q14" s="50">
        <v>28</v>
      </c>
      <c r="R14" s="50">
        <v>28</v>
      </c>
      <c r="S14" s="50">
        <v>28</v>
      </c>
      <c r="T14" s="50">
        <v>28</v>
      </c>
      <c r="U14" s="50">
        <v>28</v>
      </c>
      <c r="V14" s="50">
        <v>28</v>
      </c>
      <c r="W14" s="50">
        <v>28</v>
      </c>
      <c r="X14" s="50">
        <v>28</v>
      </c>
      <c r="Y14" s="50">
        <v>28</v>
      </c>
      <c r="Z14" s="50">
        <v>28</v>
      </c>
      <c r="AA14" s="50">
        <v>28</v>
      </c>
      <c r="AB14" s="50">
        <v>28</v>
      </c>
      <c r="AC14" s="50">
        <v>28</v>
      </c>
      <c r="AD14" s="50">
        <v>28</v>
      </c>
      <c r="AE14" s="50">
        <v>28</v>
      </c>
      <c r="AF14" s="50">
        <v>28</v>
      </c>
      <c r="AG14" s="134">
        <v>42</v>
      </c>
      <c r="AH14" s="54">
        <f t="shared" si="2"/>
        <v>28</v>
      </c>
      <c r="AI14" s="55">
        <f t="shared" si="3"/>
        <v>28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30</v>
      </c>
      <c r="C15" s="50">
        <v>30</v>
      </c>
      <c r="D15" s="50">
        <v>30</v>
      </c>
      <c r="E15" s="50">
        <v>30</v>
      </c>
      <c r="F15" s="50">
        <v>30</v>
      </c>
      <c r="G15" s="50">
        <v>30</v>
      </c>
      <c r="H15" s="50">
        <v>30</v>
      </c>
      <c r="I15" s="50">
        <v>30</v>
      </c>
      <c r="J15" s="50">
        <v>30</v>
      </c>
      <c r="K15" s="50">
        <v>30</v>
      </c>
      <c r="L15" s="50">
        <v>30</v>
      </c>
      <c r="M15" s="50">
        <v>30</v>
      </c>
      <c r="N15" s="50">
        <v>20</v>
      </c>
      <c r="O15" s="50">
        <v>20</v>
      </c>
      <c r="P15" s="50">
        <v>0</v>
      </c>
      <c r="Q15" s="50">
        <v>0</v>
      </c>
      <c r="R15" s="50">
        <v>0</v>
      </c>
      <c r="S15" s="50">
        <v>15</v>
      </c>
      <c r="T15" s="50">
        <v>15</v>
      </c>
      <c r="U15" s="50">
        <v>15</v>
      </c>
      <c r="V15" s="50">
        <v>15</v>
      </c>
      <c r="W15" s="50">
        <v>15</v>
      </c>
      <c r="X15" s="50">
        <v>15</v>
      </c>
      <c r="Y15" s="50">
        <v>15</v>
      </c>
      <c r="Z15" s="50">
        <v>15</v>
      </c>
      <c r="AA15" s="50">
        <v>30</v>
      </c>
      <c r="AB15" s="50">
        <v>30</v>
      </c>
      <c r="AC15" s="50">
        <v>30</v>
      </c>
      <c r="AD15" s="50">
        <v>30</v>
      </c>
      <c r="AE15" s="50">
        <v>30</v>
      </c>
      <c r="AF15" s="50">
        <v>30</v>
      </c>
      <c r="AG15" s="135">
        <v>30</v>
      </c>
      <c r="AH15" s="54">
        <f t="shared" si="2"/>
        <v>30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26</v>
      </c>
      <c r="C16" s="50">
        <v>26.1</v>
      </c>
      <c r="D16" s="50">
        <v>26.1</v>
      </c>
      <c r="E16" s="50">
        <v>26.1</v>
      </c>
      <c r="F16" s="50">
        <v>26.1</v>
      </c>
      <c r="G16" s="50">
        <v>26.1</v>
      </c>
      <c r="H16" s="50">
        <v>26.1</v>
      </c>
      <c r="I16" s="50">
        <v>26.1</v>
      </c>
      <c r="J16" s="50">
        <v>26.1</v>
      </c>
      <c r="K16" s="50">
        <v>26.1</v>
      </c>
      <c r="L16" s="50">
        <v>26.1</v>
      </c>
      <c r="M16" s="50">
        <v>26</v>
      </c>
      <c r="N16" s="50">
        <v>0</v>
      </c>
      <c r="O16" s="50">
        <v>26.1</v>
      </c>
      <c r="P16" s="50">
        <v>26.1</v>
      </c>
      <c r="Q16" s="50">
        <v>26.2</v>
      </c>
      <c r="R16" s="50">
        <v>26.2</v>
      </c>
      <c r="S16" s="50">
        <v>26.2</v>
      </c>
      <c r="T16" s="50">
        <v>26.2</v>
      </c>
      <c r="U16" s="50">
        <v>26.2</v>
      </c>
      <c r="V16" s="50">
        <v>26.2</v>
      </c>
      <c r="W16" s="50">
        <v>26.2</v>
      </c>
      <c r="X16" s="50">
        <v>26.2</v>
      </c>
      <c r="Y16" s="50">
        <v>26.2</v>
      </c>
      <c r="Z16" s="50">
        <v>26.2</v>
      </c>
      <c r="AA16" s="50">
        <v>26.2</v>
      </c>
      <c r="AB16" s="50">
        <v>26.2</v>
      </c>
      <c r="AC16" s="50">
        <v>26.2</v>
      </c>
      <c r="AD16" s="50">
        <v>26.2</v>
      </c>
      <c r="AE16" s="50">
        <v>26.2</v>
      </c>
      <c r="AF16" s="50">
        <v>26.2</v>
      </c>
      <c r="AG16" s="134">
        <v>25</v>
      </c>
      <c r="AH16" s="54">
        <f t="shared" si="2"/>
        <v>26.2</v>
      </c>
      <c r="AI16" s="55">
        <f t="shared" si="3"/>
        <v>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25</v>
      </c>
      <c r="D18" s="50">
        <v>25</v>
      </c>
      <c r="E18" s="50">
        <v>25</v>
      </c>
      <c r="F18" s="50">
        <v>25</v>
      </c>
      <c r="G18" s="50">
        <v>25</v>
      </c>
      <c r="H18" s="50">
        <v>25</v>
      </c>
      <c r="I18" s="50">
        <v>25</v>
      </c>
      <c r="J18" s="50">
        <v>25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25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33</v>
      </c>
      <c r="C19" s="50">
        <v>33</v>
      </c>
      <c r="D19" s="50">
        <v>33.200000000000003</v>
      </c>
      <c r="E19" s="50">
        <v>33.200000000000003</v>
      </c>
      <c r="F19" s="50">
        <v>33.200000000000003</v>
      </c>
      <c r="G19" s="50">
        <v>33.200000000000003</v>
      </c>
      <c r="H19" s="50">
        <v>33.200000000000003</v>
      </c>
      <c r="I19" s="50">
        <v>33.200000000000003</v>
      </c>
      <c r="J19" s="50">
        <v>33.200000000000003</v>
      </c>
      <c r="K19" s="50">
        <v>33.200000000000003</v>
      </c>
      <c r="L19" s="50">
        <v>33.200000000000003</v>
      </c>
      <c r="M19" s="50">
        <v>33.1</v>
      </c>
      <c r="N19" s="50">
        <v>26</v>
      </c>
      <c r="O19" s="50">
        <v>26</v>
      </c>
      <c r="P19" s="50">
        <v>26</v>
      </c>
      <c r="Q19" s="50">
        <v>26</v>
      </c>
      <c r="R19" s="50">
        <v>26</v>
      </c>
      <c r="S19" s="50">
        <v>26</v>
      </c>
      <c r="T19" s="50">
        <v>26</v>
      </c>
      <c r="U19" s="50">
        <v>26</v>
      </c>
      <c r="V19" s="50">
        <v>26</v>
      </c>
      <c r="W19" s="50">
        <v>26</v>
      </c>
      <c r="X19" s="50">
        <v>26</v>
      </c>
      <c r="Y19" s="50">
        <v>26</v>
      </c>
      <c r="Z19" s="50">
        <v>26</v>
      </c>
      <c r="AA19" s="50">
        <v>26</v>
      </c>
      <c r="AB19" s="50">
        <v>26</v>
      </c>
      <c r="AC19" s="50">
        <v>26</v>
      </c>
      <c r="AD19" s="50">
        <v>26</v>
      </c>
      <c r="AE19" s="50">
        <v>26</v>
      </c>
      <c r="AF19" s="50">
        <v>26</v>
      </c>
      <c r="AG19" s="134">
        <v>24.2</v>
      </c>
      <c r="AH19" s="54">
        <f t="shared" si="2"/>
        <v>33.200000000000003</v>
      </c>
      <c r="AI19" s="55">
        <f t="shared" si="3"/>
        <v>26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23.4</v>
      </c>
      <c r="C20" s="50">
        <v>23.4</v>
      </c>
      <c r="D20" s="50">
        <v>23.3</v>
      </c>
      <c r="E20" s="50">
        <v>23.3</v>
      </c>
      <c r="F20" s="50">
        <v>23.3</v>
      </c>
      <c r="G20" s="50">
        <v>23.3</v>
      </c>
      <c r="H20" s="50">
        <v>23.3</v>
      </c>
      <c r="I20" s="50">
        <v>23.3</v>
      </c>
      <c r="J20" s="50">
        <v>23.3</v>
      </c>
      <c r="K20" s="50">
        <v>23.3</v>
      </c>
      <c r="L20" s="50">
        <v>23.3</v>
      </c>
      <c r="M20" s="50">
        <v>23.6</v>
      </c>
      <c r="N20" s="50">
        <v>23.6</v>
      </c>
      <c r="O20" s="50">
        <v>23.6</v>
      </c>
      <c r="P20" s="50">
        <v>23.6</v>
      </c>
      <c r="Q20" s="50">
        <v>23.6</v>
      </c>
      <c r="R20" s="50">
        <v>23.6</v>
      </c>
      <c r="S20" s="50">
        <v>23.6</v>
      </c>
      <c r="T20" s="50">
        <v>23.6</v>
      </c>
      <c r="U20" s="50">
        <v>23.6</v>
      </c>
      <c r="V20" s="50">
        <v>23.6</v>
      </c>
      <c r="W20" s="50">
        <v>23.6</v>
      </c>
      <c r="X20" s="50">
        <v>23.6</v>
      </c>
      <c r="Y20" s="50">
        <v>23.6</v>
      </c>
      <c r="Z20" s="50">
        <v>23.6</v>
      </c>
      <c r="AA20" s="50">
        <v>23.6</v>
      </c>
      <c r="AB20" s="50">
        <v>23.6</v>
      </c>
      <c r="AC20" s="50">
        <v>23.6</v>
      </c>
      <c r="AD20" s="50">
        <v>23.6</v>
      </c>
      <c r="AE20" s="50">
        <v>23.6</v>
      </c>
      <c r="AF20" s="50">
        <v>23.6</v>
      </c>
      <c r="AG20" s="134">
        <v>23.5</v>
      </c>
      <c r="AH20" s="54">
        <f t="shared" si="2"/>
        <v>23.6</v>
      </c>
      <c r="AI20" s="55">
        <f t="shared" si="3"/>
        <v>23.3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21</v>
      </c>
      <c r="C21" s="50">
        <v>21</v>
      </c>
      <c r="D21" s="50">
        <v>21</v>
      </c>
      <c r="E21" s="50">
        <v>21</v>
      </c>
      <c r="F21" s="50">
        <v>21</v>
      </c>
      <c r="G21" s="50">
        <v>21</v>
      </c>
      <c r="H21" s="50">
        <v>21</v>
      </c>
      <c r="I21" s="50">
        <v>21</v>
      </c>
      <c r="J21" s="50">
        <v>21</v>
      </c>
      <c r="K21" s="50">
        <v>21</v>
      </c>
      <c r="L21" s="50">
        <v>21</v>
      </c>
      <c r="M21" s="50">
        <v>21</v>
      </c>
      <c r="N21" s="50">
        <v>21</v>
      </c>
      <c r="O21" s="50">
        <v>21</v>
      </c>
      <c r="P21" s="50">
        <v>21</v>
      </c>
      <c r="Q21" s="50">
        <v>21</v>
      </c>
      <c r="R21" s="50">
        <v>21</v>
      </c>
      <c r="S21" s="50">
        <v>21</v>
      </c>
      <c r="T21" s="50">
        <v>21</v>
      </c>
      <c r="U21" s="50">
        <v>21</v>
      </c>
      <c r="V21" s="50">
        <v>21</v>
      </c>
      <c r="W21" s="50">
        <v>21</v>
      </c>
      <c r="X21" s="50">
        <v>21</v>
      </c>
      <c r="Y21" s="50">
        <v>21</v>
      </c>
      <c r="Z21" s="50">
        <v>21</v>
      </c>
      <c r="AA21" s="50">
        <v>21</v>
      </c>
      <c r="AB21" s="50">
        <v>21</v>
      </c>
      <c r="AC21" s="50">
        <v>21</v>
      </c>
      <c r="AD21" s="50">
        <v>21</v>
      </c>
      <c r="AE21" s="50">
        <v>21</v>
      </c>
      <c r="AF21" s="50">
        <v>21</v>
      </c>
      <c r="AG21" s="134">
        <v>22.2</v>
      </c>
      <c r="AH21" s="54">
        <f t="shared" si="2"/>
        <v>21</v>
      </c>
      <c r="AI21" s="55">
        <f t="shared" si="3"/>
        <v>21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16</v>
      </c>
      <c r="C22" s="50">
        <v>16</v>
      </c>
      <c r="D22" s="50">
        <v>16</v>
      </c>
      <c r="E22" s="50">
        <v>16</v>
      </c>
      <c r="F22" s="50">
        <v>16</v>
      </c>
      <c r="G22" s="50">
        <v>16</v>
      </c>
      <c r="H22" s="50">
        <v>16</v>
      </c>
      <c r="I22" s="50">
        <v>16</v>
      </c>
      <c r="J22" s="50">
        <v>16</v>
      </c>
      <c r="K22" s="50">
        <v>16</v>
      </c>
      <c r="L22" s="50">
        <v>16</v>
      </c>
      <c r="M22" s="50">
        <v>16</v>
      </c>
      <c r="N22" s="50">
        <v>16</v>
      </c>
      <c r="O22" s="50">
        <v>16</v>
      </c>
      <c r="P22" s="50">
        <v>16</v>
      </c>
      <c r="Q22" s="50">
        <v>16</v>
      </c>
      <c r="R22" s="50">
        <v>16</v>
      </c>
      <c r="S22" s="50">
        <v>16</v>
      </c>
      <c r="T22" s="50">
        <v>16</v>
      </c>
      <c r="U22" s="50">
        <v>16</v>
      </c>
      <c r="V22" s="50">
        <v>16</v>
      </c>
      <c r="W22" s="50">
        <v>16</v>
      </c>
      <c r="X22" s="50">
        <v>16</v>
      </c>
      <c r="Y22" s="50">
        <v>16</v>
      </c>
      <c r="Z22" s="50">
        <v>16</v>
      </c>
      <c r="AA22" s="50">
        <v>16</v>
      </c>
      <c r="AB22" s="50">
        <v>23</v>
      </c>
      <c r="AC22" s="50">
        <v>23</v>
      </c>
      <c r="AD22" s="50">
        <v>23</v>
      </c>
      <c r="AE22" s="50">
        <v>23</v>
      </c>
      <c r="AF22" s="50">
        <v>23</v>
      </c>
      <c r="AG22" s="134">
        <v>22.1</v>
      </c>
      <c r="AH22" s="54">
        <f t="shared" si="2"/>
        <v>23</v>
      </c>
      <c r="AI22" s="55">
        <f t="shared" si="3"/>
        <v>16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22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22</v>
      </c>
      <c r="AI24" s="55">
        <f t="shared" si="3"/>
        <v>22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10</v>
      </c>
      <c r="C25" s="50">
        <v>10</v>
      </c>
      <c r="D25" s="50">
        <v>10</v>
      </c>
      <c r="E25" s="50">
        <v>10</v>
      </c>
      <c r="F25" s="50">
        <v>10</v>
      </c>
      <c r="G25" s="50">
        <v>10</v>
      </c>
      <c r="H25" s="50">
        <v>10</v>
      </c>
      <c r="I25" s="50">
        <v>10</v>
      </c>
      <c r="J25" s="50">
        <v>10</v>
      </c>
      <c r="K25" s="50">
        <v>10</v>
      </c>
      <c r="L25" s="50">
        <v>10</v>
      </c>
      <c r="M25" s="50">
        <v>10</v>
      </c>
      <c r="N25" s="50">
        <v>5</v>
      </c>
      <c r="O25" s="50">
        <v>5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10</v>
      </c>
      <c r="Z25" s="50">
        <v>10</v>
      </c>
      <c r="AA25" s="50">
        <v>10</v>
      </c>
      <c r="AB25" s="50">
        <v>10</v>
      </c>
      <c r="AC25" s="50">
        <v>10</v>
      </c>
      <c r="AD25" s="50">
        <v>10</v>
      </c>
      <c r="AE25" s="50">
        <v>10</v>
      </c>
      <c r="AF25" s="50">
        <v>10</v>
      </c>
      <c r="AG25" s="134">
        <v>20</v>
      </c>
      <c r="AH25" s="54">
        <f t="shared" si="2"/>
        <v>10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14</v>
      </c>
      <c r="C26" s="50">
        <v>14</v>
      </c>
      <c r="D26" s="50">
        <v>14</v>
      </c>
      <c r="E26" s="50">
        <v>14</v>
      </c>
      <c r="F26" s="50">
        <v>14</v>
      </c>
      <c r="G26" s="50">
        <v>14</v>
      </c>
      <c r="H26" s="50">
        <v>14</v>
      </c>
      <c r="I26" s="50">
        <v>14</v>
      </c>
      <c r="J26" s="50">
        <v>14</v>
      </c>
      <c r="K26" s="50">
        <v>14</v>
      </c>
      <c r="L26" s="50">
        <v>14</v>
      </c>
      <c r="M26" s="50">
        <v>14</v>
      </c>
      <c r="N26" s="50">
        <v>14</v>
      </c>
      <c r="O26" s="50">
        <v>14</v>
      </c>
      <c r="P26" s="50">
        <v>14</v>
      </c>
      <c r="Q26" s="50">
        <v>14</v>
      </c>
      <c r="R26" s="50">
        <v>14</v>
      </c>
      <c r="S26" s="50">
        <v>14</v>
      </c>
      <c r="T26" s="50">
        <v>14</v>
      </c>
      <c r="U26" s="50">
        <v>14</v>
      </c>
      <c r="V26" s="50">
        <v>14</v>
      </c>
      <c r="W26" s="50">
        <v>14</v>
      </c>
      <c r="X26" s="50">
        <v>14</v>
      </c>
      <c r="Y26" s="50">
        <v>14</v>
      </c>
      <c r="Z26" s="50">
        <v>14</v>
      </c>
      <c r="AA26" s="50">
        <v>14</v>
      </c>
      <c r="AB26" s="50">
        <v>14</v>
      </c>
      <c r="AC26" s="50">
        <v>14</v>
      </c>
      <c r="AD26" s="50">
        <v>14</v>
      </c>
      <c r="AE26" s="50">
        <v>14</v>
      </c>
      <c r="AF26" s="50">
        <v>14</v>
      </c>
      <c r="AG26" s="134">
        <v>14.9</v>
      </c>
      <c r="AH26" s="54">
        <f t="shared" si="2"/>
        <v>14</v>
      </c>
      <c r="AI26" s="55">
        <f t="shared" si="3"/>
        <v>14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0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13</v>
      </c>
      <c r="AF27" s="50">
        <v>13</v>
      </c>
      <c r="AG27" s="134">
        <v>13.6</v>
      </c>
      <c r="AH27" s="54">
        <f t="shared" si="2"/>
        <v>13</v>
      </c>
      <c r="AI27" s="55">
        <f t="shared" si="3"/>
        <v>0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13</v>
      </c>
      <c r="C28" s="50">
        <v>13</v>
      </c>
      <c r="D28" s="50">
        <v>13</v>
      </c>
      <c r="E28" s="50">
        <v>13</v>
      </c>
      <c r="F28" s="50">
        <v>13</v>
      </c>
      <c r="G28" s="50">
        <v>13</v>
      </c>
      <c r="H28" s="50">
        <v>13</v>
      </c>
      <c r="I28" s="50">
        <v>13</v>
      </c>
      <c r="J28" s="50">
        <v>13</v>
      </c>
      <c r="K28" s="50">
        <v>13</v>
      </c>
      <c r="L28" s="50">
        <v>13</v>
      </c>
      <c r="M28" s="50">
        <v>13</v>
      </c>
      <c r="N28" s="50">
        <v>13</v>
      </c>
      <c r="O28" s="50">
        <v>13</v>
      </c>
      <c r="P28" s="50">
        <v>13</v>
      </c>
      <c r="Q28" s="50">
        <v>13</v>
      </c>
      <c r="R28" s="50">
        <v>13</v>
      </c>
      <c r="S28" s="50">
        <v>13</v>
      </c>
      <c r="T28" s="50">
        <v>13</v>
      </c>
      <c r="U28" s="50">
        <v>13</v>
      </c>
      <c r="V28" s="50">
        <v>13</v>
      </c>
      <c r="W28" s="50">
        <v>13</v>
      </c>
      <c r="X28" s="50">
        <v>13</v>
      </c>
      <c r="Y28" s="50">
        <v>13</v>
      </c>
      <c r="Z28" s="50">
        <v>13</v>
      </c>
      <c r="AA28" s="50">
        <v>13</v>
      </c>
      <c r="AB28" s="50">
        <v>13</v>
      </c>
      <c r="AC28" s="50">
        <v>13</v>
      </c>
      <c r="AD28" s="50">
        <v>13</v>
      </c>
      <c r="AE28" s="50">
        <v>13</v>
      </c>
      <c r="AF28" s="50">
        <v>13</v>
      </c>
      <c r="AG28" s="134">
        <v>13</v>
      </c>
      <c r="AH28" s="54">
        <f t="shared" si="2"/>
        <v>13</v>
      </c>
      <c r="AI28" s="55">
        <f t="shared" si="3"/>
        <v>13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12</v>
      </c>
      <c r="C29" s="50">
        <v>12</v>
      </c>
      <c r="D29" s="50">
        <v>12</v>
      </c>
      <c r="E29" s="50">
        <v>12</v>
      </c>
      <c r="F29" s="50">
        <v>12</v>
      </c>
      <c r="G29" s="50">
        <v>12</v>
      </c>
      <c r="H29" s="50">
        <v>12</v>
      </c>
      <c r="I29" s="50">
        <v>12</v>
      </c>
      <c r="J29" s="50">
        <v>12</v>
      </c>
      <c r="K29" s="50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134">
        <v>12</v>
      </c>
      <c r="AH29" s="54">
        <f t="shared" si="2"/>
        <v>12</v>
      </c>
      <c r="AI29" s="55">
        <f t="shared" si="3"/>
        <v>12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8</v>
      </c>
      <c r="C30" s="50">
        <v>8</v>
      </c>
      <c r="D30" s="50">
        <v>8</v>
      </c>
      <c r="E30" s="50">
        <v>8</v>
      </c>
      <c r="F30" s="50">
        <v>8</v>
      </c>
      <c r="G30" s="50">
        <v>8</v>
      </c>
      <c r="H30" s="50">
        <v>8</v>
      </c>
      <c r="I30" s="50">
        <v>8</v>
      </c>
      <c r="J30" s="50">
        <v>8</v>
      </c>
      <c r="K30" s="50">
        <v>8</v>
      </c>
      <c r="L30" s="50">
        <v>8</v>
      </c>
      <c r="M30" s="50">
        <v>8</v>
      </c>
      <c r="N30" s="50">
        <v>8</v>
      </c>
      <c r="O30" s="50">
        <v>8</v>
      </c>
      <c r="P30" s="50">
        <v>8</v>
      </c>
      <c r="Q30" s="50">
        <v>8</v>
      </c>
      <c r="R30" s="50">
        <v>8</v>
      </c>
      <c r="S30" s="50">
        <v>8</v>
      </c>
      <c r="T30" s="50">
        <v>8</v>
      </c>
      <c r="U30" s="50">
        <v>8</v>
      </c>
      <c r="V30" s="50">
        <v>8</v>
      </c>
      <c r="W30" s="50">
        <v>8</v>
      </c>
      <c r="X30" s="50">
        <v>8</v>
      </c>
      <c r="Y30" s="50">
        <v>8</v>
      </c>
      <c r="Z30" s="50">
        <v>8</v>
      </c>
      <c r="AA30" s="50">
        <v>8</v>
      </c>
      <c r="AB30" s="50">
        <v>8</v>
      </c>
      <c r="AC30" s="50">
        <v>8</v>
      </c>
      <c r="AD30" s="50">
        <v>8</v>
      </c>
      <c r="AE30" s="50">
        <v>8</v>
      </c>
      <c r="AF30" s="50">
        <v>8</v>
      </c>
      <c r="AG30" s="134">
        <v>12</v>
      </c>
      <c r="AH30" s="54">
        <f t="shared" si="2"/>
        <v>8</v>
      </c>
      <c r="AI30" s="55">
        <f t="shared" si="3"/>
        <v>8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9</v>
      </c>
      <c r="C31" s="50">
        <v>9</v>
      </c>
      <c r="D31" s="50">
        <v>9</v>
      </c>
      <c r="E31" s="50">
        <v>9</v>
      </c>
      <c r="F31" s="50">
        <v>9</v>
      </c>
      <c r="G31" s="50">
        <v>9</v>
      </c>
      <c r="H31" s="50">
        <v>9</v>
      </c>
      <c r="I31" s="50">
        <v>9</v>
      </c>
      <c r="J31" s="50">
        <v>9</v>
      </c>
      <c r="K31" s="50">
        <v>9</v>
      </c>
      <c r="L31" s="50">
        <v>9</v>
      </c>
      <c r="M31" s="50">
        <v>9</v>
      </c>
      <c r="N31" s="50">
        <v>9</v>
      </c>
      <c r="O31" s="50">
        <v>9</v>
      </c>
      <c r="P31" s="50">
        <v>9</v>
      </c>
      <c r="Q31" s="50">
        <v>9</v>
      </c>
      <c r="R31" s="50">
        <v>9</v>
      </c>
      <c r="S31" s="50">
        <v>9</v>
      </c>
      <c r="T31" s="50">
        <v>9</v>
      </c>
      <c r="U31" s="50">
        <v>9</v>
      </c>
      <c r="V31" s="50">
        <v>9</v>
      </c>
      <c r="W31" s="50">
        <v>9</v>
      </c>
      <c r="X31" s="50">
        <v>9</v>
      </c>
      <c r="Y31" s="50">
        <v>9</v>
      </c>
      <c r="Z31" s="50">
        <v>9</v>
      </c>
      <c r="AA31" s="50">
        <v>9</v>
      </c>
      <c r="AB31" s="50">
        <v>9</v>
      </c>
      <c r="AC31" s="50">
        <v>9</v>
      </c>
      <c r="AD31" s="50">
        <v>9</v>
      </c>
      <c r="AE31" s="50">
        <v>9</v>
      </c>
      <c r="AF31" s="50">
        <v>9</v>
      </c>
      <c r="AG31" s="178">
        <v>22</v>
      </c>
      <c r="AH31" s="54">
        <f>MAX(B31:AF31)</f>
        <v>9</v>
      </c>
      <c r="AI31" s="55">
        <f>MIN(B31:AF31)</f>
        <v>9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5</v>
      </c>
      <c r="C32" s="50">
        <v>5</v>
      </c>
      <c r="D32" s="50">
        <v>5</v>
      </c>
      <c r="E32" s="50">
        <v>5</v>
      </c>
      <c r="F32" s="50">
        <v>5</v>
      </c>
      <c r="G32" s="50">
        <v>5</v>
      </c>
      <c r="H32" s="50">
        <v>5</v>
      </c>
      <c r="I32" s="50">
        <v>5</v>
      </c>
      <c r="J32" s="50">
        <v>5</v>
      </c>
      <c r="K32" s="50">
        <v>5</v>
      </c>
      <c r="L32" s="50">
        <v>5</v>
      </c>
      <c r="M32" s="50">
        <v>5</v>
      </c>
      <c r="N32" s="50">
        <v>5</v>
      </c>
      <c r="O32" s="50">
        <v>5</v>
      </c>
      <c r="P32" s="50">
        <v>5</v>
      </c>
      <c r="Q32" s="50">
        <v>5</v>
      </c>
      <c r="R32" s="50">
        <v>5</v>
      </c>
      <c r="S32" s="50">
        <v>5</v>
      </c>
      <c r="T32" s="50">
        <v>5</v>
      </c>
      <c r="U32" s="50">
        <v>5</v>
      </c>
      <c r="V32" s="50">
        <v>5</v>
      </c>
      <c r="W32" s="50">
        <v>5</v>
      </c>
      <c r="X32" s="50">
        <v>5</v>
      </c>
      <c r="Y32" s="50">
        <v>5</v>
      </c>
      <c r="Z32" s="50">
        <v>5</v>
      </c>
      <c r="AA32" s="50">
        <v>5</v>
      </c>
      <c r="AB32" s="50">
        <v>5</v>
      </c>
      <c r="AC32" s="50">
        <v>5</v>
      </c>
      <c r="AD32" s="50">
        <v>5</v>
      </c>
      <c r="AE32" s="50">
        <v>5</v>
      </c>
      <c r="AF32" s="50">
        <v>5</v>
      </c>
      <c r="AG32" s="135">
        <v>11.88</v>
      </c>
      <c r="AH32" s="54">
        <f t="shared" si="2"/>
        <v>5</v>
      </c>
      <c r="AI32" s="55">
        <f t="shared" si="3"/>
        <v>5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11</v>
      </c>
      <c r="D33" s="50">
        <v>11</v>
      </c>
      <c r="E33" s="50">
        <v>11</v>
      </c>
      <c r="F33" s="50">
        <v>11</v>
      </c>
      <c r="G33" s="50">
        <v>11</v>
      </c>
      <c r="H33" s="50">
        <v>11</v>
      </c>
      <c r="I33" s="50">
        <v>11</v>
      </c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11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9</v>
      </c>
      <c r="C34" s="50">
        <v>9</v>
      </c>
      <c r="D34" s="50">
        <v>9</v>
      </c>
      <c r="E34" s="50">
        <v>9</v>
      </c>
      <c r="F34" s="50">
        <v>9</v>
      </c>
      <c r="G34" s="50">
        <v>9</v>
      </c>
      <c r="H34" s="50">
        <v>9</v>
      </c>
      <c r="I34" s="50">
        <v>9</v>
      </c>
      <c r="J34" s="50">
        <v>9</v>
      </c>
      <c r="K34" s="50">
        <v>9</v>
      </c>
      <c r="L34" s="50">
        <v>9</v>
      </c>
      <c r="M34" s="50">
        <v>9</v>
      </c>
      <c r="N34" s="50">
        <v>9</v>
      </c>
      <c r="O34" s="50">
        <v>9</v>
      </c>
      <c r="P34" s="50">
        <v>9</v>
      </c>
      <c r="Q34" s="50">
        <v>9</v>
      </c>
      <c r="R34" s="50">
        <v>9</v>
      </c>
      <c r="S34" s="50">
        <v>9</v>
      </c>
      <c r="T34" s="50">
        <v>9</v>
      </c>
      <c r="U34" s="50">
        <v>9</v>
      </c>
      <c r="V34" s="50">
        <v>9</v>
      </c>
      <c r="W34" s="50">
        <v>9</v>
      </c>
      <c r="X34" s="50">
        <v>9</v>
      </c>
      <c r="Y34" s="50">
        <v>9</v>
      </c>
      <c r="Z34" s="50">
        <v>9</v>
      </c>
      <c r="AA34" s="50">
        <v>9</v>
      </c>
      <c r="AB34" s="50">
        <v>9</v>
      </c>
      <c r="AC34" s="50">
        <v>9</v>
      </c>
      <c r="AD34" s="50">
        <v>9</v>
      </c>
      <c r="AE34" s="50">
        <v>9</v>
      </c>
      <c r="AF34" s="50">
        <v>9</v>
      </c>
      <c r="AG34" s="136">
        <v>10</v>
      </c>
      <c r="AH34" s="54">
        <f t="shared" si="2"/>
        <v>9</v>
      </c>
      <c r="AI34" s="55">
        <f t="shared" si="3"/>
        <v>9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8</v>
      </c>
      <c r="C35" s="50">
        <v>8</v>
      </c>
      <c r="D35" s="50">
        <v>8</v>
      </c>
      <c r="E35" s="50">
        <v>8</v>
      </c>
      <c r="F35" s="50">
        <v>8</v>
      </c>
      <c r="G35" s="50">
        <v>8</v>
      </c>
      <c r="H35" s="50">
        <v>8</v>
      </c>
      <c r="I35" s="50">
        <v>8</v>
      </c>
      <c r="J35" s="50">
        <v>8</v>
      </c>
      <c r="K35" s="50">
        <v>8</v>
      </c>
      <c r="L35" s="50">
        <v>8</v>
      </c>
      <c r="M35" s="50">
        <v>8</v>
      </c>
      <c r="N35" s="50">
        <v>8</v>
      </c>
      <c r="O35" s="50">
        <v>8</v>
      </c>
      <c r="P35" s="50">
        <v>8</v>
      </c>
      <c r="Q35" s="50">
        <v>8</v>
      </c>
      <c r="R35" s="50">
        <v>8</v>
      </c>
      <c r="S35" s="50">
        <v>8</v>
      </c>
      <c r="T35" s="50">
        <v>8</v>
      </c>
      <c r="U35" s="50">
        <v>8</v>
      </c>
      <c r="V35" s="50">
        <v>8</v>
      </c>
      <c r="W35" s="50">
        <v>8</v>
      </c>
      <c r="X35" s="50">
        <v>8</v>
      </c>
      <c r="Y35" s="50">
        <v>8</v>
      </c>
      <c r="Z35" s="50">
        <v>8</v>
      </c>
      <c r="AA35" s="50">
        <v>8</v>
      </c>
      <c r="AB35" s="50">
        <v>8</v>
      </c>
      <c r="AC35" s="50">
        <v>8</v>
      </c>
      <c r="AD35" s="50">
        <v>8</v>
      </c>
      <c r="AE35" s="50">
        <v>8</v>
      </c>
      <c r="AF35" s="50">
        <v>8</v>
      </c>
      <c r="AG35" s="136">
        <v>10</v>
      </c>
      <c r="AH35" s="54">
        <f t="shared" si="2"/>
        <v>8</v>
      </c>
      <c r="AI35" s="55">
        <f t="shared" si="3"/>
        <v>8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302</v>
      </c>
      <c r="C36" s="62">
        <v>302</v>
      </c>
      <c r="D36" s="62">
        <v>302</v>
      </c>
      <c r="E36" s="62">
        <v>302</v>
      </c>
      <c r="F36" s="62">
        <v>302</v>
      </c>
      <c r="G36" s="62">
        <v>302</v>
      </c>
      <c r="H36" s="62">
        <v>302</v>
      </c>
      <c r="I36" s="62">
        <v>302</v>
      </c>
      <c r="J36" s="62">
        <v>302</v>
      </c>
      <c r="K36" s="62">
        <v>302</v>
      </c>
      <c r="L36" s="62">
        <v>302</v>
      </c>
      <c r="M36" s="62">
        <v>302</v>
      </c>
      <c r="N36" s="62">
        <v>302</v>
      </c>
      <c r="O36" s="62">
        <v>302</v>
      </c>
      <c r="P36" s="62">
        <v>302</v>
      </c>
      <c r="Q36" s="62">
        <v>302</v>
      </c>
      <c r="R36" s="62">
        <v>302</v>
      </c>
      <c r="S36" s="62">
        <v>302</v>
      </c>
      <c r="T36" s="62">
        <v>302</v>
      </c>
      <c r="U36" s="62">
        <v>302</v>
      </c>
      <c r="V36" s="62">
        <v>302</v>
      </c>
      <c r="W36" s="62">
        <v>302</v>
      </c>
      <c r="X36" s="62">
        <v>302</v>
      </c>
      <c r="Y36" s="62">
        <v>302</v>
      </c>
      <c r="Z36" s="62">
        <v>302</v>
      </c>
      <c r="AA36" s="62">
        <v>302</v>
      </c>
      <c r="AB36" s="62">
        <v>302</v>
      </c>
      <c r="AC36" s="62">
        <v>302</v>
      </c>
      <c r="AD36" s="62">
        <v>302</v>
      </c>
      <c r="AE36" s="62">
        <v>302</v>
      </c>
      <c r="AF36" s="62">
        <v>302</v>
      </c>
      <c r="AG36" s="136">
        <v>85</v>
      </c>
      <c r="AH36" s="54">
        <f t="shared" si="2"/>
        <v>302</v>
      </c>
      <c r="AI36" s="55">
        <f t="shared" si="3"/>
        <v>302</v>
      </c>
      <c r="AK36" s="56"/>
    </row>
    <row r="37" spans="1:88" ht="15.75" thickBot="1" x14ac:dyDescent="0.3">
      <c r="A37" s="63" t="s">
        <v>21</v>
      </c>
      <c r="B37" s="64">
        <f>67.7+98.4</f>
        <v>166.10000000000002</v>
      </c>
      <c r="C37" s="64">
        <f>67.4+98.3</f>
        <v>165.7</v>
      </c>
      <c r="D37" s="64">
        <f>67.5+98.5</f>
        <v>166</v>
      </c>
      <c r="E37" s="62">
        <f>67.3+98.1</f>
        <v>165.39999999999998</v>
      </c>
      <c r="F37" s="62">
        <f>66.5+97.9</f>
        <v>164.4</v>
      </c>
      <c r="G37" s="62">
        <f>66.5+96.8</f>
        <v>163.30000000000001</v>
      </c>
      <c r="H37" s="62">
        <f>66.5+96.6</f>
        <v>163.1</v>
      </c>
      <c r="I37" s="62">
        <f>65.9+96</f>
        <v>161.9</v>
      </c>
      <c r="J37" s="62">
        <f>66.3+96.8</f>
        <v>163.1</v>
      </c>
      <c r="K37" s="62">
        <f>66+96.5</f>
        <v>162.5</v>
      </c>
      <c r="L37" s="62">
        <f>65.8+96.5</f>
        <v>162.30000000000001</v>
      </c>
      <c r="M37" s="62">
        <f>96.6+65.4</f>
        <v>162</v>
      </c>
      <c r="N37" s="62">
        <f>97.9+64.5</f>
        <v>162.4</v>
      </c>
      <c r="O37" s="62">
        <f>97.6+65.7</f>
        <v>163.30000000000001</v>
      </c>
      <c r="P37" s="62">
        <f>98.2+65.9</f>
        <v>164.10000000000002</v>
      </c>
      <c r="Q37" s="62">
        <f>88.2+65.9</f>
        <v>154.10000000000002</v>
      </c>
      <c r="R37" s="62">
        <v>158.1</v>
      </c>
      <c r="S37" s="62">
        <f>66.4+94.8</f>
        <v>161.19999999999999</v>
      </c>
      <c r="T37" s="62">
        <f>66.4+94.8</f>
        <v>161.19999999999999</v>
      </c>
      <c r="U37" s="62">
        <f>72.9+99.3</f>
        <v>172.2</v>
      </c>
      <c r="V37" s="62">
        <f>72.7+86.8</f>
        <v>159.5</v>
      </c>
      <c r="W37" s="62">
        <f>72.2+91.2</f>
        <v>163.4</v>
      </c>
      <c r="X37" s="62">
        <f>71+97.6</f>
        <v>168.6</v>
      </c>
      <c r="Y37" s="62">
        <f>71+97.6</f>
        <v>168.6</v>
      </c>
      <c r="Z37" s="62">
        <f>70.2+94.5</f>
        <v>164.7</v>
      </c>
      <c r="AA37" s="62">
        <f>70.2+94.5</f>
        <v>164.7</v>
      </c>
      <c r="AB37" s="64">
        <f>70.8+94.4</f>
        <v>165.2</v>
      </c>
      <c r="AC37" s="64">
        <f>70.8+94.4</f>
        <v>165.2</v>
      </c>
      <c r="AD37" s="64">
        <f>71+95</f>
        <v>166</v>
      </c>
      <c r="AE37" s="64">
        <f>71+96</f>
        <v>167</v>
      </c>
      <c r="AF37" s="64">
        <f>71.5+97.2</f>
        <v>168.7</v>
      </c>
      <c r="AG37" s="136">
        <v>240</v>
      </c>
      <c r="AH37" s="54">
        <f t="shared" si="2"/>
        <v>172.2</v>
      </c>
      <c r="AI37" s="55">
        <f t="shared" si="3"/>
        <v>154.10000000000002</v>
      </c>
      <c r="AK37" s="56"/>
    </row>
    <row r="38" spans="1:88" ht="15.75" thickBot="1" x14ac:dyDescent="0.3">
      <c r="A38" s="131" t="s">
        <v>22</v>
      </c>
      <c r="B38" s="66">
        <f t="shared" ref="B38" si="4">SUM(B11:B36)</f>
        <v>823.2</v>
      </c>
      <c r="C38" s="66">
        <f t="shared" ref="C38:AG38" si="5">SUM(C11:C36)</f>
        <v>823</v>
      </c>
      <c r="D38" s="66">
        <f t="shared" si="5"/>
        <v>823.1</v>
      </c>
      <c r="E38" s="66">
        <f t="shared" si="5"/>
        <v>823.1</v>
      </c>
      <c r="F38" s="66">
        <f t="shared" si="5"/>
        <v>823.1</v>
      </c>
      <c r="G38" s="66">
        <f t="shared" si="5"/>
        <v>823.1</v>
      </c>
      <c r="H38" s="66">
        <f t="shared" si="5"/>
        <v>823.1</v>
      </c>
      <c r="I38" s="66">
        <f t="shared" si="5"/>
        <v>823.1</v>
      </c>
      <c r="J38" s="66">
        <f t="shared" si="5"/>
        <v>823.1</v>
      </c>
      <c r="K38" s="66">
        <f t="shared" si="5"/>
        <v>823.1</v>
      </c>
      <c r="L38" s="66">
        <f t="shared" si="5"/>
        <v>823.1</v>
      </c>
      <c r="M38" s="66">
        <f t="shared" si="5"/>
        <v>822.90000000000009</v>
      </c>
      <c r="N38" s="66">
        <f t="shared" si="5"/>
        <v>774.8</v>
      </c>
      <c r="O38" s="66">
        <f t="shared" si="5"/>
        <v>801.1</v>
      </c>
      <c r="P38" s="66">
        <f t="shared" si="5"/>
        <v>775.7</v>
      </c>
      <c r="Q38" s="66">
        <f t="shared" si="5"/>
        <v>776</v>
      </c>
      <c r="R38" s="66">
        <f t="shared" si="5"/>
        <v>728</v>
      </c>
      <c r="S38" s="66">
        <f t="shared" si="5"/>
        <v>791.1</v>
      </c>
      <c r="T38" s="66">
        <f t="shared" si="5"/>
        <v>791.1</v>
      </c>
      <c r="U38" s="66">
        <f t="shared" si="5"/>
        <v>790.9</v>
      </c>
      <c r="V38" s="66">
        <f t="shared" si="5"/>
        <v>791</v>
      </c>
      <c r="W38" s="66">
        <f t="shared" si="5"/>
        <v>791</v>
      </c>
      <c r="X38" s="66">
        <f t="shared" si="5"/>
        <v>791</v>
      </c>
      <c r="Y38" s="66">
        <f t="shared" si="5"/>
        <v>801</v>
      </c>
      <c r="Z38" s="66">
        <f t="shared" si="5"/>
        <v>801</v>
      </c>
      <c r="AA38" s="66">
        <f t="shared" si="5"/>
        <v>816</v>
      </c>
      <c r="AB38" s="66">
        <f t="shared" si="5"/>
        <v>823</v>
      </c>
      <c r="AC38" s="66">
        <f t="shared" si="5"/>
        <v>823</v>
      </c>
      <c r="AD38" s="66">
        <f t="shared" si="5"/>
        <v>823</v>
      </c>
      <c r="AE38" s="66">
        <f t="shared" si="5"/>
        <v>836</v>
      </c>
      <c r="AF38" s="66">
        <f t="shared" si="5"/>
        <v>836</v>
      </c>
      <c r="AG38" s="143">
        <f t="shared" si="5"/>
        <v>665.78</v>
      </c>
      <c r="AH38" s="54">
        <f t="shared" si="2"/>
        <v>836</v>
      </c>
      <c r="AI38" s="55">
        <f t="shared" si="3"/>
        <v>728</v>
      </c>
      <c r="AK38" s="56"/>
    </row>
    <row r="39" spans="1:88" x14ac:dyDescent="0.25">
      <c r="A39" s="159" t="s">
        <v>130</v>
      </c>
      <c r="B39" s="50">
        <v>456</v>
      </c>
      <c r="C39" s="50">
        <v>456</v>
      </c>
      <c r="D39" s="50">
        <v>456</v>
      </c>
      <c r="E39" s="50">
        <v>456</v>
      </c>
      <c r="F39" s="50">
        <v>456</v>
      </c>
      <c r="G39" s="50">
        <v>456</v>
      </c>
      <c r="H39" s="50">
        <v>456</v>
      </c>
      <c r="I39" s="50">
        <v>456</v>
      </c>
      <c r="J39" s="50">
        <v>456</v>
      </c>
      <c r="K39" s="50">
        <v>456</v>
      </c>
      <c r="L39" s="50">
        <v>456</v>
      </c>
      <c r="M39" s="50">
        <v>456</v>
      </c>
      <c r="N39" s="50">
        <v>456</v>
      </c>
      <c r="O39" s="50">
        <v>456</v>
      </c>
      <c r="P39" s="50">
        <v>456</v>
      </c>
      <c r="Q39" s="50">
        <v>456</v>
      </c>
      <c r="R39" s="50">
        <v>456</v>
      </c>
      <c r="S39" s="50">
        <v>456</v>
      </c>
      <c r="T39" s="50">
        <v>456</v>
      </c>
      <c r="U39" s="50">
        <v>456</v>
      </c>
      <c r="V39" s="50">
        <v>456</v>
      </c>
      <c r="W39" s="50">
        <v>456</v>
      </c>
      <c r="X39" s="50">
        <v>456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456</v>
      </c>
      <c r="AF39" s="50">
        <v>456</v>
      </c>
      <c r="AG39" s="135">
        <v>456</v>
      </c>
      <c r="AH39" s="54">
        <f t="shared" si="2"/>
        <v>456</v>
      </c>
      <c r="AI39" s="55">
        <f t="shared" si="3"/>
        <v>456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19.8</v>
      </c>
      <c r="T41" s="70">
        <v>22.5</v>
      </c>
      <c r="U41" s="70">
        <v>22.3</v>
      </c>
      <c r="V41" s="70">
        <v>22.4</v>
      </c>
      <c r="W41" s="70">
        <v>12.1</v>
      </c>
      <c r="X41" s="70">
        <v>22.5</v>
      </c>
      <c r="Y41" s="70">
        <v>22.5</v>
      </c>
      <c r="Z41" s="70">
        <v>22.4</v>
      </c>
      <c r="AA41" s="70">
        <v>22.4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22.5</v>
      </c>
      <c r="AI41" s="55">
        <f t="shared" si="3"/>
        <v>12.1</v>
      </c>
      <c r="AK41" s="56"/>
    </row>
    <row r="42" spans="1:88" ht="15.75" thickBot="1" x14ac:dyDescent="0.3">
      <c r="A42" s="132" t="s">
        <v>129</v>
      </c>
      <c r="B42" s="66">
        <f t="shared" ref="B42" si="6">SUM(B39:B41)</f>
        <v>538</v>
      </c>
      <c r="C42" s="66">
        <f t="shared" ref="C42:AG42" si="7">SUM(C39:C41)</f>
        <v>538</v>
      </c>
      <c r="D42" s="66">
        <f t="shared" si="7"/>
        <v>538</v>
      </c>
      <c r="E42" s="66">
        <f t="shared" si="7"/>
        <v>538</v>
      </c>
      <c r="F42" s="66">
        <f t="shared" si="7"/>
        <v>538</v>
      </c>
      <c r="G42" s="66">
        <f t="shared" si="7"/>
        <v>538</v>
      </c>
      <c r="H42" s="66">
        <f t="shared" si="7"/>
        <v>538</v>
      </c>
      <c r="I42" s="66">
        <f t="shared" si="7"/>
        <v>538</v>
      </c>
      <c r="J42" s="66">
        <f t="shared" si="7"/>
        <v>538</v>
      </c>
      <c r="K42" s="66">
        <f t="shared" si="7"/>
        <v>538</v>
      </c>
      <c r="L42" s="66">
        <f t="shared" si="7"/>
        <v>538</v>
      </c>
      <c r="M42" s="66">
        <f t="shared" si="7"/>
        <v>538</v>
      </c>
      <c r="N42" s="66">
        <f t="shared" si="7"/>
        <v>538</v>
      </c>
      <c r="O42" s="66">
        <f t="shared" si="7"/>
        <v>538</v>
      </c>
      <c r="P42" s="66">
        <f t="shared" si="7"/>
        <v>538</v>
      </c>
      <c r="Q42" s="66">
        <f t="shared" si="7"/>
        <v>538</v>
      </c>
      <c r="R42" s="66">
        <f t="shared" si="7"/>
        <v>538</v>
      </c>
      <c r="S42" s="66">
        <f t="shared" si="7"/>
        <v>535.79999999999995</v>
      </c>
      <c r="T42" s="66">
        <f t="shared" si="7"/>
        <v>538.5</v>
      </c>
      <c r="U42" s="66">
        <f t="shared" si="7"/>
        <v>538.29999999999995</v>
      </c>
      <c r="V42" s="66">
        <f t="shared" si="7"/>
        <v>538.4</v>
      </c>
      <c r="W42" s="66">
        <f t="shared" si="7"/>
        <v>528.1</v>
      </c>
      <c r="X42" s="66">
        <f t="shared" si="7"/>
        <v>538.5</v>
      </c>
      <c r="Y42" s="66">
        <f t="shared" si="7"/>
        <v>538.5</v>
      </c>
      <c r="Z42" s="66">
        <f t="shared" si="7"/>
        <v>538.4</v>
      </c>
      <c r="AA42" s="66">
        <f t="shared" si="7"/>
        <v>538.4</v>
      </c>
      <c r="AB42" s="66">
        <f t="shared" si="7"/>
        <v>538</v>
      </c>
      <c r="AC42" s="66">
        <f t="shared" si="7"/>
        <v>538</v>
      </c>
      <c r="AD42" s="66">
        <f t="shared" si="7"/>
        <v>538</v>
      </c>
      <c r="AE42" s="66">
        <f t="shared" si="7"/>
        <v>538</v>
      </c>
      <c r="AF42" s="66">
        <f t="shared" si="7"/>
        <v>538</v>
      </c>
      <c r="AG42" s="143">
        <f t="shared" si="7"/>
        <v>538.1</v>
      </c>
      <c r="AH42" s="54">
        <f t="shared" si="2"/>
        <v>538.5</v>
      </c>
      <c r="AI42" s="55">
        <f t="shared" si="3"/>
        <v>528.1</v>
      </c>
      <c r="AK42" s="56"/>
    </row>
    <row r="43" spans="1:88" x14ac:dyDescent="0.25">
      <c r="A43" s="57" t="s">
        <v>23</v>
      </c>
      <c r="B43" s="50">
        <v>144</v>
      </c>
      <c r="C43" s="50">
        <v>144.19999999999999</v>
      </c>
      <c r="D43" s="50">
        <v>144.1</v>
      </c>
      <c r="E43" s="50">
        <v>144</v>
      </c>
      <c r="F43" s="50">
        <v>144</v>
      </c>
      <c r="G43" s="50">
        <v>144</v>
      </c>
      <c r="H43" s="50">
        <v>144</v>
      </c>
      <c r="I43" s="50">
        <v>144</v>
      </c>
      <c r="J43" s="50">
        <v>143.80000000000001</v>
      </c>
      <c r="K43" s="50">
        <v>143.69999999999999</v>
      </c>
      <c r="L43" s="50">
        <v>143.69999999999999</v>
      </c>
      <c r="M43" s="50">
        <v>143.4</v>
      </c>
      <c r="N43" s="50">
        <v>143.19999999999999</v>
      </c>
      <c r="O43" s="50">
        <v>143.1</v>
      </c>
      <c r="P43" s="50">
        <v>142.5</v>
      </c>
      <c r="Q43" s="50">
        <v>141.80000000000001</v>
      </c>
      <c r="R43" s="50">
        <v>141.80000000000001</v>
      </c>
      <c r="S43" s="50">
        <v>96.7</v>
      </c>
      <c r="T43" s="50">
        <v>142</v>
      </c>
      <c r="U43" s="50">
        <v>142</v>
      </c>
      <c r="V43" s="50">
        <v>141.80000000000001</v>
      </c>
      <c r="W43" s="50">
        <v>141.30000000000001</v>
      </c>
      <c r="X43" s="50">
        <v>142.30000000000001</v>
      </c>
      <c r="Y43" s="50">
        <v>142.30000000000001</v>
      </c>
      <c r="Z43" s="50">
        <v>142.5</v>
      </c>
      <c r="AA43" s="50">
        <v>142.5</v>
      </c>
      <c r="AB43" s="50">
        <v>142.5</v>
      </c>
      <c r="AC43" s="50">
        <v>142.5</v>
      </c>
      <c r="AD43" s="50">
        <v>140.19999999999999</v>
      </c>
      <c r="AE43" s="50">
        <v>140.19999999999999</v>
      </c>
      <c r="AF43" s="50">
        <v>140.19999999999999</v>
      </c>
      <c r="AG43" s="135">
        <v>144</v>
      </c>
      <c r="AH43" s="54">
        <f t="shared" si="2"/>
        <v>144.19999999999999</v>
      </c>
      <c r="AI43" s="55">
        <f t="shared" si="3"/>
        <v>96.7</v>
      </c>
      <c r="AK43" s="56"/>
    </row>
    <row r="44" spans="1:88" x14ac:dyDescent="0.25">
      <c r="A44" s="60" t="s">
        <v>24</v>
      </c>
      <c r="B44" s="48">
        <v>71.8</v>
      </c>
      <c r="C44" s="48">
        <v>71.599999999999994</v>
      </c>
      <c r="D44" s="48">
        <v>71.5</v>
      </c>
      <c r="E44" s="48">
        <v>70.8</v>
      </c>
      <c r="F44" s="48">
        <v>70.8</v>
      </c>
      <c r="G44" s="48">
        <v>70</v>
      </c>
      <c r="H44" s="48">
        <v>70</v>
      </c>
      <c r="I44" s="48">
        <v>70</v>
      </c>
      <c r="J44" s="48">
        <v>72.7</v>
      </c>
      <c r="K44" s="48">
        <v>72.5</v>
      </c>
      <c r="L44" s="48">
        <v>72.5</v>
      </c>
      <c r="M44" s="50">
        <v>70.3</v>
      </c>
      <c r="N44" s="50">
        <v>70.5</v>
      </c>
      <c r="O44" s="50">
        <v>70.5</v>
      </c>
      <c r="P44" s="50">
        <v>70.099999999999994</v>
      </c>
      <c r="Q44" s="50">
        <v>69.900000000000006</v>
      </c>
      <c r="R44" s="50">
        <v>69.900000000000006</v>
      </c>
      <c r="S44" s="50">
        <v>35.200000000000003</v>
      </c>
      <c r="T44" s="50">
        <v>35.9</v>
      </c>
      <c r="U44" s="50">
        <v>35.1</v>
      </c>
      <c r="V44" s="48">
        <v>36.1</v>
      </c>
      <c r="W44" s="48">
        <v>36</v>
      </c>
      <c r="X44" s="48">
        <v>36</v>
      </c>
      <c r="Y44" s="48">
        <v>36</v>
      </c>
      <c r="Z44" s="48">
        <v>73.8</v>
      </c>
      <c r="AA44" s="48">
        <v>73.8</v>
      </c>
      <c r="AB44" s="48">
        <v>73.8</v>
      </c>
      <c r="AC44" s="48">
        <v>73.8</v>
      </c>
      <c r="AD44" s="48">
        <v>73.8</v>
      </c>
      <c r="AE44" s="48">
        <v>71</v>
      </c>
      <c r="AF44" s="48">
        <v>71</v>
      </c>
      <c r="AG44" s="136">
        <v>70</v>
      </c>
      <c r="AH44" s="54">
        <f t="shared" si="2"/>
        <v>73.8</v>
      </c>
      <c r="AI44" s="55">
        <f t="shared" si="3"/>
        <v>35.1</v>
      </c>
      <c r="AK44" s="56"/>
    </row>
    <row r="45" spans="1:88" x14ac:dyDescent="0.25">
      <c r="A45" s="60" t="s">
        <v>25</v>
      </c>
      <c r="B45" s="48">
        <v>64.3</v>
      </c>
      <c r="C45" s="48">
        <v>64.099999999999994</v>
      </c>
      <c r="D45" s="48">
        <v>64.2</v>
      </c>
      <c r="E45" s="48">
        <v>63.8</v>
      </c>
      <c r="F45" s="48">
        <v>63.8</v>
      </c>
      <c r="G45" s="48">
        <v>62.7</v>
      </c>
      <c r="H45" s="48">
        <v>62.7</v>
      </c>
      <c r="I45" s="48">
        <v>62.7</v>
      </c>
      <c r="J45" s="48">
        <v>63.1</v>
      </c>
      <c r="K45" s="48">
        <v>62.9</v>
      </c>
      <c r="L45" s="48">
        <v>62.9</v>
      </c>
      <c r="M45" s="50">
        <v>63.6</v>
      </c>
      <c r="N45" s="50">
        <v>63</v>
      </c>
      <c r="O45" s="50">
        <v>62.9</v>
      </c>
      <c r="P45" s="50">
        <v>63.2</v>
      </c>
      <c r="Q45" s="50">
        <v>63.2</v>
      </c>
      <c r="R45" s="50">
        <v>63.2</v>
      </c>
      <c r="S45" s="50">
        <v>46.3</v>
      </c>
      <c r="T45" s="50">
        <v>45.7</v>
      </c>
      <c r="U45" s="50">
        <v>45.7</v>
      </c>
      <c r="V45" s="48">
        <v>64.099999999999994</v>
      </c>
      <c r="W45" s="48">
        <v>64.099999999999994</v>
      </c>
      <c r="X45" s="48">
        <v>64.5</v>
      </c>
      <c r="Y45" s="48">
        <v>64.5</v>
      </c>
      <c r="Z45" s="48">
        <v>64.2</v>
      </c>
      <c r="AA45" s="48">
        <v>64.2</v>
      </c>
      <c r="AB45" s="48">
        <v>64.2</v>
      </c>
      <c r="AC45" s="48">
        <v>64.2</v>
      </c>
      <c r="AD45" s="48">
        <v>64.2</v>
      </c>
      <c r="AE45" s="48">
        <v>64.2</v>
      </c>
      <c r="AF45" s="48">
        <v>64.2</v>
      </c>
      <c r="AG45" s="136">
        <v>69</v>
      </c>
      <c r="AH45" s="54">
        <f t="shared" si="2"/>
        <v>64.5</v>
      </c>
      <c r="AI45" s="55">
        <f t="shared" si="3"/>
        <v>45.7</v>
      </c>
      <c r="AK45" s="56"/>
    </row>
    <row r="46" spans="1:88" x14ac:dyDescent="0.25">
      <c r="A46" s="60" t="s">
        <v>26</v>
      </c>
      <c r="B46" s="62">
        <v>60.7</v>
      </c>
      <c r="C46" s="62">
        <v>61.2</v>
      </c>
      <c r="D46" s="62">
        <v>60.7</v>
      </c>
      <c r="E46" s="62">
        <v>60.7</v>
      </c>
      <c r="F46" s="62">
        <v>60.7</v>
      </c>
      <c r="G46" s="62">
        <v>60.7</v>
      </c>
      <c r="H46" s="62">
        <v>60.7</v>
      </c>
      <c r="I46" s="62">
        <v>60.7</v>
      </c>
      <c r="J46" s="62">
        <v>61.2</v>
      </c>
      <c r="K46" s="62">
        <v>60.7</v>
      </c>
      <c r="L46" s="62">
        <v>60.7</v>
      </c>
      <c r="M46" s="50">
        <v>60.7</v>
      </c>
      <c r="N46" s="50">
        <v>60.9</v>
      </c>
      <c r="O46" s="50">
        <v>61.4</v>
      </c>
      <c r="P46" s="50">
        <v>60</v>
      </c>
      <c r="Q46" s="50">
        <v>61.4</v>
      </c>
      <c r="R46" s="50">
        <v>0</v>
      </c>
      <c r="S46" s="50">
        <v>0</v>
      </c>
      <c r="T46" s="50">
        <v>0</v>
      </c>
      <c r="U46" s="50">
        <v>0</v>
      </c>
      <c r="V46" s="48">
        <v>0</v>
      </c>
      <c r="W46" s="48">
        <v>60</v>
      </c>
      <c r="X46" s="48">
        <v>60</v>
      </c>
      <c r="Y46" s="48">
        <v>60</v>
      </c>
      <c r="Z46" s="48">
        <v>60.9</v>
      </c>
      <c r="AA46" s="48">
        <v>60.9</v>
      </c>
      <c r="AB46" s="48">
        <v>60.9</v>
      </c>
      <c r="AC46" s="48">
        <v>60.9</v>
      </c>
      <c r="AD46" s="48">
        <v>60.9</v>
      </c>
      <c r="AE46" s="48">
        <v>60.9</v>
      </c>
      <c r="AF46" s="48">
        <v>60.9</v>
      </c>
      <c r="AG46" s="136">
        <v>60</v>
      </c>
      <c r="AH46" s="54">
        <f t="shared" si="2"/>
        <v>61.4</v>
      </c>
      <c r="AI46" s="55">
        <f t="shared" si="3"/>
        <v>0</v>
      </c>
      <c r="AK46" s="56"/>
    </row>
    <row r="47" spans="1:88" x14ac:dyDescent="0.25">
      <c r="A47" s="60" t="s">
        <v>27</v>
      </c>
      <c r="B47" s="62">
        <v>28.9</v>
      </c>
      <c r="C47" s="62">
        <v>29.1</v>
      </c>
      <c r="D47" s="62">
        <v>28.8</v>
      </c>
      <c r="E47" s="62">
        <v>29</v>
      </c>
      <c r="F47" s="62">
        <v>29</v>
      </c>
      <c r="G47" s="62">
        <v>0</v>
      </c>
      <c r="H47" s="62">
        <v>0</v>
      </c>
      <c r="I47" s="62">
        <v>0</v>
      </c>
      <c r="J47" s="62">
        <v>0</v>
      </c>
      <c r="K47" s="62">
        <v>0</v>
      </c>
      <c r="L47" s="62">
        <v>0</v>
      </c>
      <c r="M47" s="62">
        <v>0</v>
      </c>
      <c r="N47" s="50">
        <v>15</v>
      </c>
      <c r="O47" s="50">
        <v>28.4</v>
      </c>
      <c r="P47" s="50">
        <v>28.3</v>
      </c>
      <c r="Q47" s="50">
        <v>28.4</v>
      </c>
      <c r="R47" s="50">
        <v>28.4</v>
      </c>
      <c r="S47" s="50">
        <v>28.4</v>
      </c>
      <c r="T47" s="50">
        <v>28.4</v>
      </c>
      <c r="U47" s="50">
        <v>14.8</v>
      </c>
      <c r="V47" s="48">
        <v>27.7</v>
      </c>
      <c r="W47" s="48">
        <v>27.7</v>
      </c>
      <c r="X47" s="48">
        <v>22.4</v>
      </c>
      <c r="Y47" s="48">
        <v>28</v>
      </c>
      <c r="Z47" s="48">
        <v>27.9</v>
      </c>
      <c r="AA47" s="48">
        <v>27.9</v>
      </c>
      <c r="AB47" s="48">
        <v>27.9</v>
      </c>
      <c r="AC47" s="48">
        <v>27.9</v>
      </c>
      <c r="AD47" s="48">
        <v>28.3</v>
      </c>
      <c r="AE47" s="48">
        <v>28.3</v>
      </c>
      <c r="AF47" s="48">
        <v>28.3</v>
      </c>
      <c r="AG47" s="136">
        <v>30</v>
      </c>
      <c r="AH47" s="54">
        <f t="shared" si="2"/>
        <v>29.1</v>
      </c>
      <c r="AI47" s="55">
        <f t="shared" si="3"/>
        <v>0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62">
        <v>0</v>
      </c>
      <c r="K48" s="62">
        <v>0</v>
      </c>
      <c r="L48" s="62">
        <v>0</v>
      </c>
      <c r="M48" s="62">
        <v>4</v>
      </c>
      <c r="N48" s="50">
        <v>5</v>
      </c>
      <c r="O48" s="50">
        <v>7</v>
      </c>
      <c r="P48" s="50">
        <v>7</v>
      </c>
      <c r="Q48" s="50">
        <v>7</v>
      </c>
      <c r="R48" s="50">
        <v>7</v>
      </c>
      <c r="S48" s="50">
        <v>7</v>
      </c>
      <c r="T48" s="50">
        <v>7</v>
      </c>
      <c r="U48" s="50">
        <v>7</v>
      </c>
      <c r="V48" s="50">
        <v>7</v>
      </c>
      <c r="W48" s="50">
        <v>7</v>
      </c>
      <c r="X48" s="50">
        <v>7</v>
      </c>
      <c r="Y48" s="50">
        <v>7</v>
      </c>
      <c r="Z48" s="50">
        <v>7</v>
      </c>
      <c r="AA48" s="50">
        <v>7</v>
      </c>
      <c r="AB48" s="50">
        <v>0</v>
      </c>
      <c r="AC48" s="50">
        <v>0</v>
      </c>
      <c r="AD48" s="50">
        <v>0</v>
      </c>
      <c r="AE48" s="50">
        <v>0</v>
      </c>
      <c r="AF48" s="50">
        <v>0</v>
      </c>
      <c r="AG48" s="136">
        <v>25</v>
      </c>
      <c r="AH48" s="54">
        <f t="shared" si="2"/>
        <v>7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16.7</v>
      </c>
      <c r="C49" s="48">
        <v>16.7</v>
      </c>
      <c r="D49" s="48">
        <v>16.7</v>
      </c>
      <c r="E49" s="48">
        <v>16.600000000000001</v>
      </c>
      <c r="F49" s="48">
        <v>16.600000000000001</v>
      </c>
      <c r="G49" s="48">
        <v>16.600000000000001</v>
      </c>
      <c r="H49" s="48">
        <v>16.600000000000001</v>
      </c>
      <c r="I49" s="48">
        <v>16.600000000000001</v>
      </c>
      <c r="J49" s="48">
        <v>16.600000000000001</v>
      </c>
      <c r="K49" s="48">
        <v>16.600000000000001</v>
      </c>
      <c r="L49" s="48">
        <v>16.600000000000001</v>
      </c>
      <c r="M49" s="48">
        <v>16.600000000000001</v>
      </c>
      <c r="N49" s="50">
        <v>16.8</v>
      </c>
      <c r="O49" s="50">
        <v>16.8</v>
      </c>
      <c r="P49" s="50">
        <v>14.2</v>
      </c>
      <c r="Q49" s="50">
        <v>15.3</v>
      </c>
      <c r="R49" s="50">
        <v>15.3</v>
      </c>
      <c r="S49" s="50">
        <v>15.3</v>
      </c>
      <c r="T49" s="50">
        <v>15.3</v>
      </c>
      <c r="U49" s="50">
        <v>15.3</v>
      </c>
      <c r="V49" s="50">
        <v>15.3</v>
      </c>
      <c r="W49" s="50">
        <v>15.3</v>
      </c>
      <c r="X49" s="50">
        <v>15.3</v>
      </c>
      <c r="Y49" s="50">
        <v>15.3</v>
      </c>
      <c r="Z49" s="50">
        <v>16.899999999999999</v>
      </c>
      <c r="AA49" s="50">
        <v>16.899999999999999</v>
      </c>
      <c r="AB49" s="50">
        <v>16.899999999999999</v>
      </c>
      <c r="AC49" s="50">
        <v>16.899999999999999</v>
      </c>
      <c r="AD49" s="50">
        <v>16.899999999999999</v>
      </c>
      <c r="AE49" s="50">
        <v>16.899999999999999</v>
      </c>
      <c r="AF49" s="50">
        <v>16.899999999999999</v>
      </c>
      <c r="AG49" s="136">
        <v>24</v>
      </c>
      <c r="AH49" s="54">
        <f t="shared" si="2"/>
        <v>16.899999999999999</v>
      </c>
      <c r="AI49" s="55">
        <f t="shared" si="3"/>
        <v>14.2</v>
      </c>
      <c r="AK49" s="56"/>
    </row>
    <row r="50" spans="1:41" x14ac:dyDescent="0.25">
      <c r="A50" s="60" t="s">
        <v>30</v>
      </c>
      <c r="B50" s="48">
        <v>2.5</v>
      </c>
      <c r="C50" s="48">
        <v>2.5</v>
      </c>
      <c r="D50" s="48">
        <v>2.5</v>
      </c>
      <c r="E50" s="48">
        <v>2.5</v>
      </c>
      <c r="F50" s="48">
        <v>2.5</v>
      </c>
      <c r="G50" s="48">
        <v>2.5</v>
      </c>
      <c r="H50" s="48">
        <v>2.5</v>
      </c>
      <c r="I50" s="48">
        <v>2.5</v>
      </c>
      <c r="J50" s="48">
        <v>2.5</v>
      </c>
      <c r="K50" s="48">
        <v>2.5</v>
      </c>
      <c r="L50" s="48">
        <v>2.5</v>
      </c>
      <c r="M50" s="48">
        <v>2.5</v>
      </c>
      <c r="N50" s="50">
        <v>2.5</v>
      </c>
      <c r="O50" s="50">
        <v>2.5</v>
      </c>
      <c r="P50" s="50">
        <v>2.5</v>
      </c>
      <c r="Q50" s="50">
        <v>2.5</v>
      </c>
      <c r="R50" s="50">
        <v>2.5</v>
      </c>
      <c r="S50" s="50">
        <v>2.5</v>
      </c>
      <c r="T50" s="50">
        <v>2.5</v>
      </c>
      <c r="U50" s="50">
        <v>2.5</v>
      </c>
      <c r="V50" s="50">
        <v>2</v>
      </c>
      <c r="W50" s="50">
        <v>2</v>
      </c>
      <c r="X50" s="50">
        <v>2</v>
      </c>
      <c r="Y50" s="50">
        <v>2</v>
      </c>
      <c r="Z50" s="50">
        <v>2</v>
      </c>
      <c r="AA50" s="50">
        <v>2</v>
      </c>
      <c r="AB50" s="50">
        <v>2</v>
      </c>
      <c r="AC50" s="50">
        <v>2</v>
      </c>
      <c r="AD50" s="50">
        <v>2</v>
      </c>
      <c r="AE50" s="50">
        <v>2</v>
      </c>
      <c r="AF50" s="50">
        <v>2</v>
      </c>
      <c r="AG50" s="136">
        <v>15</v>
      </c>
      <c r="AH50" s="54">
        <f t="shared" si="2"/>
        <v>2.5</v>
      </c>
      <c r="AI50" s="55">
        <f t="shared" si="3"/>
        <v>2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12</v>
      </c>
      <c r="C51" s="48">
        <v>12</v>
      </c>
      <c r="D51" s="48">
        <v>12.4</v>
      </c>
      <c r="E51" s="48">
        <v>12.5</v>
      </c>
      <c r="F51" s="48">
        <v>12.5</v>
      </c>
      <c r="G51" s="48">
        <v>12.5</v>
      </c>
      <c r="H51" s="48">
        <v>12.5</v>
      </c>
      <c r="I51" s="48">
        <v>12.5</v>
      </c>
      <c r="J51" s="48">
        <v>12.1</v>
      </c>
      <c r="K51" s="48">
        <v>12.1</v>
      </c>
      <c r="L51" s="48">
        <v>12.1</v>
      </c>
      <c r="M51" s="48">
        <v>12.1</v>
      </c>
      <c r="N51" s="50">
        <v>12</v>
      </c>
      <c r="O51" s="50">
        <v>12</v>
      </c>
      <c r="P51" s="50">
        <v>12</v>
      </c>
      <c r="Q51" s="50">
        <v>12</v>
      </c>
      <c r="R51" s="50">
        <v>12</v>
      </c>
      <c r="S51" s="50">
        <v>12</v>
      </c>
      <c r="T51" s="50">
        <v>12</v>
      </c>
      <c r="U51" s="50">
        <v>12</v>
      </c>
      <c r="V51" s="50">
        <v>12</v>
      </c>
      <c r="W51" s="50">
        <v>12</v>
      </c>
      <c r="X51" s="50">
        <v>12</v>
      </c>
      <c r="Y51" s="50">
        <v>12</v>
      </c>
      <c r="Z51" s="50">
        <v>12</v>
      </c>
      <c r="AA51" s="50">
        <v>12</v>
      </c>
      <c r="AB51" s="50">
        <v>12</v>
      </c>
      <c r="AC51" s="50">
        <v>12</v>
      </c>
      <c r="AD51" s="50">
        <v>12</v>
      </c>
      <c r="AE51" s="50">
        <v>12</v>
      </c>
      <c r="AF51" s="50">
        <v>12</v>
      </c>
      <c r="AG51" s="136">
        <v>14.1</v>
      </c>
      <c r="AH51" s="54">
        <f t="shared" si="2"/>
        <v>12.5</v>
      </c>
      <c r="AI51" s="55">
        <f t="shared" si="3"/>
        <v>12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13.2</v>
      </c>
      <c r="C52" s="48">
        <v>13.2</v>
      </c>
      <c r="D52" s="48">
        <v>12.3</v>
      </c>
      <c r="E52" s="48">
        <v>12.2</v>
      </c>
      <c r="F52" s="48">
        <v>12.2</v>
      </c>
      <c r="G52" s="48">
        <v>12.2</v>
      </c>
      <c r="H52" s="48">
        <v>12.2</v>
      </c>
      <c r="I52" s="48">
        <v>12.2</v>
      </c>
      <c r="J52" s="48">
        <v>12</v>
      </c>
      <c r="K52" s="48">
        <v>5.5</v>
      </c>
      <c r="L52" s="48">
        <v>13.8</v>
      </c>
      <c r="M52" s="48">
        <v>13.8</v>
      </c>
      <c r="N52" s="50">
        <v>13.8</v>
      </c>
      <c r="O52" s="50">
        <v>13.8</v>
      </c>
      <c r="P52" s="50">
        <v>13.8</v>
      </c>
      <c r="Q52" s="50">
        <v>13.8</v>
      </c>
      <c r="R52" s="50">
        <v>13.8</v>
      </c>
      <c r="S52" s="50">
        <v>13.8</v>
      </c>
      <c r="T52" s="50">
        <v>13.8</v>
      </c>
      <c r="U52" s="50">
        <v>13.8</v>
      </c>
      <c r="V52" s="50">
        <v>13.8</v>
      </c>
      <c r="W52" s="50">
        <v>13.8</v>
      </c>
      <c r="X52" s="50">
        <v>13.8</v>
      </c>
      <c r="Y52" s="50">
        <v>13.8</v>
      </c>
      <c r="Z52" s="50">
        <v>13.8</v>
      </c>
      <c r="AA52" s="50">
        <v>13.8</v>
      </c>
      <c r="AB52" s="50">
        <v>13.8</v>
      </c>
      <c r="AC52" s="50">
        <v>13.8</v>
      </c>
      <c r="AD52" s="50">
        <v>13.8</v>
      </c>
      <c r="AE52" s="50">
        <v>13.8</v>
      </c>
      <c r="AF52" s="50">
        <v>13.8</v>
      </c>
      <c r="AG52" s="136">
        <v>14</v>
      </c>
      <c r="AH52" s="54">
        <f t="shared" si="2"/>
        <v>13.8</v>
      </c>
      <c r="AI52" s="55">
        <f t="shared" si="3"/>
        <v>5.5</v>
      </c>
      <c r="AK52" s="56"/>
    </row>
    <row r="53" spans="1:41" x14ac:dyDescent="0.25">
      <c r="A53" s="60" t="s">
        <v>33</v>
      </c>
      <c r="B53" s="48">
        <v>6.2</v>
      </c>
      <c r="C53" s="48">
        <v>6.2</v>
      </c>
      <c r="D53" s="48">
        <v>6.2</v>
      </c>
      <c r="E53" s="48">
        <v>6.1</v>
      </c>
      <c r="F53" s="48">
        <v>6.1</v>
      </c>
      <c r="G53" s="48">
        <v>6.1</v>
      </c>
      <c r="H53" s="48">
        <v>6.1</v>
      </c>
      <c r="I53" s="48">
        <v>6.1</v>
      </c>
      <c r="J53" s="48">
        <v>6.1</v>
      </c>
      <c r="K53" s="48">
        <v>6.1</v>
      </c>
      <c r="L53" s="48">
        <v>6.1</v>
      </c>
      <c r="M53" s="48">
        <v>6.1</v>
      </c>
      <c r="N53" s="48">
        <v>6.1</v>
      </c>
      <c r="O53" s="48">
        <v>6.1</v>
      </c>
      <c r="P53" s="48">
        <v>6.1</v>
      </c>
      <c r="Q53" s="48">
        <v>6.1</v>
      </c>
      <c r="R53" s="48">
        <v>6.1</v>
      </c>
      <c r="S53" s="48">
        <v>6.1</v>
      </c>
      <c r="T53" s="48">
        <v>6.1</v>
      </c>
      <c r="U53" s="48">
        <v>6.1</v>
      </c>
      <c r="V53" s="50">
        <v>6.1</v>
      </c>
      <c r="W53" s="50">
        <v>6.1</v>
      </c>
      <c r="X53" s="50">
        <v>6.1</v>
      </c>
      <c r="Y53" s="50">
        <v>6.1</v>
      </c>
      <c r="Z53" s="50">
        <v>6.1</v>
      </c>
      <c r="AA53" s="50">
        <v>6.1</v>
      </c>
      <c r="AB53" s="50">
        <v>6.1</v>
      </c>
      <c r="AC53" s="50">
        <v>6.1</v>
      </c>
      <c r="AD53" s="50">
        <v>6.1</v>
      </c>
      <c r="AE53" s="50">
        <v>6.1</v>
      </c>
      <c r="AF53" s="50">
        <v>6.1</v>
      </c>
      <c r="AG53" s="136">
        <v>10.050000000000001</v>
      </c>
      <c r="AH53" s="54">
        <f t="shared" si="2"/>
        <v>6.2</v>
      </c>
      <c r="AI53" s="55">
        <f t="shared" si="3"/>
        <v>6.1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48">
        <v>6.2</v>
      </c>
      <c r="N54" s="48">
        <v>6.2</v>
      </c>
      <c r="O54" s="48">
        <v>6.2</v>
      </c>
      <c r="P54" s="48">
        <v>6.2</v>
      </c>
      <c r="Q54" s="48">
        <v>6.2</v>
      </c>
      <c r="R54" s="48">
        <v>6.2</v>
      </c>
      <c r="S54" s="48">
        <v>6.2</v>
      </c>
      <c r="T54" s="48">
        <v>6.2</v>
      </c>
      <c r="U54" s="48">
        <v>6.2</v>
      </c>
      <c r="V54" s="50">
        <v>6.2</v>
      </c>
      <c r="W54" s="50">
        <v>6.2</v>
      </c>
      <c r="X54" s="50">
        <v>6.2</v>
      </c>
      <c r="Y54" s="50">
        <v>6.2</v>
      </c>
      <c r="Z54" s="50">
        <v>6.2</v>
      </c>
      <c r="AA54" s="50">
        <v>6.2</v>
      </c>
      <c r="AB54" s="50">
        <v>6.2</v>
      </c>
      <c r="AC54" s="50">
        <v>6.2</v>
      </c>
      <c r="AD54" s="50">
        <v>6.2</v>
      </c>
      <c r="AE54" s="50">
        <v>6.2</v>
      </c>
      <c r="AF54" s="50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8">AG220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 t="shared" ref="B56" si="9">SUM(B43:B55)</f>
        <v>430.03999999999996</v>
      </c>
      <c r="C56" s="66">
        <f t="shared" ref="C56:AG56" si="10">SUM(C43:C55)</f>
        <v>430.53999999999996</v>
      </c>
      <c r="D56" s="66">
        <f t="shared" si="10"/>
        <v>429.14</v>
      </c>
      <c r="E56" s="66">
        <f t="shared" si="10"/>
        <v>427.94000000000005</v>
      </c>
      <c r="F56" s="66">
        <f t="shared" si="10"/>
        <v>427.94000000000005</v>
      </c>
      <c r="G56" s="66">
        <f t="shared" si="10"/>
        <v>397.04</v>
      </c>
      <c r="H56" s="66">
        <f t="shared" si="10"/>
        <v>397.04</v>
      </c>
      <c r="I56" s="66">
        <f t="shared" si="10"/>
        <v>397.04</v>
      </c>
      <c r="J56" s="66">
        <f t="shared" si="10"/>
        <v>399.84000000000009</v>
      </c>
      <c r="K56" s="66">
        <f t="shared" si="10"/>
        <v>392.34000000000003</v>
      </c>
      <c r="L56" s="66">
        <f t="shared" si="10"/>
        <v>400.64000000000004</v>
      </c>
      <c r="M56" s="66">
        <f t="shared" si="10"/>
        <v>402.84000000000009</v>
      </c>
      <c r="N56" s="66">
        <f t="shared" si="10"/>
        <v>418.54</v>
      </c>
      <c r="O56" s="66">
        <f t="shared" si="10"/>
        <v>434.24</v>
      </c>
      <c r="P56" s="66">
        <f t="shared" si="10"/>
        <v>429.44000000000005</v>
      </c>
      <c r="Q56" s="66">
        <f t="shared" si="10"/>
        <v>431.14000000000004</v>
      </c>
      <c r="R56" s="66">
        <f t="shared" si="10"/>
        <v>369.74000000000007</v>
      </c>
      <c r="S56" s="66">
        <f t="shared" si="10"/>
        <v>273.04000000000002</v>
      </c>
      <c r="T56" s="66">
        <f t="shared" si="10"/>
        <v>318.44000000000005</v>
      </c>
      <c r="U56" s="66">
        <f t="shared" si="10"/>
        <v>304.04000000000008</v>
      </c>
      <c r="V56" s="66">
        <f t="shared" si="10"/>
        <v>335.64000000000004</v>
      </c>
      <c r="W56" s="66">
        <f t="shared" si="10"/>
        <v>395.04</v>
      </c>
      <c r="X56" s="66">
        <f t="shared" si="10"/>
        <v>391.14000000000004</v>
      </c>
      <c r="Y56" s="66">
        <f t="shared" si="10"/>
        <v>396.74000000000007</v>
      </c>
      <c r="Z56" s="66">
        <f t="shared" si="10"/>
        <v>436.84</v>
      </c>
      <c r="AA56" s="66">
        <f t="shared" si="10"/>
        <v>436.84</v>
      </c>
      <c r="AB56" s="66">
        <f t="shared" si="10"/>
        <v>429.84</v>
      </c>
      <c r="AC56" s="66">
        <f t="shared" si="10"/>
        <v>429.84</v>
      </c>
      <c r="AD56" s="66">
        <f t="shared" si="10"/>
        <v>427.94</v>
      </c>
      <c r="AE56" s="66">
        <f t="shared" si="10"/>
        <v>425.14</v>
      </c>
      <c r="AF56" s="66">
        <f t="shared" si="10"/>
        <v>425.14</v>
      </c>
      <c r="AG56" s="143">
        <f t="shared" si="10"/>
        <v>489.91</v>
      </c>
      <c r="AH56" s="54">
        <f t="shared" si="2"/>
        <v>436.84</v>
      </c>
      <c r="AI56" s="55">
        <f t="shared" si="3"/>
        <v>273.04000000000002</v>
      </c>
      <c r="AK56" s="56"/>
    </row>
    <row r="57" spans="1:41" x14ac:dyDescent="0.25">
      <c r="A57" s="57" t="s">
        <v>37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0</v>
      </c>
      <c r="AB57" s="50">
        <v>0</v>
      </c>
      <c r="AC57" s="50">
        <v>0</v>
      </c>
      <c r="AD57" s="50">
        <v>0</v>
      </c>
      <c r="AE57" s="50">
        <v>0</v>
      </c>
      <c r="AF57" s="50">
        <v>0</v>
      </c>
      <c r="AG57" s="135">
        <v>60</v>
      </c>
      <c r="AH57" s="54">
        <f t="shared" si="2"/>
        <v>0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136">
        <v>32</v>
      </c>
      <c r="AH58" s="54">
        <f t="shared" si="2"/>
        <v>0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70">
        <v>0</v>
      </c>
      <c r="P59" s="70">
        <v>0</v>
      </c>
      <c r="Q59" s="70">
        <v>0</v>
      </c>
      <c r="R59" s="70">
        <v>0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70">
        <v>0</v>
      </c>
      <c r="AB59" s="70">
        <v>0</v>
      </c>
      <c r="AC59" s="70">
        <v>0</v>
      </c>
      <c r="AD59" s="70">
        <v>0</v>
      </c>
      <c r="AE59" s="70">
        <v>0</v>
      </c>
      <c r="AF59" s="70">
        <v>0</v>
      </c>
      <c r="AG59" s="137">
        <v>14</v>
      </c>
      <c r="AH59" s="54">
        <f t="shared" si="2"/>
        <v>0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 t="shared" ref="B60" si="11">SUM(B57:B59)</f>
        <v>0</v>
      </c>
      <c r="C60" s="66">
        <f t="shared" ref="C60:AG60" si="12">SUM(C57:C59)</f>
        <v>0</v>
      </c>
      <c r="D60" s="66">
        <f t="shared" si="12"/>
        <v>0</v>
      </c>
      <c r="E60" s="66">
        <f>SUM(E57:E59)</f>
        <v>0</v>
      </c>
      <c r="F60" s="66">
        <f t="shared" si="12"/>
        <v>0</v>
      </c>
      <c r="G60" s="66">
        <f>SUM(G57:G59)</f>
        <v>0</v>
      </c>
      <c r="H60" s="66">
        <f t="shared" si="12"/>
        <v>0</v>
      </c>
      <c r="I60" s="66">
        <f t="shared" si="12"/>
        <v>0</v>
      </c>
      <c r="J60" s="66">
        <f t="shared" si="12"/>
        <v>0</v>
      </c>
      <c r="K60" s="66">
        <f t="shared" si="12"/>
        <v>0</v>
      </c>
      <c r="L60" s="66">
        <f t="shared" si="12"/>
        <v>0</v>
      </c>
      <c r="M60" s="66">
        <f t="shared" si="12"/>
        <v>0</v>
      </c>
      <c r="N60" s="66">
        <f t="shared" si="12"/>
        <v>0</v>
      </c>
      <c r="O60" s="66">
        <f t="shared" si="12"/>
        <v>0</v>
      </c>
      <c r="P60" s="66">
        <f t="shared" si="12"/>
        <v>0</v>
      </c>
      <c r="Q60" s="66">
        <f t="shared" si="12"/>
        <v>0</v>
      </c>
      <c r="R60" s="66">
        <f t="shared" si="12"/>
        <v>0</v>
      </c>
      <c r="S60" s="66">
        <v>38.51</v>
      </c>
      <c r="T60" s="66">
        <f t="shared" si="12"/>
        <v>0</v>
      </c>
      <c r="U60" s="66">
        <f t="shared" si="12"/>
        <v>0</v>
      </c>
      <c r="V60" s="66">
        <f t="shared" si="12"/>
        <v>0</v>
      </c>
      <c r="W60" s="66">
        <f t="shared" si="12"/>
        <v>0</v>
      </c>
      <c r="X60" s="66">
        <f t="shared" si="12"/>
        <v>0</v>
      </c>
      <c r="Y60" s="66">
        <f t="shared" si="12"/>
        <v>0</v>
      </c>
      <c r="Z60" s="66">
        <f t="shared" si="12"/>
        <v>0</v>
      </c>
      <c r="AA60" s="66">
        <f t="shared" si="12"/>
        <v>0</v>
      </c>
      <c r="AB60" s="66">
        <f t="shared" si="12"/>
        <v>0</v>
      </c>
      <c r="AC60" s="66">
        <f t="shared" si="12"/>
        <v>0</v>
      </c>
      <c r="AD60" s="66">
        <f t="shared" si="12"/>
        <v>0</v>
      </c>
      <c r="AE60" s="66">
        <f t="shared" si="12"/>
        <v>0</v>
      </c>
      <c r="AF60" s="66">
        <f t="shared" si="12"/>
        <v>0</v>
      </c>
      <c r="AG60" s="143">
        <f t="shared" si="12"/>
        <v>106</v>
      </c>
      <c r="AH60" s="54">
        <f t="shared" si="2"/>
        <v>38.51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67.900000000000006</v>
      </c>
      <c r="C61" s="50">
        <v>47.8</v>
      </c>
      <c r="D61" s="50">
        <v>53.9</v>
      </c>
      <c r="E61" s="50">
        <v>16.600000000000001</v>
      </c>
      <c r="F61" s="50">
        <v>12</v>
      </c>
      <c r="G61" s="50">
        <v>22</v>
      </c>
      <c r="H61" s="50">
        <v>18</v>
      </c>
      <c r="I61" s="50">
        <v>7.1</v>
      </c>
      <c r="J61" s="50">
        <v>15.2</v>
      </c>
      <c r="K61" s="50">
        <v>52.9</v>
      </c>
      <c r="L61" s="50">
        <v>49.3</v>
      </c>
      <c r="M61" s="50">
        <v>32.5</v>
      </c>
      <c r="N61" s="50">
        <v>42.8</v>
      </c>
      <c r="O61" s="50">
        <v>39.4</v>
      </c>
      <c r="P61" s="50">
        <v>55.5</v>
      </c>
      <c r="Q61" s="50">
        <v>53.2</v>
      </c>
      <c r="R61" s="50">
        <v>48.9</v>
      </c>
      <c r="S61" s="50">
        <v>38.51</v>
      </c>
      <c r="T61" s="50">
        <v>44.6</v>
      </c>
      <c r="U61" s="50">
        <v>48.2</v>
      </c>
      <c r="V61" s="50">
        <v>41.6</v>
      </c>
      <c r="W61" s="50">
        <v>41.6</v>
      </c>
      <c r="X61" s="50">
        <v>37.1</v>
      </c>
      <c r="Y61" s="50">
        <v>24.9</v>
      </c>
      <c r="Z61" s="50">
        <v>40.1</v>
      </c>
      <c r="AA61" s="50">
        <v>40.1</v>
      </c>
      <c r="AB61" s="50">
        <v>24.3</v>
      </c>
      <c r="AC61" s="50">
        <v>43.5</v>
      </c>
      <c r="AD61" s="50">
        <v>44.5</v>
      </c>
      <c r="AE61" s="50">
        <v>45.5</v>
      </c>
      <c r="AF61" s="50">
        <v>26</v>
      </c>
      <c r="AG61" s="135"/>
      <c r="AH61" s="54">
        <f t="shared" si="2"/>
        <v>67.900000000000006</v>
      </c>
      <c r="AI61" s="55">
        <f t="shared" si="3"/>
        <v>7.1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-335</v>
      </c>
      <c r="C63" s="48">
        <v>-329</v>
      </c>
      <c r="D63" s="48">
        <v>-340</v>
      </c>
      <c r="E63" s="48">
        <v>-327</v>
      </c>
      <c r="F63" s="48">
        <v>-350.9</v>
      </c>
      <c r="G63" s="48">
        <v>-374.3</v>
      </c>
      <c r="H63" s="48">
        <v>-370.7</v>
      </c>
      <c r="I63" s="48">
        <v>-401</v>
      </c>
      <c r="J63" s="48">
        <v>-372</v>
      </c>
      <c r="K63" s="48">
        <v>-361</v>
      </c>
      <c r="L63" s="48">
        <v>-361</v>
      </c>
      <c r="M63" s="48">
        <v>-341</v>
      </c>
      <c r="N63" s="48">
        <v>-310</v>
      </c>
      <c r="O63" s="48">
        <v>-281.60000000000002</v>
      </c>
      <c r="P63" s="48">
        <v>-265.2</v>
      </c>
      <c r="Q63" s="48">
        <v>-250.9</v>
      </c>
      <c r="R63" s="48">
        <v>-195</v>
      </c>
      <c r="S63" s="48">
        <v>-207</v>
      </c>
      <c r="T63" s="48">
        <v>-251</v>
      </c>
      <c r="U63" s="48">
        <v>-240</v>
      </c>
      <c r="V63" s="48">
        <v>-296.89999999999998</v>
      </c>
      <c r="W63" s="48">
        <v>-330</v>
      </c>
      <c r="X63" s="48">
        <v>-348</v>
      </c>
      <c r="Y63" s="48">
        <v>-307</v>
      </c>
      <c r="Z63" s="48">
        <v>-294</v>
      </c>
      <c r="AA63" s="48">
        <v>-182</v>
      </c>
      <c r="AB63" s="48">
        <v>-197.6</v>
      </c>
      <c r="AC63" s="48">
        <v>-233</v>
      </c>
      <c r="AD63" s="48">
        <v>-278</v>
      </c>
      <c r="AE63" s="48">
        <v>-342</v>
      </c>
      <c r="AF63" s="48">
        <v>-344</v>
      </c>
      <c r="AG63" s="140"/>
      <c r="AH63" s="54">
        <f t="shared" si="2"/>
        <v>-182</v>
      </c>
      <c r="AI63" s="55">
        <f t="shared" si="3"/>
        <v>-401</v>
      </c>
      <c r="AK63" s="56"/>
    </row>
    <row r="64" spans="1:41" x14ac:dyDescent="0.25">
      <c r="A64" s="60" t="s">
        <v>44</v>
      </c>
      <c r="B64" s="71">
        <v>0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140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5</v>
      </c>
      <c r="C66" s="72">
        <v>5</v>
      </c>
      <c r="D66" s="72">
        <v>5</v>
      </c>
      <c r="E66" s="72">
        <v>5</v>
      </c>
      <c r="F66" s="72">
        <v>5</v>
      </c>
      <c r="G66" s="72">
        <v>5</v>
      </c>
      <c r="H66" s="72">
        <v>5</v>
      </c>
      <c r="I66" s="72">
        <v>5</v>
      </c>
      <c r="J66" s="72">
        <v>5</v>
      </c>
      <c r="K66" s="72">
        <v>5</v>
      </c>
      <c r="L66" s="72">
        <v>5</v>
      </c>
      <c r="M66" s="72">
        <v>5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0</v>
      </c>
      <c r="AD66" s="72">
        <v>0</v>
      </c>
      <c r="AE66" s="72">
        <v>0</v>
      </c>
      <c r="AF66" s="72" t="s">
        <v>243</v>
      </c>
      <c r="AG66" s="140"/>
      <c r="AH66" s="54">
        <f t="shared" si="2"/>
        <v>5</v>
      </c>
      <c r="AI66" s="55">
        <f t="shared" si="3"/>
        <v>0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2">
        <v>0</v>
      </c>
      <c r="D68" s="71">
        <v>0</v>
      </c>
      <c r="E68" s="71">
        <v>0</v>
      </c>
      <c r="F68" s="71">
        <v>0</v>
      </c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2">
        <v>0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4">
        <v>0</v>
      </c>
      <c r="C70" s="72">
        <v>0</v>
      </c>
      <c r="D70" s="74">
        <v>0</v>
      </c>
      <c r="E70" s="74">
        <v>0</v>
      </c>
      <c r="F70" s="74">
        <v>0</v>
      </c>
      <c r="G70" s="74">
        <v>0</v>
      </c>
      <c r="H70" s="74">
        <v>0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4">
        <v>0</v>
      </c>
      <c r="C71" s="72">
        <v>0</v>
      </c>
      <c r="D71" s="74">
        <v>0</v>
      </c>
      <c r="E71" s="74">
        <v>0</v>
      </c>
      <c r="F71" s="74">
        <v>0</v>
      </c>
      <c r="G71" s="74">
        <v>0</v>
      </c>
      <c r="H71" s="74">
        <v>0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 t="shared" ref="B72" si="13">SUMIF(B61:B71,"&gt;0")</f>
        <v>72.900000000000006</v>
      </c>
      <c r="C72" s="66">
        <f t="shared" ref="C72:L72" si="14">SUMIF(C61:C71,"&gt;0")</f>
        <v>52.8</v>
      </c>
      <c r="D72" s="66">
        <f t="shared" si="14"/>
        <v>58.9</v>
      </c>
      <c r="E72" s="66">
        <f t="shared" si="14"/>
        <v>21.6</v>
      </c>
      <c r="F72" s="66">
        <f t="shared" si="14"/>
        <v>17</v>
      </c>
      <c r="G72" s="66">
        <f t="shared" si="14"/>
        <v>27</v>
      </c>
      <c r="H72" s="66">
        <f t="shared" si="14"/>
        <v>23</v>
      </c>
      <c r="I72" s="66">
        <f t="shared" si="14"/>
        <v>12.1</v>
      </c>
      <c r="J72" s="66">
        <f t="shared" si="14"/>
        <v>20.2</v>
      </c>
      <c r="K72" s="66">
        <f t="shared" si="14"/>
        <v>57.9</v>
      </c>
      <c r="L72" s="66">
        <f t="shared" si="14"/>
        <v>54.3</v>
      </c>
      <c r="M72" s="66">
        <f>SUMIF(M61:M71,"&gt;0")</f>
        <v>37.5</v>
      </c>
      <c r="N72" s="66">
        <f t="shared" ref="N72:AF72" si="15">SUMIF(N61:N71,"&gt;0")</f>
        <v>42.8</v>
      </c>
      <c r="O72" s="66">
        <f t="shared" si="15"/>
        <v>39.4</v>
      </c>
      <c r="P72" s="66">
        <f t="shared" si="15"/>
        <v>55.5</v>
      </c>
      <c r="Q72" s="66">
        <f t="shared" si="15"/>
        <v>53.2</v>
      </c>
      <c r="R72" s="66">
        <f t="shared" si="15"/>
        <v>48.9</v>
      </c>
      <c r="S72" s="66">
        <f t="shared" si="15"/>
        <v>38.51</v>
      </c>
      <c r="T72" s="66">
        <f t="shared" si="15"/>
        <v>44.6</v>
      </c>
      <c r="U72" s="66">
        <f t="shared" si="15"/>
        <v>48.2</v>
      </c>
      <c r="V72" s="66">
        <f t="shared" si="15"/>
        <v>41.6</v>
      </c>
      <c r="W72" s="66">
        <f t="shared" si="15"/>
        <v>41.6</v>
      </c>
      <c r="X72" s="66">
        <f t="shared" si="15"/>
        <v>37.1</v>
      </c>
      <c r="Y72" s="66">
        <f t="shared" si="15"/>
        <v>24.9</v>
      </c>
      <c r="Z72" s="66">
        <f t="shared" si="15"/>
        <v>40.1</v>
      </c>
      <c r="AA72" s="66">
        <f t="shared" si="15"/>
        <v>40.1</v>
      </c>
      <c r="AB72" s="66">
        <f t="shared" si="15"/>
        <v>24.3</v>
      </c>
      <c r="AC72" s="66">
        <f t="shared" si="15"/>
        <v>43.5</v>
      </c>
      <c r="AD72" s="66">
        <f t="shared" si="15"/>
        <v>44.5</v>
      </c>
      <c r="AE72" s="66">
        <f t="shared" si="15"/>
        <v>45.5</v>
      </c>
      <c r="AF72" s="66">
        <f t="shared" si="15"/>
        <v>26</v>
      </c>
      <c r="AG72" s="138">
        <f>SUM(AG61:AG71)</f>
        <v>0</v>
      </c>
      <c r="AH72" s="54">
        <f t="shared" si="2"/>
        <v>72.900000000000006</v>
      </c>
      <c r="AI72" s="55">
        <f t="shared" si="3"/>
        <v>12.1</v>
      </c>
      <c r="AK72" s="56"/>
    </row>
    <row r="73" spans="1:88" x14ac:dyDescent="0.25">
      <c r="A73" s="57" t="s">
        <v>53</v>
      </c>
      <c r="B73" s="71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>
        <v>0</v>
      </c>
      <c r="C75" s="74">
        <v>0</v>
      </c>
      <c r="D75" s="74">
        <v>0</v>
      </c>
      <c r="E75" s="74">
        <v>0</v>
      </c>
      <c r="F75" s="74">
        <v>0</v>
      </c>
      <c r="G75" s="74">
        <v>0</v>
      </c>
      <c r="H75" s="74">
        <v>0</v>
      </c>
      <c r="I75" s="74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 t="shared" ref="B77" si="16">B38+B42+B60+B56+B72+B76</f>
        <v>1864.14</v>
      </c>
      <c r="C77" s="75">
        <f t="shared" ref="C77:AF77" si="17">C38+C42+C60+C56+C72+C76</f>
        <v>1844.34</v>
      </c>
      <c r="D77" s="75">
        <f t="shared" si="17"/>
        <v>1849.1399999999999</v>
      </c>
      <c r="E77" s="75">
        <f t="shared" si="17"/>
        <v>1810.6399999999999</v>
      </c>
      <c r="F77" s="75">
        <f t="shared" si="17"/>
        <v>1806.04</v>
      </c>
      <c r="G77" s="75">
        <f t="shared" si="17"/>
        <v>1785.1399999999999</v>
      </c>
      <c r="H77" s="75">
        <f t="shared" si="17"/>
        <v>1781.1399999999999</v>
      </c>
      <c r="I77" s="75">
        <f t="shared" si="17"/>
        <v>1770.2399999999998</v>
      </c>
      <c r="J77" s="75">
        <f t="shared" si="17"/>
        <v>1781.14</v>
      </c>
      <c r="K77" s="75">
        <f t="shared" si="17"/>
        <v>1811.3400000000001</v>
      </c>
      <c r="L77" s="75">
        <f t="shared" si="17"/>
        <v>1816.04</v>
      </c>
      <c r="M77" s="75">
        <f t="shared" si="17"/>
        <v>1801.2400000000002</v>
      </c>
      <c r="N77" s="75">
        <f t="shared" si="17"/>
        <v>1774.1399999999999</v>
      </c>
      <c r="O77" s="75">
        <f t="shared" si="17"/>
        <v>1812.74</v>
      </c>
      <c r="P77" s="75">
        <f t="shared" si="17"/>
        <v>1798.64</v>
      </c>
      <c r="Q77" s="75">
        <f t="shared" si="17"/>
        <v>1798.3400000000001</v>
      </c>
      <c r="R77" s="75">
        <f t="shared" si="17"/>
        <v>1684.64</v>
      </c>
      <c r="S77" s="75">
        <f t="shared" si="17"/>
        <v>1676.96</v>
      </c>
      <c r="T77" s="75">
        <f t="shared" si="17"/>
        <v>1692.6399999999999</v>
      </c>
      <c r="U77" s="75">
        <f t="shared" si="17"/>
        <v>1681.4399999999998</v>
      </c>
      <c r="V77" s="75">
        <f t="shared" si="17"/>
        <v>1706.64</v>
      </c>
      <c r="W77" s="75">
        <f t="shared" si="17"/>
        <v>1755.7399999999998</v>
      </c>
      <c r="X77" s="75">
        <f t="shared" si="17"/>
        <v>1757.74</v>
      </c>
      <c r="Y77" s="75">
        <f t="shared" si="17"/>
        <v>1761.14</v>
      </c>
      <c r="Z77" s="75">
        <f t="shared" si="17"/>
        <v>1816.34</v>
      </c>
      <c r="AA77" s="75">
        <f t="shared" si="17"/>
        <v>1831.34</v>
      </c>
      <c r="AB77" s="75">
        <f t="shared" si="17"/>
        <v>1815.1399999999999</v>
      </c>
      <c r="AC77" s="75">
        <f t="shared" si="17"/>
        <v>1834.34</v>
      </c>
      <c r="AD77" s="75">
        <f t="shared" si="17"/>
        <v>1833.44</v>
      </c>
      <c r="AE77" s="75">
        <f t="shared" si="17"/>
        <v>1844.6399999999999</v>
      </c>
      <c r="AF77" s="75">
        <f t="shared" si="17"/>
        <v>1825.1399999999999</v>
      </c>
      <c r="AG77" s="143">
        <f>AG38+AG42+AG60+AG56+AG72+AG76</f>
        <v>1855.1900000000003</v>
      </c>
      <c r="AH77" s="54">
        <f t="shared" si="2"/>
        <v>1864.14</v>
      </c>
      <c r="AI77" s="55">
        <f t="shared" si="3"/>
        <v>1676.96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0</v>
      </c>
      <c r="AI78" s="55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 t="shared" ref="B79" si="18">B77+B78</f>
        <v>1864.14</v>
      </c>
      <c r="C79" s="75">
        <f t="shared" ref="C79:AF79" si="19">C77+C78</f>
        <v>1844.34</v>
      </c>
      <c r="D79" s="75">
        <f t="shared" si="19"/>
        <v>1849.1399999999999</v>
      </c>
      <c r="E79" s="75">
        <f t="shared" si="19"/>
        <v>1810.6399999999999</v>
      </c>
      <c r="F79" s="75">
        <f t="shared" si="19"/>
        <v>1806.04</v>
      </c>
      <c r="G79" s="75">
        <f t="shared" si="19"/>
        <v>1785.1399999999999</v>
      </c>
      <c r="H79" s="75">
        <f t="shared" si="19"/>
        <v>1781.1399999999999</v>
      </c>
      <c r="I79" s="75">
        <f t="shared" si="19"/>
        <v>1770.2399999999998</v>
      </c>
      <c r="J79" s="75">
        <f t="shared" si="19"/>
        <v>1781.14</v>
      </c>
      <c r="K79" s="75">
        <f t="shared" si="19"/>
        <v>1811.3400000000001</v>
      </c>
      <c r="L79" s="75">
        <f t="shared" si="19"/>
        <v>1816.04</v>
      </c>
      <c r="M79" s="75">
        <f t="shared" si="19"/>
        <v>1801.2400000000002</v>
      </c>
      <c r="N79" s="75">
        <f t="shared" si="19"/>
        <v>1774.1399999999999</v>
      </c>
      <c r="O79" s="75">
        <f t="shared" si="19"/>
        <v>1812.74</v>
      </c>
      <c r="P79" s="75">
        <f t="shared" si="19"/>
        <v>1798.64</v>
      </c>
      <c r="Q79" s="75">
        <f t="shared" si="19"/>
        <v>1798.3400000000001</v>
      </c>
      <c r="R79" s="75">
        <f t="shared" si="19"/>
        <v>1684.64</v>
      </c>
      <c r="S79" s="75">
        <f t="shared" si="19"/>
        <v>1676.96</v>
      </c>
      <c r="T79" s="75">
        <f t="shared" si="19"/>
        <v>1692.6399999999999</v>
      </c>
      <c r="U79" s="75">
        <f t="shared" si="19"/>
        <v>1681.4399999999998</v>
      </c>
      <c r="V79" s="75">
        <f t="shared" si="19"/>
        <v>1706.64</v>
      </c>
      <c r="W79" s="75">
        <f t="shared" si="19"/>
        <v>1755.7399999999998</v>
      </c>
      <c r="X79" s="75">
        <f t="shared" si="19"/>
        <v>1757.74</v>
      </c>
      <c r="Y79" s="75">
        <f t="shared" si="19"/>
        <v>1761.14</v>
      </c>
      <c r="Z79" s="75">
        <f t="shared" si="19"/>
        <v>1816.34</v>
      </c>
      <c r="AA79" s="75">
        <f t="shared" si="19"/>
        <v>1831.34</v>
      </c>
      <c r="AB79" s="75">
        <f t="shared" si="19"/>
        <v>1815.1399999999999</v>
      </c>
      <c r="AC79" s="75">
        <f t="shared" si="19"/>
        <v>1834.34</v>
      </c>
      <c r="AD79" s="75">
        <f t="shared" si="19"/>
        <v>1833.44</v>
      </c>
      <c r="AE79" s="75">
        <f t="shared" si="19"/>
        <v>1844.6399999999999</v>
      </c>
      <c r="AF79" s="75">
        <f t="shared" si="19"/>
        <v>1825.1399999999999</v>
      </c>
      <c r="AG79" s="138">
        <f>AG76+AG72+AG60+AG56+AG38+AG78</f>
        <v>1317.0900000000001</v>
      </c>
      <c r="AH79" s="54">
        <f t="shared" si="2"/>
        <v>1864.14</v>
      </c>
      <c r="AI79" s="55">
        <f t="shared" si="3"/>
        <v>1676.96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:AF80" si="20">B79-B87</f>
        <v>1529.14</v>
      </c>
      <c r="C80" s="75">
        <f t="shared" si="20"/>
        <v>1515.34</v>
      </c>
      <c r="D80" s="75">
        <f t="shared" si="20"/>
        <v>1509.1399999999999</v>
      </c>
      <c r="E80" s="75">
        <f t="shared" si="20"/>
        <v>1483.6399999999999</v>
      </c>
      <c r="F80" s="75">
        <f t="shared" si="20"/>
        <v>1455.1399999999999</v>
      </c>
      <c r="G80" s="75">
        <f t="shared" si="20"/>
        <v>1410.84</v>
      </c>
      <c r="H80" s="75">
        <f t="shared" si="20"/>
        <v>1410.4399999999998</v>
      </c>
      <c r="I80" s="75">
        <f t="shared" si="20"/>
        <v>1369.2399999999998</v>
      </c>
      <c r="J80" s="75">
        <f t="shared" si="20"/>
        <v>1409.14</v>
      </c>
      <c r="K80" s="75">
        <f t="shared" si="20"/>
        <v>1450.3400000000001</v>
      </c>
      <c r="L80" s="75">
        <f t="shared" si="20"/>
        <v>1455.04</v>
      </c>
      <c r="M80" s="75">
        <f t="shared" si="20"/>
        <v>1460.2400000000002</v>
      </c>
      <c r="N80" s="75">
        <f t="shared" si="20"/>
        <v>1464.1399999999999</v>
      </c>
      <c r="O80" s="75">
        <f t="shared" si="20"/>
        <v>1531.1399999999999</v>
      </c>
      <c r="P80" s="75">
        <f t="shared" si="20"/>
        <v>1533.44</v>
      </c>
      <c r="Q80" s="75">
        <f t="shared" si="20"/>
        <v>1547.44</v>
      </c>
      <c r="R80" s="75">
        <f t="shared" si="20"/>
        <v>1489.64</v>
      </c>
      <c r="S80" s="75">
        <f t="shared" si="20"/>
        <v>1469.96</v>
      </c>
      <c r="T80" s="75">
        <f t="shared" si="20"/>
        <v>1441.6399999999999</v>
      </c>
      <c r="U80" s="75">
        <f t="shared" si="20"/>
        <v>1441.4399999999998</v>
      </c>
      <c r="V80" s="75">
        <f t="shared" si="20"/>
        <v>1409.7400000000002</v>
      </c>
      <c r="W80" s="75">
        <f t="shared" si="20"/>
        <v>1425.7399999999998</v>
      </c>
      <c r="X80" s="75">
        <f t="shared" si="20"/>
        <v>1409.74</v>
      </c>
      <c r="Y80" s="75">
        <f t="shared" si="20"/>
        <v>1454.14</v>
      </c>
      <c r="Z80" s="75">
        <f t="shared" si="20"/>
        <v>1522.34</v>
      </c>
      <c r="AA80" s="75">
        <f t="shared" si="20"/>
        <v>1649.34</v>
      </c>
      <c r="AB80" s="75">
        <f t="shared" si="20"/>
        <v>1617.54</v>
      </c>
      <c r="AC80" s="75">
        <f t="shared" si="20"/>
        <v>1601.34</v>
      </c>
      <c r="AD80" s="75">
        <f t="shared" si="20"/>
        <v>1555.44</v>
      </c>
      <c r="AE80" s="75">
        <f t="shared" si="20"/>
        <v>1502.6399999999999</v>
      </c>
      <c r="AF80" s="75">
        <f t="shared" si="20"/>
        <v>1481.1399999999999</v>
      </c>
      <c r="AG80" s="138"/>
      <c r="AH80" s="54">
        <f t="shared" ref="AH80" si="21">MAX(B80:AF80)</f>
        <v>1649.34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 t="shared" ref="B81" si="22">IF(B64&lt;0,B64*-1,0)</f>
        <v>0</v>
      </c>
      <c r="C81" s="71">
        <f t="shared" ref="C81:AF81" si="23">IF(C64&lt;0,C64*-1,0)</f>
        <v>0</v>
      </c>
      <c r="D81" s="71">
        <f t="shared" si="23"/>
        <v>0</v>
      </c>
      <c r="E81" s="71">
        <f t="shared" si="23"/>
        <v>0</v>
      </c>
      <c r="F81" s="71">
        <f t="shared" si="23"/>
        <v>0</v>
      </c>
      <c r="G81" s="71">
        <f t="shared" si="23"/>
        <v>0</v>
      </c>
      <c r="H81" s="71">
        <f t="shared" si="23"/>
        <v>0</v>
      </c>
      <c r="I81" s="71">
        <f t="shared" si="23"/>
        <v>0</v>
      </c>
      <c r="J81" s="71">
        <f t="shared" si="23"/>
        <v>0</v>
      </c>
      <c r="K81" s="71">
        <f t="shared" si="23"/>
        <v>0</v>
      </c>
      <c r="L81" s="71">
        <f t="shared" si="23"/>
        <v>0</v>
      </c>
      <c r="M81" s="71">
        <f t="shared" si="23"/>
        <v>0</v>
      </c>
      <c r="N81" s="71">
        <f t="shared" si="23"/>
        <v>0</v>
      </c>
      <c r="O81" s="71">
        <f t="shared" si="23"/>
        <v>0</v>
      </c>
      <c r="P81" s="71">
        <f t="shared" si="23"/>
        <v>0</v>
      </c>
      <c r="Q81" s="71">
        <f t="shared" si="23"/>
        <v>0</v>
      </c>
      <c r="R81" s="71">
        <f t="shared" si="23"/>
        <v>0</v>
      </c>
      <c r="S81" s="71">
        <f t="shared" si="23"/>
        <v>0</v>
      </c>
      <c r="T81" s="71">
        <f t="shared" si="23"/>
        <v>0</v>
      </c>
      <c r="U81" s="71">
        <f t="shared" si="23"/>
        <v>0</v>
      </c>
      <c r="V81" s="71">
        <f t="shared" si="23"/>
        <v>0</v>
      </c>
      <c r="W81" s="71">
        <f t="shared" si="23"/>
        <v>0</v>
      </c>
      <c r="X81" s="71">
        <f t="shared" si="23"/>
        <v>0</v>
      </c>
      <c r="Y81" s="71">
        <f t="shared" si="23"/>
        <v>0</v>
      </c>
      <c r="Z81" s="71">
        <f t="shared" si="23"/>
        <v>0</v>
      </c>
      <c r="AA81" s="71">
        <f t="shared" si="23"/>
        <v>0</v>
      </c>
      <c r="AB81" s="71">
        <f t="shared" si="23"/>
        <v>0</v>
      </c>
      <c r="AC81" s="71">
        <f t="shared" si="23"/>
        <v>0</v>
      </c>
      <c r="AD81" s="71">
        <f t="shared" si="23"/>
        <v>0</v>
      </c>
      <c r="AE81" s="71">
        <f t="shared" si="23"/>
        <v>0</v>
      </c>
      <c r="AF81" s="71">
        <f t="shared" si="23"/>
        <v>0</v>
      </c>
      <c r="AG81" s="135"/>
      <c r="AH81" s="54">
        <f t="shared" ref="AH81:AH97" si="24">MAX(B81:AF81)</f>
        <v>0</v>
      </c>
      <c r="AI81" s="55">
        <f t="shared" ref="AI81:AI97" si="25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 t="shared" ref="B82" si="26">IF(B62&lt;0,B62*-1,0)</f>
        <v>0</v>
      </c>
      <c r="C82" s="71">
        <f t="shared" ref="C82:AF82" si="27">IF(C62&lt;0,C62*-1,0)</f>
        <v>0</v>
      </c>
      <c r="D82" s="71">
        <f t="shared" si="27"/>
        <v>0</v>
      </c>
      <c r="E82" s="71">
        <f t="shared" si="27"/>
        <v>0</v>
      </c>
      <c r="F82" s="71">
        <f t="shared" si="27"/>
        <v>0</v>
      </c>
      <c r="G82" s="71">
        <f t="shared" si="27"/>
        <v>0</v>
      </c>
      <c r="H82" s="71">
        <f t="shared" si="27"/>
        <v>0</v>
      </c>
      <c r="I82" s="71">
        <f t="shared" si="27"/>
        <v>0</v>
      </c>
      <c r="J82" s="71">
        <f t="shared" si="27"/>
        <v>0</v>
      </c>
      <c r="K82" s="71">
        <f t="shared" si="27"/>
        <v>0</v>
      </c>
      <c r="L82" s="71">
        <f t="shared" si="27"/>
        <v>0</v>
      </c>
      <c r="M82" s="71">
        <f t="shared" si="27"/>
        <v>0</v>
      </c>
      <c r="N82" s="71">
        <f t="shared" si="27"/>
        <v>0</v>
      </c>
      <c r="O82" s="71">
        <f t="shared" si="27"/>
        <v>0</v>
      </c>
      <c r="P82" s="71">
        <f t="shared" si="27"/>
        <v>0</v>
      </c>
      <c r="Q82" s="71">
        <f t="shared" si="27"/>
        <v>0</v>
      </c>
      <c r="R82" s="71">
        <f t="shared" si="27"/>
        <v>0</v>
      </c>
      <c r="S82" s="71">
        <f t="shared" si="27"/>
        <v>0</v>
      </c>
      <c r="T82" s="71">
        <f t="shared" si="27"/>
        <v>0</v>
      </c>
      <c r="U82" s="71">
        <f t="shared" si="27"/>
        <v>0</v>
      </c>
      <c r="V82" s="71">
        <f t="shared" si="27"/>
        <v>0</v>
      </c>
      <c r="W82" s="71">
        <f t="shared" si="27"/>
        <v>0</v>
      </c>
      <c r="X82" s="71">
        <f t="shared" si="27"/>
        <v>0</v>
      </c>
      <c r="Y82" s="71">
        <f t="shared" si="27"/>
        <v>0</v>
      </c>
      <c r="Z82" s="71">
        <f t="shared" si="27"/>
        <v>0</v>
      </c>
      <c r="AA82" s="71">
        <f t="shared" si="27"/>
        <v>0</v>
      </c>
      <c r="AB82" s="71">
        <f t="shared" si="27"/>
        <v>0</v>
      </c>
      <c r="AC82" s="71">
        <f t="shared" si="27"/>
        <v>0</v>
      </c>
      <c r="AD82" s="71">
        <f t="shared" si="27"/>
        <v>0</v>
      </c>
      <c r="AE82" s="71">
        <f t="shared" si="27"/>
        <v>0</v>
      </c>
      <c r="AF82" s="71">
        <f t="shared" si="27"/>
        <v>0</v>
      </c>
      <c r="AG82" s="136"/>
      <c r="AH82" s="54">
        <f t="shared" si="24"/>
        <v>0</v>
      </c>
      <c r="AI82" s="55">
        <f t="shared" si="25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 t="shared" ref="B83" si="28">IF(B65&lt;0,B65*-1,0)</f>
        <v>0</v>
      </c>
      <c r="C83" s="71">
        <f t="shared" ref="C83:AF83" si="29">IF(C65&lt;0,C65*-1,0)</f>
        <v>0</v>
      </c>
      <c r="D83" s="71">
        <f t="shared" si="29"/>
        <v>0</v>
      </c>
      <c r="E83" s="71">
        <f t="shared" si="29"/>
        <v>0</v>
      </c>
      <c r="F83" s="71">
        <f t="shared" si="29"/>
        <v>0</v>
      </c>
      <c r="G83" s="71">
        <f t="shared" si="29"/>
        <v>0</v>
      </c>
      <c r="H83" s="71">
        <f t="shared" si="29"/>
        <v>0</v>
      </c>
      <c r="I83" s="71">
        <f t="shared" si="29"/>
        <v>0</v>
      </c>
      <c r="J83" s="71">
        <f t="shared" si="29"/>
        <v>0</v>
      </c>
      <c r="K83" s="71">
        <f t="shared" si="29"/>
        <v>0</v>
      </c>
      <c r="L83" s="71">
        <f t="shared" si="29"/>
        <v>0</v>
      </c>
      <c r="M83" s="71">
        <f t="shared" si="29"/>
        <v>0</v>
      </c>
      <c r="N83" s="71">
        <f t="shared" si="29"/>
        <v>0</v>
      </c>
      <c r="O83" s="71">
        <f t="shared" si="29"/>
        <v>0</v>
      </c>
      <c r="P83" s="71">
        <f t="shared" si="29"/>
        <v>0</v>
      </c>
      <c r="Q83" s="71">
        <f t="shared" si="29"/>
        <v>0</v>
      </c>
      <c r="R83" s="71">
        <f t="shared" si="29"/>
        <v>0</v>
      </c>
      <c r="S83" s="71">
        <f t="shared" si="29"/>
        <v>0</v>
      </c>
      <c r="T83" s="71">
        <f t="shared" si="29"/>
        <v>0</v>
      </c>
      <c r="U83" s="71">
        <f t="shared" si="29"/>
        <v>0</v>
      </c>
      <c r="V83" s="71">
        <f t="shared" si="29"/>
        <v>0</v>
      </c>
      <c r="W83" s="71">
        <f t="shared" si="29"/>
        <v>0</v>
      </c>
      <c r="X83" s="71">
        <f t="shared" si="29"/>
        <v>0</v>
      </c>
      <c r="Y83" s="71">
        <f t="shared" si="29"/>
        <v>0</v>
      </c>
      <c r="Z83" s="71">
        <f t="shared" si="29"/>
        <v>0</v>
      </c>
      <c r="AA83" s="71">
        <f t="shared" si="29"/>
        <v>0</v>
      </c>
      <c r="AB83" s="71">
        <f t="shared" si="29"/>
        <v>0</v>
      </c>
      <c r="AC83" s="71">
        <f t="shared" si="29"/>
        <v>0</v>
      </c>
      <c r="AD83" s="71">
        <f t="shared" si="29"/>
        <v>0</v>
      </c>
      <c r="AE83" s="71">
        <f t="shared" si="29"/>
        <v>0</v>
      </c>
      <c r="AF83" s="71">
        <f t="shared" si="29"/>
        <v>0</v>
      </c>
      <c r="AG83" s="144"/>
      <c r="AH83" s="54">
        <f t="shared" si="24"/>
        <v>0</v>
      </c>
      <c r="AI83" s="55">
        <f t="shared" si="25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 t="shared" ref="B84" si="30">IF(B63&lt;0,B63*-1,0)</f>
        <v>335</v>
      </c>
      <c r="C84" s="71">
        <f t="shared" ref="C84:AF84" si="31">IF(C63&lt;0,C63*-1,0)</f>
        <v>329</v>
      </c>
      <c r="D84" s="71">
        <f t="shared" si="31"/>
        <v>340</v>
      </c>
      <c r="E84" s="71">
        <f t="shared" si="31"/>
        <v>327</v>
      </c>
      <c r="F84" s="71">
        <f t="shared" si="31"/>
        <v>350.9</v>
      </c>
      <c r="G84" s="71">
        <f t="shared" si="31"/>
        <v>374.3</v>
      </c>
      <c r="H84" s="71">
        <f t="shared" si="31"/>
        <v>370.7</v>
      </c>
      <c r="I84" s="71">
        <f t="shared" si="31"/>
        <v>401</v>
      </c>
      <c r="J84" s="71">
        <f t="shared" si="31"/>
        <v>372</v>
      </c>
      <c r="K84" s="71">
        <f t="shared" si="31"/>
        <v>361</v>
      </c>
      <c r="L84" s="71">
        <f t="shared" si="31"/>
        <v>361</v>
      </c>
      <c r="M84" s="71">
        <f t="shared" si="31"/>
        <v>341</v>
      </c>
      <c r="N84" s="71">
        <f t="shared" si="31"/>
        <v>310</v>
      </c>
      <c r="O84" s="71">
        <f t="shared" si="31"/>
        <v>281.60000000000002</v>
      </c>
      <c r="P84" s="71">
        <f t="shared" si="31"/>
        <v>265.2</v>
      </c>
      <c r="Q84" s="71">
        <f t="shared" si="31"/>
        <v>250.9</v>
      </c>
      <c r="R84" s="71">
        <f t="shared" si="31"/>
        <v>195</v>
      </c>
      <c r="S84" s="71">
        <f t="shared" si="31"/>
        <v>207</v>
      </c>
      <c r="T84" s="71">
        <f t="shared" si="31"/>
        <v>251</v>
      </c>
      <c r="U84" s="71">
        <f t="shared" si="31"/>
        <v>240</v>
      </c>
      <c r="V84" s="71">
        <f t="shared" si="31"/>
        <v>296.89999999999998</v>
      </c>
      <c r="W84" s="71">
        <f t="shared" si="31"/>
        <v>330</v>
      </c>
      <c r="X84" s="71">
        <f t="shared" si="31"/>
        <v>348</v>
      </c>
      <c r="Y84" s="71">
        <f t="shared" si="31"/>
        <v>307</v>
      </c>
      <c r="Z84" s="71">
        <f t="shared" si="31"/>
        <v>294</v>
      </c>
      <c r="AA84" s="71">
        <f t="shared" si="31"/>
        <v>182</v>
      </c>
      <c r="AB84" s="71">
        <f t="shared" si="31"/>
        <v>197.6</v>
      </c>
      <c r="AC84" s="71">
        <f t="shared" si="31"/>
        <v>233</v>
      </c>
      <c r="AD84" s="71">
        <f t="shared" si="31"/>
        <v>278</v>
      </c>
      <c r="AE84" s="71">
        <f t="shared" si="31"/>
        <v>342</v>
      </c>
      <c r="AF84" s="71">
        <f t="shared" si="31"/>
        <v>344</v>
      </c>
      <c r="AG84" s="144"/>
      <c r="AH84" s="54">
        <f t="shared" si="24"/>
        <v>401</v>
      </c>
      <c r="AI84" s="55">
        <f t="shared" si="25"/>
        <v>182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 t="shared" ref="B85" si="32">IF(B61&lt;0,B61*-1,0)</f>
        <v>0</v>
      </c>
      <c r="C85" s="71">
        <f t="shared" ref="C85:AF85" si="33">IF(C61&lt;0,C61*-1,0)</f>
        <v>0</v>
      </c>
      <c r="D85" s="71">
        <f t="shared" si="33"/>
        <v>0</v>
      </c>
      <c r="E85" s="71">
        <f t="shared" si="33"/>
        <v>0</v>
      </c>
      <c r="F85" s="71">
        <f t="shared" si="33"/>
        <v>0</v>
      </c>
      <c r="G85" s="71">
        <f t="shared" si="33"/>
        <v>0</v>
      </c>
      <c r="H85" s="71">
        <f t="shared" si="33"/>
        <v>0</v>
      </c>
      <c r="I85" s="71">
        <f t="shared" si="33"/>
        <v>0</v>
      </c>
      <c r="J85" s="71">
        <f t="shared" si="33"/>
        <v>0</v>
      </c>
      <c r="K85" s="71">
        <f t="shared" si="33"/>
        <v>0</v>
      </c>
      <c r="L85" s="71">
        <f t="shared" si="33"/>
        <v>0</v>
      </c>
      <c r="M85" s="71">
        <f t="shared" si="33"/>
        <v>0</v>
      </c>
      <c r="N85" s="71">
        <f t="shared" si="33"/>
        <v>0</v>
      </c>
      <c r="O85" s="71">
        <f t="shared" si="33"/>
        <v>0</v>
      </c>
      <c r="P85" s="71">
        <f t="shared" si="33"/>
        <v>0</v>
      </c>
      <c r="Q85" s="71">
        <f t="shared" si="33"/>
        <v>0</v>
      </c>
      <c r="R85" s="71">
        <f t="shared" si="33"/>
        <v>0</v>
      </c>
      <c r="S85" s="71">
        <f t="shared" si="33"/>
        <v>0</v>
      </c>
      <c r="T85" s="71">
        <f t="shared" si="33"/>
        <v>0</v>
      </c>
      <c r="U85" s="71">
        <f t="shared" si="33"/>
        <v>0</v>
      </c>
      <c r="V85" s="71">
        <f t="shared" si="33"/>
        <v>0</v>
      </c>
      <c r="W85" s="71">
        <f t="shared" si="33"/>
        <v>0</v>
      </c>
      <c r="X85" s="71">
        <f t="shared" si="33"/>
        <v>0</v>
      </c>
      <c r="Y85" s="71">
        <f t="shared" si="33"/>
        <v>0</v>
      </c>
      <c r="Z85" s="71">
        <f t="shared" si="33"/>
        <v>0</v>
      </c>
      <c r="AA85" s="71">
        <f t="shared" si="33"/>
        <v>0</v>
      </c>
      <c r="AB85" s="71">
        <f t="shared" si="33"/>
        <v>0</v>
      </c>
      <c r="AC85" s="71">
        <f t="shared" si="33"/>
        <v>0</v>
      </c>
      <c r="AD85" s="71">
        <f t="shared" si="33"/>
        <v>0</v>
      </c>
      <c r="AE85" s="71">
        <f t="shared" si="33"/>
        <v>0</v>
      </c>
      <c r="AF85" s="71">
        <f t="shared" si="33"/>
        <v>0</v>
      </c>
      <c r="AG85" s="144"/>
      <c r="AH85" s="54">
        <f t="shared" si="24"/>
        <v>0</v>
      </c>
      <c r="AI85" s="55">
        <f t="shared" si="25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/>
      <c r="AD86" s="74"/>
      <c r="AE86" s="74"/>
      <c r="AF86" s="74"/>
      <c r="AG86" s="141"/>
      <c r="AH86" s="54">
        <f t="shared" si="24"/>
        <v>0</v>
      </c>
      <c r="AI86" s="55">
        <f t="shared" si="25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 t="shared" ref="B87" si="34">SUM(B81:B86)</f>
        <v>335</v>
      </c>
      <c r="C87" s="66">
        <f t="shared" ref="C87:AF87" si="35">SUM(C81:C86)</f>
        <v>329</v>
      </c>
      <c r="D87" s="66">
        <f t="shared" si="35"/>
        <v>340</v>
      </c>
      <c r="E87" s="66">
        <f t="shared" si="35"/>
        <v>327</v>
      </c>
      <c r="F87" s="66">
        <f t="shared" si="35"/>
        <v>350.9</v>
      </c>
      <c r="G87" s="66">
        <f t="shared" si="35"/>
        <v>374.3</v>
      </c>
      <c r="H87" s="66">
        <f t="shared" si="35"/>
        <v>370.7</v>
      </c>
      <c r="I87" s="66">
        <f t="shared" si="35"/>
        <v>401</v>
      </c>
      <c r="J87" s="66">
        <f t="shared" si="35"/>
        <v>372</v>
      </c>
      <c r="K87" s="66">
        <f t="shared" si="35"/>
        <v>361</v>
      </c>
      <c r="L87" s="66">
        <f t="shared" si="35"/>
        <v>361</v>
      </c>
      <c r="M87" s="66">
        <f t="shared" si="35"/>
        <v>341</v>
      </c>
      <c r="N87" s="66">
        <f t="shared" si="35"/>
        <v>310</v>
      </c>
      <c r="O87" s="66">
        <f t="shared" si="35"/>
        <v>281.60000000000002</v>
      </c>
      <c r="P87" s="66">
        <f t="shared" si="35"/>
        <v>265.2</v>
      </c>
      <c r="Q87" s="66">
        <f t="shared" si="35"/>
        <v>250.9</v>
      </c>
      <c r="R87" s="66">
        <f t="shared" si="35"/>
        <v>195</v>
      </c>
      <c r="S87" s="66">
        <f t="shared" si="35"/>
        <v>207</v>
      </c>
      <c r="T87" s="66">
        <f t="shared" si="35"/>
        <v>251</v>
      </c>
      <c r="U87" s="66">
        <f t="shared" si="35"/>
        <v>240</v>
      </c>
      <c r="V87" s="66">
        <f t="shared" si="35"/>
        <v>296.89999999999998</v>
      </c>
      <c r="W87" s="66">
        <f t="shared" si="35"/>
        <v>330</v>
      </c>
      <c r="X87" s="66">
        <f t="shared" si="35"/>
        <v>348</v>
      </c>
      <c r="Y87" s="66">
        <f t="shared" si="35"/>
        <v>307</v>
      </c>
      <c r="Z87" s="66">
        <f t="shared" si="35"/>
        <v>294</v>
      </c>
      <c r="AA87" s="66">
        <f t="shared" si="35"/>
        <v>182</v>
      </c>
      <c r="AB87" s="66">
        <f t="shared" si="35"/>
        <v>197.6</v>
      </c>
      <c r="AC87" s="66">
        <f t="shared" si="35"/>
        <v>233</v>
      </c>
      <c r="AD87" s="66">
        <f t="shared" si="35"/>
        <v>278</v>
      </c>
      <c r="AE87" s="66">
        <f t="shared" si="35"/>
        <v>342</v>
      </c>
      <c r="AF87" s="66">
        <f t="shared" si="35"/>
        <v>344</v>
      </c>
      <c r="AG87" s="138"/>
      <c r="AH87" s="54">
        <f t="shared" si="24"/>
        <v>401</v>
      </c>
      <c r="AI87" s="55">
        <f t="shared" si="25"/>
        <v>182</v>
      </c>
      <c r="AK87" s="56"/>
    </row>
    <row r="88" spans="1:88" s="1" customFormat="1" ht="15.75" thickBot="1" x14ac:dyDescent="0.3">
      <c r="A88" s="65" t="s">
        <v>64</v>
      </c>
      <c r="B88" s="66">
        <f t="shared" ref="B88" si="36">B72-B87</f>
        <v>-262.10000000000002</v>
      </c>
      <c r="C88" s="66">
        <f t="shared" ref="C88:AF88" si="37">C72-C87</f>
        <v>-276.2</v>
      </c>
      <c r="D88" s="66">
        <f t="shared" si="37"/>
        <v>-281.10000000000002</v>
      </c>
      <c r="E88" s="66">
        <f t="shared" si="37"/>
        <v>-305.39999999999998</v>
      </c>
      <c r="F88" s="66">
        <f t="shared" si="37"/>
        <v>-333.9</v>
      </c>
      <c r="G88" s="66">
        <f t="shared" si="37"/>
        <v>-347.3</v>
      </c>
      <c r="H88" s="66">
        <f t="shared" si="37"/>
        <v>-347.7</v>
      </c>
      <c r="I88" s="66">
        <f t="shared" si="37"/>
        <v>-388.9</v>
      </c>
      <c r="J88" s="66">
        <f t="shared" si="37"/>
        <v>-351.8</v>
      </c>
      <c r="K88" s="66">
        <f t="shared" si="37"/>
        <v>-303.10000000000002</v>
      </c>
      <c r="L88" s="66">
        <f t="shared" si="37"/>
        <v>-306.7</v>
      </c>
      <c r="M88" s="66">
        <f t="shared" si="37"/>
        <v>-303.5</v>
      </c>
      <c r="N88" s="66">
        <f t="shared" si="37"/>
        <v>-267.2</v>
      </c>
      <c r="O88" s="66">
        <f t="shared" si="37"/>
        <v>-242.20000000000002</v>
      </c>
      <c r="P88" s="66">
        <f t="shared" si="37"/>
        <v>-209.7</v>
      </c>
      <c r="Q88" s="66">
        <f t="shared" si="37"/>
        <v>-197.7</v>
      </c>
      <c r="R88" s="66">
        <f t="shared" si="37"/>
        <v>-146.1</v>
      </c>
      <c r="S88" s="66">
        <f t="shared" si="37"/>
        <v>-168.49</v>
      </c>
      <c r="T88" s="66">
        <f t="shared" si="37"/>
        <v>-206.4</v>
      </c>
      <c r="U88" s="66">
        <f t="shared" si="37"/>
        <v>-191.8</v>
      </c>
      <c r="V88" s="66">
        <f t="shared" si="37"/>
        <v>-255.29999999999998</v>
      </c>
      <c r="W88" s="66">
        <f t="shared" si="37"/>
        <v>-288.39999999999998</v>
      </c>
      <c r="X88" s="66">
        <f t="shared" si="37"/>
        <v>-310.89999999999998</v>
      </c>
      <c r="Y88" s="66">
        <f t="shared" si="37"/>
        <v>-282.10000000000002</v>
      </c>
      <c r="Z88" s="66">
        <f t="shared" si="37"/>
        <v>-253.9</v>
      </c>
      <c r="AA88" s="66">
        <f t="shared" si="37"/>
        <v>-141.9</v>
      </c>
      <c r="AB88" s="66">
        <f t="shared" si="37"/>
        <v>-173.29999999999998</v>
      </c>
      <c r="AC88" s="66">
        <f t="shared" si="37"/>
        <v>-189.5</v>
      </c>
      <c r="AD88" s="66">
        <f t="shared" si="37"/>
        <v>-233.5</v>
      </c>
      <c r="AE88" s="66">
        <f t="shared" si="37"/>
        <v>-296.5</v>
      </c>
      <c r="AF88" s="66">
        <f t="shared" si="37"/>
        <v>-318</v>
      </c>
      <c r="AG88" s="138"/>
      <c r="AH88" s="54">
        <f t="shared" si="24"/>
        <v>-141.9</v>
      </c>
      <c r="AI88" s="55">
        <f t="shared" si="25"/>
        <v>-388.9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50</v>
      </c>
      <c r="C89" s="80">
        <v>50</v>
      </c>
      <c r="D89" s="80">
        <v>50</v>
      </c>
      <c r="E89" s="80">
        <v>49.957999999999998</v>
      </c>
      <c r="F89" s="80">
        <v>49.914999999999999</v>
      </c>
      <c r="G89" s="80">
        <v>49.98</v>
      </c>
      <c r="H89" s="80">
        <v>49.951000000000001</v>
      </c>
      <c r="I89" s="80">
        <v>49.951999999999998</v>
      </c>
      <c r="J89" s="80">
        <v>49.648000000000003</v>
      </c>
      <c r="K89" s="80">
        <v>49.746000000000002</v>
      </c>
      <c r="L89" s="80">
        <v>50.009</v>
      </c>
      <c r="M89" s="80">
        <v>50.085999999999999</v>
      </c>
      <c r="N89" s="80">
        <v>50.1</v>
      </c>
      <c r="O89" s="80">
        <v>50.085999999999999</v>
      </c>
      <c r="P89" s="80">
        <v>50.064999999999998</v>
      </c>
      <c r="Q89" s="80">
        <v>50.076000000000001</v>
      </c>
      <c r="R89" s="80">
        <v>50.125</v>
      </c>
      <c r="S89" s="80">
        <v>50.05</v>
      </c>
      <c r="T89" s="80">
        <v>49.97</v>
      </c>
      <c r="U89" s="80">
        <v>50.06</v>
      </c>
      <c r="V89" s="80">
        <v>50.07</v>
      </c>
      <c r="W89" s="80">
        <v>50.03</v>
      </c>
      <c r="X89" s="80">
        <v>49.91</v>
      </c>
      <c r="Y89" s="80">
        <v>49.957000000000001</v>
      </c>
      <c r="Z89" s="80">
        <v>49.96</v>
      </c>
      <c r="AA89" s="80">
        <v>50.02</v>
      </c>
      <c r="AB89" s="80">
        <v>50.031999999999996</v>
      </c>
      <c r="AC89" s="80">
        <v>49.859000000000002</v>
      </c>
      <c r="AD89" s="80">
        <v>50.012</v>
      </c>
      <c r="AE89" s="80">
        <v>50.009</v>
      </c>
      <c r="AF89" s="80">
        <v>50.033999999999999</v>
      </c>
      <c r="AG89" s="145"/>
      <c r="AH89" s="54">
        <f t="shared" si="24"/>
        <v>50.125</v>
      </c>
      <c r="AI89" s="55">
        <f t="shared" si="25"/>
        <v>49.648000000000003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121.8</v>
      </c>
      <c r="C90" s="48">
        <v>122.6</v>
      </c>
      <c r="D90" s="48">
        <v>122.7</v>
      </c>
      <c r="E90" s="48">
        <v>122.5</v>
      </c>
      <c r="F90" s="48">
        <v>122.5</v>
      </c>
      <c r="G90" s="48">
        <v>124.8</v>
      </c>
      <c r="H90" s="48">
        <v>124.8</v>
      </c>
      <c r="I90" s="48">
        <v>125</v>
      </c>
      <c r="J90" s="48">
        <v>123.6</v>
      </c>
      <c r="K90" s="48">
        <v>122.5</v>
      </c>
      <c r="L90" s="48">
        <v>122.7</v>
      </c>
      <c r="M90" s="48">
        <v>121.8</v>
      </c>
      <c r="N90" s="48">
        <v>122.6</v>
      </c>
      <c r="O90" s="48">
        <v>121.8</v>
      </c>
      <c r="P90" s="48">
        <v>121.7</v>
      </c>
      <c r="Q90" s="48">
        <v>122.3</v>
      </c>
      <c r="R90" s="48">
        <v>122.2</v>
      </c>
      <c r="S90" s="48">
        <v>122</v>
      </c>
      <c r="T90" s="48">
        <v>119.4</v>
      </c>
      <c r="U90" s="48">
        <v>122.4</v>
      </c>
      <c r="V90" s="48">
        <v>125.4</v>
      </c>
      <c r="W90" s="48">
        <v>125.7</v>
      </c>
      <c r="X90" s="48">
        <v>125.1</v>
      </c>
      <c r="Y90" s="48">
        <v>125.1</v>
      </c>
      <c r="Z90" s="48">
        <v>125.1</v>
      </c>
      <c r="AA90" s="48">
        <v>124.6</v>
      </c>
      <c r="AB90" s="48">
        <v>124.3</v>
      </c>
      <c r="AC90" s="48">
        <v>125.2</v>
      </c>
      <c r="AD90" s="48">
        <v>125.7</v>
      </c>
      <c r="AE90" s="48">
        <v>122.7</v>
      </c>
      <c r="AF90" s="48">
        <v>122.5</v>
      </c>
      <c r="AG90" s="146"/>
      <c r="AH90" s="54">
        <f t="shared" si="24"/>
        <v>125.7</v>
      </c>
      <c r="AI90" s="55">
        <f t="shared" si="25"/>
        <v>119.4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127.1</v>
      </c>
      <c r="C91" s="48">
        <v>127.8</v>
      </c>
      <c r="D91" s="48">
        <v>128.19999999999999</v>
      </c>
      <c r="E91" s="48">
        <v>128.19999999999999</v>
      </c>
      <c r="F91" s="48">
        <v>128.19999999999999</v>
      </c>
      <c r="G91" s="48">
        <v>129.19999999999999</v>
      </c>
      <c r="H91" s="48">
        <v>129.19999999999999</v>
      </c>
      <c r="I91" s="48">
        <v>128.4</v>
      </c>
      <c r="J91" s="48">
        <v>127.5</v>
      </c>
      <c r="K91" s="48">
        <v>126.5</v>
      </c>
      <c r="L91" s="48">
        <v>126.8</v>
      </c>
      <c r="M91" s="48">
        <v>126</v>
      </c>
      <c r="N91" s="48">
        <v>126.6</v>
      </c>
      <c r="O91" s="48">
        <v>126</v>
      </c>
      <c r="P91" s="48">
        <v>124.9</v>
      </c>
      <c r="Q91" s="48">
        <v>126.3</v>
      </c>
      <c r="R91" s="48">
        <v>125.1</v>
      </c>
      <c r="S91" s="48">
        <v>124.8</v>
      </c>
      <c r="T91" s="48">
        <v>123</v>
      </c>
      <c r="U91" s="48">
        <v>125.1</v>
      </c>
      <c r="V91" s="48">
        <v>128.4</v>
      </c>
      <c r="W91" s="48">
        <v>128.80000000000001</v>
      </c>
      <c r="X91" s="48">
        <v>128.19999999999999</v>
      </c>
      <c r="Y91" s="48">
        <v>128.19999999999999</v>
      </c>
      <c r="Z91" s="48">
        <v>128.1</v>
      </c>
      <c r="AA91" s="48">
        <v>127.9</v>
      </c>
      <c r="AB91" s="48">
        <v>127.8</v>
      </c>
      <c r="AC91" s="48">
        <v>128.80000000000001</v>
      </c>
      <c r="AD91" s="48">
        <v>129.4</v>
      </c>
      <c r="AE91" s="48">
        <v>128.19999999999999</v>
      </c>
      <c r="AF91" s="48">
        <v>128.30000000000001</v>
      </c>
      <c r="AG91" s="146"/>
      <c r="AH91" s="54">
        <f t="shared" si="24"/>
        <v>129.4</v>
      </c>
      <c r="AI91" s="55">
        <f t="shared" si="25"/>
        <v>123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126.6</v>
      </c>
      <c r="C92" s="48">
        <v>127.1</v>
      </c>
      <c r="D92" s="48">
        <v>126.8</v>
      </c>
      <c r="E92" s="48">
        <v>127.1</v>
      </c>
      <c r="F92" s="48">
        <v>127.1</v>
      </c>
      <c r="G92" s="48">
        <v>130.4</v>
      </c>
      <c r="H92" s="48">
        <v>130.4</v>
      </c>
      <c r="I92" s="48">
        <v>130</v>
      </c>
      <c r="J92" s="48">
        <v>128.80000000000001</v>
      </c>
      <c r="K92" s="48">
        <v>129</v>
      </c>
      <c r="L92" s="48">
        <v>130.69999999999999</v>
      </c>
      <c r="M92" s="48">
        <v>127.9</v>
      </c>
      <c r="N92" s="48">
        <v>129.30000000000001</v>
      </c>
      <c r="O92" s="48">
        <v>127.9</v>
      </c>
      <c r="P92" s="48">
        <v>127.5</v>
      </c>
      <c r="Q92" s="48">
        <v>128.80000000000001</v>
      </c>
      <c r="R92" s="48">
        <v>128.1</v>
      </c>
      <c r="S92" s="48">
        <v>128.69999999999999</v>
      </c>
      <c r="T92" s="48">
        <v>127.3</v>
      </c>
      <c r="U92" s="48">
        <v>128</v>
      </c>
      <c r="V92" s="48">
        <v>128.69999999999999</v>
      </c>
      <c r="W92" s="48">
        <v>127</v>
      </c>
      <c r="X92" s="48">
        <v>128.30000000000001</v>
      </c>
      <c r="Y92" s="48">
        <v>128.30000000000001</v>
      </c>
      <c r="Z92" s="48">
        <v>127.5</v>
      </c>
      <c r="AA92" s="48">
        <v>127.8</v>
      </c>
      <c r="AB92" s="48">
        <v>126.1</v>
      </c>
      <c r="AC92" s="48">
        <v>130</v>
      </c>
      <c r="AD92" s="48">
        <v>129.1</v>
      </c>
      <c r="AE92" s="48">
        <v>125.1</v>
      </c>
      <c r="AF92" s="48">
        <v>126.6</v>
      </c>
      <c r="AG92" s="146"/>
      <c r="AH92" s="54">
        <f t="shared" si="24"/>
        <v>130.69999999999999</v>
      </c>
      <c r="AI92" s="55">
        <f t="shared" si="25"/>
        <v>125.1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>
        <v>133.1</v>
      </c>
      <c r="C93" s="48">
        <v>134.30000000000001</v>
      </c>
      <c r="D93" s="48">
        <v>134.1</v>
      </c>
      <c r="E93" s="48">
        <v>134.4</v>
      </c>
      <c r="F93" s="48">
        <v>134.4</v>
      </c>
      <c r="G93" s="48">
        <v>135.5</v>
      </c>
      <c r="H93" s="48">
        <v>135.5</v>
      </c>
      <c r="I93" s="48">
        <v>134.19999999999999</v>
      </c>
      <c r="J93" s="48">
        <v>132.5</v>
      </c>
      <c r="K93" s="48">
        <v>134</v>
      </c>
      <c r="L93" s="48">
        <v>135.30000000000001</v>
      </c>
      <c r="M93" s="48">
        <v>132.19999999999999</v>
      </c>
      <c r="N93" s="48">
        <v>133.69999999999999</v>
      </c>
      <c r="O93" s="48">
        <v>132.19999999999999</v>
      </c>
      <c r="P93" s="48">
        <v>132.1</v>
      </c>
      <c r="Q93" s="48">
        <v>133.19999999999999</v>
      </c>
      <c r="R93" s="48">
        <v>132.9</v>
      </c>
      <c r="S93" s="48">
        <v>132.19999999999999</v>
      </c>
      <c r="T93" s="48">
        <v>130.9</v>
      </c>
      <c r="U93" s="48">
        <v>131.9</v>
      </c>
      <c r="V93" s="48">
        <v>132.9</v>
      </c>
      <c r="W93" s="48">
        <v>131.80000000000001</v>
      </c>
      <c r="X93" s="48">
        <v>133.6</v>
      </c>
      <c r="Y93" s="48">
        <v>133.6</v>
      </c>
      <c r="Z93" s="48">
        <v>131.19999999999999</v>
      </c>
      <c r="AA93" s="48">
        <v>131.69999999999999</v>
      </c>
      <c r="AB93" s="48">
        <v>131.19999999999999</v>
      </c>
      <c r="AC93" s="48">
        <v>133.6</v>
      </c>
      <c r="AD93" s="48">
        <v>133.4</v>
      </c>
      <c r="AE93" s="48">
        <v>131.19999999999999</v>
      </c>
      <c r="AF93" s="48">
        <v>132.69999999999999</v>
      </c>
      <c r="AG93" s="146"/>
      <c r="AH93" s="54">
        <f t="shared" si="24"/>
        <v>135.5</v>
      </c>
      <c r="AI93" s="55">
        <f t="shared" si="25"/>
        <v>130.9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128.6</v>
      </c>
      <c r="C94" s="82">
        <v>131.69999999999999</v>
      </c>
      <c r="D94" s="82">
        <v>131.1</v>
      </c>
      <c r="E94" s="82">
        <v>133.30000000000001</v>
      </c>
      <c r="F94" s="82">
        <v>133.30000000000001</v>
      </c>
      <c r="G94" s="82">
        <v>133.19999999999999</v>
      </c>
      <c r="H94" s="82">
        <v>133.19999999999999</v>
      </c>
      <c r="I94" s="82">
        <v>132.69999999999999</v>
      </c>
      <c r="J94" s="82">
        <v>132.1</v>
      </c>
      <c r="K94" s="82">
        <v>132.5</v>
      </c>
      <c r="L94" s="82">
        <v>130.9</v>
      </c>
      <c r="M94" s="82">
        <v>133.30000000000001</v>
      </c>
      <c r="N94" s="82">
        <v>133.1</v>
      </c>
      <c r="O94" s="82">
        <v>133.30000000000001</v>
      </c>
      <c r="P94" s="82">
        <v>132.5</v>
      </c>
      <c r="Q94" s="82">
        <v>131.4</v>
      </c>
      <c r="R94" s="82">
        <v>133.1</v>
      </c>
      <c r="S94" s="82">
        <v>129.80000000000001</v>
      </c>
      <c r="T94" s="82">
        <v>130.6</v>
      </c>
      <c r="U94" s="82">
        <v>132.6</v>
      </c>
      <c r="V94" s="82">
        <v>136.1</v>
      </c>
      <c r="W94" s="82">
        <v>135.9</v>
      </c>
      <c r="X94" s="82">
        <v>132</v>
      </c>
      <c r="Y94" s="82">
        <v>132</v>
      </c>
      <c r="Z94" s="82">
        <v>133.19999999999999</v>
      </c>
      <c r="AA94" s="82">
        <v>133.19999999999999</v>
      </c>
      <c r="AB94" s="82">
        <v>132.5</v>
      </c>
      <c r="AC94" s="82">
        <v>134.19999999999999</v>
      </c>
      <c r="AD94" s="82">
        <v>131.5</v>
      </c>
      <c r="AE94" s="82">
        <v>130</v>
      </c>
      <c r="AF94" s="82">
        <v>130.80000000000001</v>
      </c>
      <c r="AG94" s="147"/>
      <c r="AH94" s="54">
        <f t="shared" si="24"/>
        <v>136.1</v>
      </c>
      <c r="AI94" s="55">
        <f t="shared" si="25"/>
        <v>128.6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121.6</v>
      </c>
      <c r="C95" s="48">
        <v>125.3</v>
      </c>
      <c r="D95" s="48">
        <v>126.7</v>
      </c>
      <c r="E95" s="48">
        <v>129.1</v>
      </c>
      <c r="F95" s="48">
        <v>129.1</v>
      </c>
      <c r="G95" s="48">
        <v>132.1</v>
      </c>
      <c r="H95" s="48">
        <v>132.1</v>
      </c>
      <c r="I95" s="48">
        <v>133.9</v>
      </c>
      <c r="J95" s="48">
        <v>132</v>
      </c>
      <c r="K95" s="48">
        <v>132.9</v>
      </c>
      <c r="L95" s="48">
        <v>132.80000000000001</v>
      </c>
      <c r="M95" s="48">
        <v>139.5</v>
      </c>
      <c r="N95" s="48">
        <v>129.4</v>
      </c>
      <c r="O95" s="48">
        <v>139.5</v>
      </c>
      <c r="P95" s="48">
        <v>132.6</v>
      </c>
      <c r="Q95" s="48">
        <v>130.9</v>
      </c>
      <c r="R95" s="48">
        <v>128.5</v>
      </c>
      <c r="S95" s="48">
        <v>132.19999999999999</v>
      </c>
      <c r="T95" s="48">
        <v>133.19999999999999</v>
      </c>
      <c r="U95" s="48">
        <v>130.30000000000001</v>
      </c>
      <c r="V95" s="48">
        <v>132.80000000000001</v>
      </c>
      <c r="W95" s="48">
        <v>129.4</v>
      </c>
      <c r="X95" s="48">
        <v>128.9</v>
      </c>
      <c r="Y95" s="48">
        <v>128.9</v>
      </c>
      <c r="Z95" s="48">
        <v>127.9</v>
      </c>
      <c r="AA95" s="48">
        <v>127.9</v>
      </c>
      <c r="AB95" s="48">
        <v>130.6</v>
      </c>
      <c r="AC95" s="48">
        <v>133.30000000000001</v>
      </c>
      <c r="AD95" s="48">
        <v>130</v>
      </c>
      <c r="AE95" s="48">
        <v>128</v>
      </c>
      <c r="AF95" s="48">
        <v>123.9</v>
      </c>
      <c r="AG95" s="146"/>
      <c r="AH95" s="54">
        <f t="shared" si="24"/>
        <v>139.5</v>
      </c>
      <c r="AI95" s="55">
        <f t="shared" si="25"/>
        <v>121.6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64.3</v>
      </c>
      <c r="C96" s="83">
        <v>64.8</v>
      </c>
      <c r="D96" s="83">
        <v>65</v>
      </c>
      <c r="E96" s="83">
        <v>64.8</v>
      </c>
      <c r="F96" s="83">
        <v>64.900000000000006</v>
      </c>
      <c r="G96" s="83">
        <v>65.400000000000006</v>
      </c>
      <c r="H96" s="83">
        <v>65.400000000000006</v>
      </c>
      <c r="I96" s="83">
        <v>65.3</v>
      </c>
      <c r="J96" s="83">
        <v>64.599999999999994</v>
      </c>
      <c r="K96" s="83">
        <v>64</v>
      </c>
      <c r="L96" s="83">
        <v>64.2</v>
      </c>
      <c r="M96" s="83">
        <v>63.7</v>
      </c>
      <c r="N96" s="83">
        <v>63.8</v>
      </c>
      <c r="O96" s="83">
        <v>63.7</v>
      </c>
      <c r="P96" s="83">
        <v>62.8</v>
      </c>
      <c r="Q96" s="83">
        <v>63.7</v>
      </c>
      <c r="R96" s="83">
        <v>63.1</v>
      </c>
      <c r="S96" s="83">
        <v>62.9</v>
      </c>
      <c r="T96" s="83">
        <v>62.4</v>
      </c>
      <c r="U96" s="83">
        <v>63.1</v>
      </c>
      <c r="V96" s="83">
        <v>64.8</v>
      </c>
      <c r="W96" s="83">
        <v>65.099999999999994</v>
      </c>
      <c r="X96" s="83">
        <v>64.8</v>
      </c>
      <c r="Y96" s="83">
        <v>64.8</v>
      </c>
      <c r="Z96" s="83">
        <v>64.8</v>
      </c>
      <c r="AA96" s="83">
        <v>64.7</v>
      </c>
      <c r="AB96" s="83">
        <v>64.599999999999994</v>
      </c>
      <c r="AC96" s="83">
        <v>64.900000000000006</v>
      </c>
      <c r="AD96" s="83">
        <v>65.099999999999994</v>
      </c>
      <c r="AE96" s="83">
        <v>64.8</v>
      </c>
      <c r="AF96" s="83">
        <v>64.900000000000006</v>
      </c>
      <c r="AG96" s="148"/>
      <c r="AH96" s="54">
        <f t="shared" si="24"/>
        <v>65.400000000000006</v>
      </c>
      <c r="AI96" s="55">
        <f t="shared" si="25"/>
        <v>62.4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24"/>
        <v>0</v>
      </c>
      <c r="AI97" s="55">
        <f t="shared" si="25"/>
        <v>0</v>
      </c>
    </row>
    <row r="98" spans="1:37" ht="15.75" thickBot="1" x14ac:dyDescent="0.3">
      <c r="A98" s="85" t="s">
        <v>73</v>
      </c>
      <c r="B98" s="86">
        <f t="shared" ref="B98" si="38">SUM(B15,B18,B21:B22,B46,B48:B49,B51,B53,B99:B102,B123,B129,B135,B144,B146,B158,B165,B168:B169,B176,B178,B180,B184:B186,B188:B190,B195,B201:B202,B204:B206,B214,B219)</f>
        <v>77.09999999999998</v>
      </c>
      <c r="C98" s="86">
        <f t="shared" ref="C98:AF98" si="39">SUM(C15,C18,C21:C22,C46,C48:C49,C51,C53,C99:C102,C123,C129,C135,C144,C146,C158,C165,C168:C169,C176,C178,C180,C184:C186,C188:C190,C195,C201:C202,C204:C206,C214,C219)</f>
        <v>75.839999999999961</v>
      </c>
      <c r="D98" s="86">
        <f t="shared" si="39"/>
        <v>71.239999999999981</v>
      </c>
      <c r="E98" s="86">
        <f t="shared" si="39"/>
        <v>65.639999999999972</v>
      </c>
      <c r="F98" s="86">
        <f t="shared" si="39"/>
        <v>67.339999999999989</v>
      </c>
      <c r="G98" s="86">
        <f t="shared" si="39"/>
        <v>86.239999999999981</v>
      </c>
      <c r="H98" s="86">
        <f t="shared" si="39"/>
        <v>106.83999999999997</v>
      </c>
      <c r="I98" s="86">
        <f t="shared" si="39"/>
        <v>129.93999999999997</v>
      </c>
      <c r="J98" s="86">
        <f t="shared" si="39"/>
        <v>162.43999999999997</v>
      </c>
      <c r="K98" s="86">
        <f t="shared" si="39"/>
        <v>188.03999999999996</v>
      </c>
      <c r="L98" s="86">
        <f t="shared" si="39"/>
        <v>222.43999999999997</v>
      </c>
      <c r="M98" s="86">
        <f t="shared" si="39"/>
        <v>163.03999999999996</v>
      </c>
      <c r="N98" s="86">
        <f t="shared" si="39"/>
        <v>179.24</v>
      </c>
      <c r="O98" s="86">
        <f t="shared" si="39"/>
        <v>183.44</v>
      </c>
      <c r="P98" s="86">
        <f t="shared" si="39"/>
        <v>154.83999999999997</v>
      </c>
      <c r="Q98" s="86">
        <f t="shared" si="39"/>
        <v>151</v>
      </c>
      <c r="R98" s="86">
        <f t="shared" si="39"/>
        <v>73.899999999999977</v>
      </c>
      <c r="S98" s="86">
        <f t="shared" si="39"/>
        <v>176.89999999999998</v>
      </c>
      <c r="T98" s="86">
        <f t="shared" si="39"/>
        <v>164.29999999999998</v>
      </c>
      <c r="U98" s="86">
        <f t="shared" si="39"/>
        <v>202.27549999999999</v>
      </c>
      <c r="V98" s="86">
        <f t="shared" si="39"/>
        <v>144.69999999999999</v>
      </c>
      <c r="W98" s="86">
        <f t="shared" si="39"/>
        <v>188.50000000000003</v>
      </c>
      <c r="X98" s="86">
        <f t="shared" si="39"/>
        <v>210.2</v>
      </c>
      <c r="Y98" s="86">
        <f t="shared" si="39"/>
        <v>200.4</v>
      </c>
      <c r="Z98" s="86">
        <f t="shared" si="39"/>
        <v>208.8</v>
      </c>
      <c r="AA98" s="86">
        <f t="shared" si="39"/>
        <v>246.30000000000004</v>
      </c>
      <c r="AB98" s="86">
        <f t="shared" si="39"/>
        <v>218.8</v>
      </c>
      <c r="AC98" s="86">
        <f t="shared" si="39"/>
        <v>184.3</v>
      </c>
      <c r="AD98" s="86">
        <f t="shared" si="39"/>
        <v>160.69999999999999</v>
      </c>
      <c r="AE98" s="86">
        <f t="shared" si="39"/>
        <v>98.300000000000011</v>
      </c>
      <c r="AF98" s="86">
        <f t="shared" si="39"/>
        <v>66.200000000000017</v>
      </c>
      <c r="AG98" s="150"/>
      <c r="AH98" s="54">
        <f>MAX(C98:AF98)</f>
        <v>246.30000000000004</v>
      </c>
      <c r="AI98" s="55">
        <f>MIN(C98:AF98)</f>
        <v>65.639999999999972</v>
      </c>
    </row>
    <row r="99" spans="1:37" x14ac:dyDescent="0.25">
      <c r="A99" s="170" t="s">
        <v>74</v>
      </c>
      <c r="B99" s="87">
        <f>33.5+14.9</f>
        <v>48.4</v>
      </c>
      <c r="C99" s="87">
        <v>50.2</v>
      </c>
      <c r="D99" s="87">
        <f>35.9+16.2</f>
        <v>52.099999999999994</v>
      </c>
      <c r="E99" s="87">
        <f>8.5+25.5</f>
        <v>34</v>
      </c>
      <c r="F99" s="87">
        <f>28.1+10.2</f>
        <v>38.299999999999997</v>
      </c>
      <c r="G99" s="87">
        <f>32.1+13.2</f>
        <v>45.3</v>
      </c>
      <c r="H99" s="87">
        <f>35.1+16</f>
        <v>51.1</v>
      </c>
      <c r="I99" s="87">
        <f>38.7+19.5</f>
        <v>58.2</v>
      </c>
      <c r="J99" s="87">
        <f>43+22.6</f>
        <v>65.599999999999994</v>
      </c>
      <c r="K99" s="87">
        <f>43.1+24</f>
        <v>67.099999999999994</v>
      </c>
      <c r="L99" s="87">
        <f>59.4+36.7</f>
        <v>96.1</v>
      </c>
      <c r="M99" s="87">
        <v>41.5</v>
      </c>
      <c r="N99" s="87">
        <v>33.1</v>
      </c>
      <c r="O99" s="87">
        <v>34.799999999999997</v>
      </c>
      <c r="P99" s="87">
        <v>35.200000000000003</v>
      </c>
      <c r="Q99" s="87">
        <v>27.2</v>
      </c>
      <c r="R99" s="87">
        <v>11.6</v>
      </c>
      <c r="S99" s="87">
        <v>10.199999999999999</v>
      </c>
      <c r="T99" s="87">
        <v>24</v>
      </c>
      <c r="U99" s="87">
        <v>21.1</v>
      </c>
      <c r="V99" s="87">
        <v>22.1</v>
      </c>
      <c r="W99" s="87">
        <v>21.3</v>
      </c>
      <c r="X99" s="87">
        <v>38</v>
      </c>
      <c r="Y99" s="87">
        <v>24.4</v>
      </c>
      <c r="Z99" s="87">
        <v>31.8</v>
      </c>
      <c r="AA99" s="87">
        <v>20.8</v>
      </c>
      <c r="AB99" s="87">
        <v>16.399999999999999</v>
      </c>
      <c r="AC99" s="87">
        <v>20.9</v>
      </c>
      <c r="AD99" s="87">
        <v>23.2</v>
      </c>
      <c r="AE99" s="87">
        <v>24.2</v>
      </c>
      <c r="AF99" s="87">
        <v>26.8</v>
      </c>
      <c r="AG99" s="151">
        <v>75</v>
      </c>
      <c r="AH99" s="54">
        <f t="shared" ref="AH99:AH105" si="40">IF(ABS(MAX(C99:AF99))&gt;ABS(MIN(C99:AF99)),MAX(C99:AF99),MIN(C99:AF99))</f>
        <v>96.1</v>
      </c>
      <c r="AI99" s="89">
        <f t="shared" ref="AI99:AI105" si="41">INDEX($C$9:$AF$9,1,MATCH(AH99,C99:AF99,0))</f>
        <v>0.3125</v>
      </c>
    </row>
    <row r="100" spans="1:37" x14ac:dyDescent="0.25">
      <c r="A100" s="163" t="s">
        <v>75</v>
      </c>
      <c r="B100" s="90">
        <f>-73.3-78.9</f>
        <v>-152.19999999999999</v>
      </c>
      <c r="C100" s="90">
        <f>-74.6-79.6</f>
        <v>-154.19999999999999</v>
      </c>
      <c r="D100" s="90">
        <f>-76.9-82.3</f>
        <v>-159.19999999999999</v>
      </c>
      <c r="E100" s="90">
        <v>-149</v>
      </c>
      <c r="F100" s="90">
        <v>-150</v>
      </c>
      <c r="G100" s="90">
        <v>-142</v>
      </c>
      <c r="H100" s="90">
        <v>-129</v>
      </c>
      <c r="I100" s="90">
        <v>-117.1</v>
      </c>
      <c r="J100" s="90">
        <v>-97</v>
      </c>
      <c r="K100" s="90">
        <v>-74</v>
      </c>
      <c r="L100" s="90">
        <v>-71</v>
      </c>
      <c r="M100" s="90">
        <v>-79.900000000000006</v>
      </c>
      <c r="N100" s="90">
        <v>-93.5</v>
      </c>
      <c r="O100" s="90">
        <v>-93.5</v>
      </c>
      <c r="P100" s="90">
        <v>-97.9</v>
      </c>
      <c r="Q100" s="90">
        <v>-100.5</v>
      </c>
      <c r="R100" s="90">
        <v>-100.4</v>
      </c>
      <c r="S100" s="90">
        <f>-46.1-22.1</f>
        <v>-68.2</v>
      </c>
      <c r="T100" s="90">
        <f>-31.4-30.3</f>
        <v>-61.7</v>
      </c>
      <c r="U100" s="90">
        <v>-28.724499999999999</v>
      </c>
      <c r="V100" s="90">
        <f>-30.7-33.1</f>
        <v>-63.8</v>
      </c>
      <c r="W100" s="90">
        <f>-34.2-36.9</f>
        <v>-71.099999999999994</v>
      </c>
      <c r="X100" s="90">
        <f>-33.9-37</f>
        <v>-70.900000000000006</v>
      </c>
      <c r="Y100" s="90">
        <v>-68</v>
      </c>
      <c r="Z100" s="90">
        <f>-36-35.6</f>
        <v>-71.599999999999994</v>
      </c>
      <c r="AA100" s="90">
        <f>-29.9-32.4</f>
        <v>-62.3</v>
      </c>
      <c r="AB100" s="90">
        <f>-39.5-36.6</f>
        <v>-76.099999999999994</v>
      </c>
      <c r="AC100" s="90">
        <f>-48.3-45</f>
        <v>-93.3</v>
      </c>
      <c r="AD100" s="90">
        <f>-52.4-52.3</f>
        <v>-104.69999999999999</v>
      </c>
      <c r="AE100" s="90">
        <f>-69.8-65.4</f>
        <v>-135.19999999999999</v>
      </c>
      <c r="AF100" s="90">
        <f>-76.3-71.3</f>
        <v>-147.6</v>
      </c>
      <c r="AG100" s="151">
        <v>240</v>
      </c>
      <c r="AH100" s="54">
        <f t="shared" si="40"/>
        <v>-159.19999999999999</v>
      </c>
      <c r="AI100" s="89">
        <f t="shared" si="41"/>
        <v>8.3333333333333301E-2</v>
      </c>
    </row>
    <row r="101" spans="1:37" x14ac:dyDescent="0.25">
      <c r="A101" s="163" t="s">
        <v>76</v>
      </c>
      <c r="B101" s="90">
        <v>-6.7</v>
      </c>
      <c r="C101" s="90">
        <v>-9.1999999999999993</v>
      </c>
      <c r="D101" s="90">
        <v>-10.6</v>
      </c>
      <c r="E101" s="90">
        <v>-8.1999999999999993</v>
      </c>
      <c r="F101" s="90">
        <v>-9.8000000000000007</v>
      </c>
      <c r="G101" s="90">
        <v>-5.9</v>
      </c>
      <c r="H101" s="90">
        <v>-4.0999999999999996</v>
      </c>
      <c r="I101" s="90">
        <v>0</v>
      </c>
      <c r="J101" s="90">
        <v>4.9000000000000004</v>
      </c>
      <c r="K101" s="90">
        <v>6.5</v>
      </c>
      <c r="L101" s="90">
        <v>8.9</v>
      </c>
      <c r="M101" s="90">
        <v>9</v>
      </c>
      <c r="N101" s="90">
        <v>4.2</v>
      </c>
      <c r="O101" s="90">
        <v>4.2</v>
      </c>
      <c r="P101" s="90">
        <v>5.3</v>
      </c>
      <c r="Q101" s="90">
        <v>8.9</v>
      </c>
      <c r="R101" s="90">
        <v>8.6999999999999993</v>
      </c>
      <c r="S101" s="90">
        <v>35.4</v>
      </c>
      <c r="T101" s="90">
        <v>9.4</v>
      </c>
      <c r="U101" s="90">
        <v>13.7</v>
      </c>
      <c r="V101" s="90">
        <v>11.1</v>
      </c>
      <c r="W101" s="90">
        <v>11.5</v>
      </c>
      <c r="X101" s="90">
        <v>11.1</v>
      </c>
      <c r="Y101" s="90">
        <v>12.2</v>
      </c>
      <c r="Z101" s="90">
        <v>10.9</v>
      </c>
      <c r="AA101" s="90">
        <v>12</v>
      </c>
      <c r="AB101" s="90">
        <v>10.3</v>
      </c>
      <c r="AC101" s="90">
        <v>6.6</v>
      </c>
      <c r="AD101" s="90">
        <v>5</v>
      </c>
      <c r="AE101" s="90">
        <v>0</v>
      </c>
      <c r="AF101" s="90">
        <v>-7.9</v>
      </c>
      <c r="AG101" s="151">
        <v>60</v>
      </c>
      <c r="AH101" s="54">
        <f t="shared" si="40"/>
        <v>35.4</v>
      </c>
      <c r="AI101" s="89">
        <f t="shared" si="41"/>
        <v>0.58333333333333304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0</v>
      </c>
      <c r="M102" s="91">
        <v>0</v>
      </c>
      <c r="N102" s="91">
        <v>51.7</v>
      </c>
      <c r="O102" s="91">
        <v>51.7</v>
      </c>
      <c r="P102" s="91">
        <v>50</v>
      </c>
      <c r="Q102" s="91">
        <v>51.6</v>
      </c>
      <c r="R102" s="91">
        <v>51.6</v>
      </c>
      <c r="S102" s="91">
        <v>82.1</v>
      </c>
      <c r="T102" s="91">
        <v>75.2</v>
      </c>
      <c r="U102" s="91">
        <v>78.8</v>
      </c>
      <c r="V102" s="91">
        <v>57.9</v>
      </c>
      <c r="W102" s="91">
        <v>49.4</v>
      </c>
      <c r="X102" s="91">
        <v>54.6</v>
      </c>
      <c r="Y102" s="91">
        <v>54.4</v>
      </c>
      <c r="Z102" s="91">
        <v>57.8</v>
      </c>
      <c r="AA102" s="91">
        <v>80.900000000000006</v>
      </c>
      <c r="AB102" s="91">
        <v>73.3</v>
      </c>
      <c r="AC102" s="91">
        <v>55.2</v>
      </c>
      <c r="AD102" s="91">
        <v>42.3</v>
      </c>
      <c r="AE102" s="91">
        <v>14.4</v>
      </c>
      <c r="AF102" s="91">
        <v>0</v>
      </c>
      <c r="AG102" s="152">
        <v>120</v>
      </c>
      <c r="AH102" s="54">
        <f t="shared" si="40"/>
        <v>82.1</v>
      </c>
      <c r="AI102" s="89">
        <f t="shared" si="41"/>
        <v>0.58333333333333304</v>
      </c>
    </row>
    <row r="103" spans="1:37" x14ac:dyDescent="0.25">
      <c r="A103" s="164" t="s">
        <v>78</v>
      </c>
      <c r="B103" s="91">
        <v>30.4</v>
      </c>
      <c r="C103" s="91">
        <v>32</v>
      </c>
      <c r="D103" s="91">
        <v>19.3</v>
      </c>
      <c r="E103" s="91">
        <v>43.1</v>
      </c>
      <c r="F103" s="91">
        <v>37.6</v>
      </c>
      <c r="G103" s="91">
        <v>38.799999999999997</v>
      </c>
      <c r="H103" s="91">
        <v>48.7</v>
      </c>
      <c r="I103" s="91">
        <v>37.4</v>
      </c>
      <c r="J103" s="91">
        <v>58.8</v>
      </c>
      <c r="K103" s="91">
        <v>75.099999999999994</v>
      </c>
      <c r="L103" s="91">
        <v>57.4</v>
      </c>
      <c r="M103" s="91">
        <v>63.5</v>
      </c>
      <c r="N103" s="91">
        <v>49.5</v>
      </c>
      <c r="O103" s="91">
        <v>49.5</v>
      </c>
      <c r="P103" s="91">
        <v>56.4</v>
      </c>
      <c r="Q103" s="91">
        <v>60.2</v>
      </c>
      <c r="R103" s="91">
        <v>60.2</v>
      </c>
      <c r="S103" s="91">
        <v>70</v>
      </c>
      <c r="T103" s="91">
        <v>71.3</v>
      </c>
      <c r="U103" s="91">
        <v>75.900000000000006</v>
      </c>
      <c r="V103" s="91">
        <v>47</v>
      </c>
      <c r="W103" s="91">
        <v>40</v>
      </c>
      <c r="X103" s="91">
        <v>44</v>
      </c>
      <c r="Y103" s="91">
        <v>42.2</v>
      </c>
      <c r="Z103" s="91">
        <v>43.8</v>
      </c>
      <c r="AA103" s="91">
        <v>70</v>
      </c>
      <c r="AB103" s="91">
        <v>69.599999999999994</v>
      </c>
      <c r="AC103" s="91">
        <v>55</v>
      </c>
      <c r="AD103" s="91">
        <v>43.2</v>
      </c>
      <c r="AE103" s="91">
        <v>24.4</v>
      </c>
      <c r="AF103" s="91">
        <v>23.3</v>
      </c>
      <c r="AG103" s="152"/>
      <c r="AH103" s="54">
        <f t="shared" si="40"/>
        <v>75.900000000000006</v>
      </c>
      <c r="AI103" s="89">
        <f t="shared" si="41"/>
        <v>0.66666666666666696</v>
      </c>
    </row>
    <row r="104" spans="1:37" x14ac:dyDescent="0.25">
      <c r="A104" s="164" t="s">
        <v>105</v>
      </c>
      <c r="B104" s="91">
        <v>54.4</v>
      </c>
      <c r="C104" s="91">
        <v>53.8</v>
      </c>
      <c r="D104" s="91">
        <v>44</v>
      </c>
      <c r="E104" s="91">
        <v>68.3</v>
      </c>
      <c r="F104" s="91">
        <v>69.599999999999994</v>
      </c>
      <c r="G104" s="91">
        <v>54.5</v>
      </c>
      <c r="H104" s="91">
        <v>52.5</v>
      </c>
      <c r="I104" s="91">
        <v>44</v>
      </c>
      <c r="J104" s="91">
        <v>37.6</v>
      </c>
      <c r="K104" s="91">
        <v>33.700000000000003</v>
      </c>
      <c r="L104" s="91">
        <v>21.2</v>
      </c>
      <c r="M104" s="91">
        <v>-41.1</v>
      </c>
      <c r="N104" s="91">
        <v>-26.2</v>
      </c>
      <c r="O104" s="91">
        <v>-26.2</v>
      </c>
      <c r="P104" s="91">
        <v>-61.7</v>
      </c>
      <c r="Q104" s="91">
        <v>-40.200000000000003</v>
      </c>
      <c r="R104" s="91">
        <v>-40.200000000000003</v>
      </c>
      <c r="S104" s="91">
        <v>15.2</v>
      </c>
      <c r="T104" s="91">
        <v>-49.1</v>
      </c>
      <c r="U104" s="91">
        <v>-29.8</v>
      </c>
      <c r="V104" s="91">
        <v>-33.5</v>
      </c>
      <c r="W104" s="91">
        <v>-31.9</v>
      </c>
      <c r="X104" s="91">
        <v>-10.8</v>
      </c>
      <c r="Y104" s="91">
        <v>-19.2</v>
      </c>
      <c r="Z104" s="91">
        <v>-8.6</v>
      </c>
      <c r="AA104" s="91">
        <v>43.8</v>
      </c>
      <c r="AB104" s="91">
        <v>57.3</v>
      </c>
      <c r="AC104" s="91">
        <v>26.9</v>
      </c>
      <c r="AD104" s="91">
        <v>19</v>
      </c>
      <c r="AE104" s="91">
        <v>12</v>
      </c>
      <c r="AF104" s="91">
        <v>25.5</v>
      </c>
      <c r="AG104" s="153"/>
      <c r="AH104" s="54">
        <f t="shared" si="40"/>
        <v>69.599999999999994</v>
      </c>
      <c r="AI104" s="89">
        <f t="shared" si="41"/>
        <v>0.16666666666666699</v>
      </c>
    </row>
    <row r="105" spans="1:37" ht="15.75" thickBot="1" x14ac:dyDescent="0.3">
      <c r="A105" s="171" t="s">
        <v>106</v>
      </c>
      <c r="B105" s="82">
        <v>92.7</v>
      </c>
      <c r="C105" s="82">
        <v>95.5</v>
      </c>
      <c r="D105" s="82">
        <v>93.8</v>
      </c>
      <c r="E105" s="82">
        <v>97.5</v>
      </c>
      <c r="F105" s="82">
        <v>104.1</v>
      </c>
      <c r="G105" s="82">
        <v>110.4</v>
      </c>
      <c r="H105" s="82">
        <v>114.6</v>
      </c>
      <c r="I105" s="82">
        <v>115</v>
      </c>
      <c r="J105" s="82">
        <v>112.9</v>
      </c>
      <c r="K105" s="82">
        <v>111.5</v>
      </c>
      <c r="L105" s="82">
        <v>112.8</v>
      </c>
      <c r="M105" s="82">
        <v>106</v>
      </c>
      <c r="N105" s="82">
        <v>95.5</v>
      </c>
      <c r="O105" s="82">
        <v>95.5</v>
      </c>
      <c r="P105" s="82">
        <v>93.9</v>
      </c>
      <c r="Q105" s="82">
        <v>82.6</v>
      </c>
      <c r="R105" s="82">
        <v>82.6</v>
      </c>
      <c r="S105" s="82">
        <v>85.5</v>
      </c>
      <c r="T105" s="82">
        <v>86.6</v>
      </c>
      <c r="U105" s="82">
        <v>97.4</v>
      </c>
      <c r="V105" s="82">
        <v>91.7</v>
      </c>
      <c r="W105" s="82">
        <v>96.6</v>
      </c>
      <c r="X105" s="82">
        <v>99.9</v>
      </c>
      <c r="Y105" s="82">
        <v>93.7</v>
      </c>
      <c r="Z105" s="82">
        <v>83.3</v>
      </c>
      <c r="AA105" s="82">
        <v>82</v>
      </c>
      <c r="AB105" s="82">
        <v>81.599999999999994</v>
      </c>
      <c r="AC105" s="82">
        <v>80.3</v>
      </c>
      <c r="AD105" s="82">
        <v>43.2</v>
      </c>
      <c r="AE105" s="82">
        <v>90.3</v>
      </c>
      <c r="AF105" s="82">
        <v>94.6</v>
      </c>
      <c r="AG105" s="153"/>
      <c r="AH105" s="54">
        <f t="shared" si="40"/>
        <v>115</v>
      </c>
      <c r="AI105" s="89">
        <f t="shared" si="41"/>
        <v>0.25</v>
      </c>
    </row>
    <row r="106" spans="1:37" ht="15.75" thickBot="1" x14ac:dyDescent="0.3">
      <c r="A106" s="92" t="s">
        <v>79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154"/>
      <c r="AH106" s="94"/>
      <c r="AI106" s="55"/>
      <c r="AK106" s="56"/>
    </row>
    <row r="107" spans="1:37" x14ac:dyDescent="0.25">
      <c r="A107" s="162" t="s">
        <v>133</v>
      </c>
      <c r="B107" s="95"/>
      <c r="C107" s="53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6">
        <v>9.94</v>
      </c>
      <c r="AH107" s="54"/>
      <c r="AI107" s="55"/>
      <c r="AK107" s="56"/>
    </row>
    <row r="108" spans="1:37" x14ac:dyDescent="0.25">
      <c r="A108" s="163" t="s">
        <v>134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/>
      <c r="AH108" s="54"/>
      <c r="AI108" s="55"/>
      <c r="AK108" s="56"/>
    </row>
    <row r="109" spans="1:37" x14ac:dyDescent="0.25">
      <c r="A109" s="163" t="s">
        <v>135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136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137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138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139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140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141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142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143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144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145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146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147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148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149</v>
      </c>
      <c r="B123" s="97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9">
        <v>9.9</v>
      </c>
      <c r="AH123" s="54"/>
      <c r="AI123" s="55"/>
      <c r="AK123" s="56"/>
    </row>
    <row r="124" spans="1:37" x14ac:dyDescent="0.25">
      <c r="A124" s="164" t="s">
        <v>80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100">
        <v>9.6579999999999995</v>
      </c>
      <c r="AH124" s="54"/>
      <c r="AI124" s="55"/>
      <c r="AK124" s="56"/>
    </row>
    <row r="125" spans="1:37" x14ac:dyDescent="0.25">
      <c r="A125" s="164" t="s">
        <v>150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</v>
      </c>
      <c r="AH125" s="54"/>
      <c r="AI125" s="55"/>
      <c r="AK125" s="56"/>
    </row>
    <row r="126" spans="1:37" x14ac:dyDescent="0.25">
      <c r="A126" s="164" t="s">
        <v>151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9.51</v>
      </c>
      <c r="AH126" s="54"/>
      <c r="AI126" s="55"/>
      <c r="AK126" s="56"/>
    </row>
    <row r="127" spans="1:37" x14ac:dyDescent="0.25">
      <c r="A127" s="164" t="s">
        <v>152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9.4</v>
      </c>
      <c r="AH127" s="54"/>
      <c r="AI127" s="55"/>
      <c r="AK127" s="56"/>
    </row>
    <row r="128" spans="1:37" x14ac:dyDescent="0.25">
      <c r="A128" s="164" t="s">
        <v>153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8.8000000000000007</v>
      </c>
      <c r="AH128" s="54"/>
      <c r="AI128" s="55"/>
      <c r="AK128" s="56"/>
    </row>
    <row r="129" spans="1:37" x14ac:dyDescent="0.25">
      <c r="A129" s="164" t="s">
        <v>154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8.5</v>
      </c>
      <c r="AH129" s="54"/>
      <c r="AI129" s="55"/>
      <c r="AK129" s="56"/>
    </row>
    <row r="130" spans="1:37" x14ac:dyDescent="0.25">
      <c r="A130" s="164" t="s">
        <v>155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156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8.4</v>
      </c>
      <c r="AH131" s="54"/>
      <c r="AI131" s="55"/>
      <c r="AK131" s="56"/>
    </row>
    <row r="132" spans="1:37" ht="13.5" customHeight="1" x14ac:dyDescent="0.25">
      <c r="A132" s="164" t="s">
        <v>157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</v>
      </c>
      <c r="AH132" s="54"/>
      <c r="AI132" s="55"/>
      <c r="AK132" s="56"/>
    </row>
    <row r="133" spans="1:37" x14ac:dyDescent="0.25">
      <c r="A133" s="164" t="s">
        <v>158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159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160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7.8</v>
      </c>
      <c r="AH135" s="54"/>
      <c r="AI135" s="55"/>
      <c r="AK135" s="56"/>
    </row>
    <row r="136" spans="1:37" x14ac:dyDescent="0.25">
      <c r="A136" s="164" t="s">
        <v>161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7.6</v>
      </c>
      <c r="AH136" s="54"/>
      <c r="AI136" s="55"/>
      <c r="AK136" s="56"/>
    </row>
    <row r="137" spans="1:37" x14ac:dyDescent="0.25">
      <c r="A137" s="164" t="s">
        <v>162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7.5</v>
      </c>
      <c r="AH137" s="54"/>
      <c r="AI137" s="55"/>
      <c r="AK137" s="56"/>
    </row>
    <row r="138" spans="1:37" x14ac:dyDescent="0.25">
      <c r="A138" s="164" t="s">
        <v>163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164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</v>
      </c>
      <c r="AH139" s="54"/>
      <c r="AI139" s="55"/>
      <c r="AK139" s="56"/>
    </row>
    <row r="140" spans="1:37" x14ac:dyDescent="0.25">
      <c r="A140" s="164" t="s">
        <v>165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166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167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168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6.6</v>
      </c>
      <c r="AH143" s="54"/>
      <c r="AI143" s="55"/>
      <c r="AK143" s="56"/>
    </row>
    <row r="144" spans="1:37" x14ac:dyDescent="0.25">
      <c r="A144" s="164" t="s">
        <v>169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170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6.4</v>
      </c>
      <c r="AH145" s="54"/>
      <c r="AI145" s="55"/>
      <c r="AK145" s="56"/>
    </row>
    <row r="146" spans="1:37" x14ac:dyDescent="0.25">
      <c r="A146" s="164" t="s">
        <v>171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</v>
      </c>
      <c r="AH146" s="54"/>
      <c r="AI146" s="55"/>
      <c r="AK146" s="56"/>
    </row>
    <row r="147" spans="1:37" x14ac:dyDescent="0.25">
      <c r="A147" s="164" t="s">
        <v>172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5.0999999999999996</v>
      </c>
      <c r="AH147" s="54"/>
      <c r="AI147" s="55"/>
      <c r="AK147" s="56"/>
    </row>
    <row r="148" spans="1:37" x14ac:dyDescent="0.25">
      <c r="A148" s="164" t="s">
        <v>173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</v>
      </c>
      <c r="AH148" s="54"/>
      <c r="AI148" s="55"/>
      <c r="AK148" s="56"/>
    </row>
    <row r="149" spans="1:37" x14ac:dyDescent="0.25">
      <c r="A149" s="163" t="s">
        <v>174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9">
        <v>5</v>
      </c>
      <c r="AH149" s="54"/>
      <c r="AI149" s="55"/>
      <c r="AK149" s="56"/>
    </row>
    <row r="150" spans="1:37" x14ac:dyDescent="0.25">
      <c r="A150" s="164" t="s">
        <v>175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100">
        <v>5</v>
      </c>
      <c r="AH150" s="54"/>
      <c r="AI150" s="55"/>
      <c r="AK150" s="56"/>
    </row>
    <row r="151" spans="1:37" x14ac:dyDescent="0.25">
      <c r="A151" s="164" t="s">
        <v>176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177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178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179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180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4.9930000000000003</v>
      </c>
      <c r="AH155" s="54"/>
      <c r="AI155" s="55"/>
      <c r="AK155" s="56"/>
    </row>
    <row r="156" spans="1:37" x14ac:dyDescent="0.25">
      <c r="A156" s="164" t="s">
        <v>181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4.9800000000000004</v>
      </c>
      <c r="AH156" s="54"/>
      <c r="AI156" s="55"/>
      <c r="AK156" s="56"/>
    </row>
    <row r="157" spans="1:37" x14ac:dyDescent="0.25">
      <c r="A157" s="164" t="s">
        <v>182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4.95</v>
      </c>
      <c r="AH157" s="54"/>
      <c r="AI157" s="55"/>
      <c r="AK157" s="56"/>
    </row>
    <row r="158" spans="1:37" x14ac:dyDescent="0.25">
      <c r="A158" s="164" t="s">
        <v>81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183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4.8</v>
      </c>
      <c r="AH159" s="54"/>
      <c r="AI159" s="55"/>
      <c r="AK159" s="56"/>
    </row>
    <row r="160" spans="1:37" x14ac:dyDescent="0.25">
      <c r="A160" s="164" t="s">
        <v>184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185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186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4.5</v>
      </c>
      <c r="AH162" s="54"/>
      <c r="AI162" s="55"/>
      <c r="AK162" s="56"/>
    </row>
    <row r="163" spans="1:37" x14ac:dyDescent="0.25">
      <c r="A163" s="164" t="s">
        <v>187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188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4.4550000000000001</v>
      </c>
      <c r="AH164" s="54"/>
      <c r="AI164" s="55"/>
      <c r="AK164" s="56"/>
    </row>
    <row r="165" spans="1:37" x14ac:dyDescent="0.25">
      <c r="A165" s="164" t="s">
        <v>189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4.41</v>
      </c>
      <c r="AH165" s="54"/>
      <c r="AI165" s="55"/>
      <c r="AK165" s="56"/>
    </row>
    <row r="166" spans="1:37" x14ac:dyDescent="0.25">
      <c r="A166" s="164" t="s">
        <v>190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4.4000000000000004</v>
      </c>
      <c r="AH166" s="54"/>
      <c r="AI166" s="55"/>
      <c r="AK166" s="56"/>
    </row>
    <row r="167" spans="1:37" x14ac:dyDescent="0.25">
      <c r="A167" s="164" t="s">
        <v>191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4.3600000000000003</v>
      </c>
      <c r="AH167" s="54"/>
      <c r="AI167" s="55"/>
      <c r="AK167" s="56"/>
    </row>
    <row r="168" spans="1:37" x14ac:dyDescent="0.25">
      <c r="A168" s="164" t="s">
        <v>192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4.2</v>
      </c>
      <c r="AH168" s="54"/>
      <c r="AI168" s="55"/>
      <c r="AK168" s="56"/>
    </row>
    <row r="169" spans="1:37" x14ac:dyDescent="0.25">
      <c r="A169" s="164" t="s">
        <v>193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</v>
      </c>
      <c r="AH169" s="54"/>
      <c r="AI169" s="55"/>
      <c r="AK169" s="56"/>
    </row>
    <row r="170" spans="1:37" x14ac:dyDescent="0.25">
      <c r="A170" s="164" t="s">
        <v>194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195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196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197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198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199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200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201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3.75</v>
      </c>
      <c r="AH177" s="54"/>
      <c r="AI177" s="55"/>
      <c r="AK177" s="56"/>
    </row>
    <row r="178" spans="1:37" x14ac:dyDescent="0.25">
      <c r="A178" s="164" t="s">
        <v>202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3.52</v>
      </c>
      <c r="AH178" s="54"/>
      <c r="AI178" s="55"/>
      <c r="AK178" s="56"/>
    </row>
    <row r="179" spans="1:37" x14ac:dyDescent="0.25">
      <c r="A179" s="164" t="s">
        <v>203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3.33</v>
      </c>
      <c r="AH179" s="54"/>
      <c r="AI179" s="55"/>
      <c r="AK179" s="56"/>
    </row>
    <row r="180" spans="1:37" x14ac:dyDescent="0.25">
      <c r="A180" s="164" t="s">
        <v>204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3.2</v>
      </c>
      <c r="AH180" s="54"/>
      <c r="AI180" s="55"/>
      <c r="AK180" s="56"/>
    </row>
    <row r="181" spans="1:37" x14ac:dyDescent="0.25">
      <c r="A181" s="164" t="s">
        <v>205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</v>
      </c>
      <c r="AH181" s="54"/>
      <c r="AI181" s="55"/>
      <c r="AK181" s="56"/>
    </row>
    <row r="182" spans="1:37" x14ac:dyDescent="0.25">
      <c r="A182" s="164" t="s">
        <v>206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207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208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209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210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211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212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213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2.83</v>
      </c>
      <c r="AH189" s="54"/>
      <c r="AI189" s="55"/>
      <c r="AK189" s="56"/>
    </row>
    <row r="190" spans="1:37" x14ac:dyDescent="0.25">
      <c r="A190" s="164" t="s">
        <v>214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2.5</v>
      </c>
      <c r="AH190" s="54"/>
      <c r="AI190" s="55"/>
      <c r="AK190" s="56"/>
    </row>
    <row r="191" spans="1:37" x14ac:dyDescent="0.25">
      <c r="A191" s="164" t="s">
        <v>215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216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2.4</v>
      </c>
      <c r="AH192" s="54"/>
      <c r="AI192" s="55"/>
      <c r="AK192" s="56"/>
    </row>
    <row r="193" spans="1:37" x14ac:dyDescent="0.25">
      <c r="A193" s="164" t="s">
        <v>217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218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2.2000000000000002</v>
      </c>
      <c r="AH194" s="54"/>
      <c r="AI194" s="55"/>
      <c r="AK194" s="56"/>
    </row>
    <row r="195" spans="1:37" x14ac:dyDescent="0.25">
      <c r="A195" s="164" t="s">
        <v>219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</v>
      </c>
      <c r="AH195" s="54"/>
      <c r="AI195" s="55"/>
      <c r="AK195" s="56"/>
    </row>
    <row r="196" spans="1:37" x14ac:dyDescent="0.25">
      <c r="A196" s="164" t="s">
        <v>220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221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222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1.8</v>
      </c>
      <c r="AH198" s="54"/>
      <c r="AI198" s="55"/>
      <c r="AK198" s="56"/>
    </row>
    <row r="199" spans="1:37" x14ac:dyDescent="0.25">
      <c r="A199" s="164" t="s">
        <v>223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224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1.65</v>
      </c>
      <c r="AH200" s="54"/>
      <c r="AI200" s="55"/>
      <c r="AK200" s="56"/>
    </row>
    <row r="201" spans="1:37" x14ac:dyDescent="0.25">
      <c r="A201" s="164" t="s">
        <v>225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1.5</v>
      </c>
      <c r="AH201" s="54"/>
      <c r="AI201" s="55"/>
      <c r="AK201" s="56"/>
    </row>
    <row r="202" spans="1:37" x14ac:dyDescent="0.25">
      <c r="A202" s="164" t="s">
        <v>226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0.998</v>
      </c>
      <c r="AH202" s="54"/>
      <c r="AI202" s="55"/>
      <c r="AK202" s="56"/>
    </row>
    <row r="203" spans="1:37" x14ac:dyDescent="0.25">
      <c r="A203" s="164" t="s">
        <v>227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0.997</v>
      </c>
      <c r="AH203" s="54"/>
      <c r="AI203" s="55"/>
      <c r="AK203" s="56"/>
    </row>
    <row r="204" spans="1:37" x14ac:dyDescent="0.25">
      <c r="A204" s="164" t="s">
        <v>228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229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0.996</v>
      </c>
      <c r="AH205" s="54"/>
      <c r="AI205" s="55"/>
      <c r="AK205" s="56"/>
    </row>
    <row r="206" spans="1:37" x14ac:dyDescent="0.25">
      <c r="A206" s="164" t="s">
        <v>230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231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232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0.995</v>
      </c>
      <c r="AH208" s="54"/>
      <c r="AI208" s="55"/>
      <c r="AK208" s="56"/>
    </row>
    <row r="209" spans="1:37" x14ac:dyDescent="0.25">
      <c r="A209" s="164" t="s">
        <v>233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0.99299999999999999</v>
      </c>
      <c r="AH209" s="54"/>
      <c r="AI209" s="55"/>
      <c r="AK209" s="56"/>
    </row>
    <row r="210" spans="1:37" x14ac:dyDescent="0.25">
      <c r="A210" s="164" t="s">
        <v>234</v>
      </c>
      <c r="B210" s="97"/>
      <c r="C210" s="53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</v>
      </c>
      <c r="AH210" s="54"/>
      <c r="AI210" s="55"/>
      <c r="AK210" s="56"/>
    </row>
    <row r="211" spans="1:37" ht="15.75" thickBot="1" x14ac:dyDescent="0.3">
      <c r="A211" s="164" t="s">
        <v>235</v>
      </c>
      <c r="B211" s="102"/>
      <c r="C211" s="166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0">
        <v>0.97899999999999998</v>
      </c>
      <c r="AH211" s="54"/>
      <c r="AI211" s="55"/>
      <c r="AK211" s="56"/>
    </row>
    <row r="212" spans="1:37" ht="15.75" thickBot="1" x14ac:dyDescent="0.3">
      <c r="A212" s="165" t="s">
        <v>82</v>
      </c>
      <c r="B212" s="167">
        <f>SUM(B107:B211)</f>
        <v>0</v>
      </c>
      <c r="C212" s="103">
        <f t="shared" ref="C212:AG212" si="42">SUM(C107:C211)</f>
        <v>0</v>
      </c>
      <c r="D212" s="103">
        <f t="shared" si="42"/>
        <v>0</v>
      </c>
      <c r="E212" s="103">
        <f t="shared" si="42"/>
        <v>0</v>
      </c>
      <c r="F212" s="103">
        <f t="shared" si="42"/>
        <v>0</v>
      </c>
      <c r="G212" s="103">
        <f t="shared" si="42"/>
        <v>0</v>
      </c>
      <c r="H212" s="103">
        <f t="shared" si="42"/>
        <v>0</v>
      </c>
      <c r="I212" s="103">
        <f t="shared" si="42"/>
        <v>0</v>
      </c>
      <c r="J212" s="103">
        <f t="shared" si="42"/>
        <v>0</v>
      </c>
      <c r="K212" s="103">
        <f t="shared" si="42"/>
        <v>0</v>
      </c>
      <c r="L212" s="103">
        <f t="shared" si="42"/>
        <v>0</v>
      </c>
      <c r="M212" s="103">
        <f t="shared" si="42"/>
        <v>0</v>
      </c>
      <c r="N212" s="103">
        <f t="shared" si="42"/>
        <v>0</v>
      </c>
      <c r="O212" s="103">
        <f t="shared" si="42"/>
        <v>0</v>
      </c>
      <c r="P212" s="103">
        <f t="shared" si="42"/>
        <v>0</v>
      </c>
      <c r="Q212" s="103">
        <f t="shared" si="42"/>
        <v>0</v>
      </c>
      <c r="R212" s="103">
        <f t="shared" si="42"/>
        <v>0</v>
      </c>
      <c r="S212" s="103">
        <f t="shared" si="42"/>
        <v>0</v>
      </c>
      <c r="T212" s="103">
        <f t="shared" si="42"/>
        <v>0</v>
      </c>
      <c r="U212" s="103">
        <f t="shared" si="42"/>
        <v>0</v>
      </c>
      <c r="V212" s="103">
        <f t="shared" si="42"/>
        <v>0</v>
      </c>
      <c r="W212" s="103">
        <f t="shared" si="42"/>
        <v>0</v>
      </c>
      <c r="X212" s="103">
        <f t="shared" si="42"/>
        <v>0</v>
      </c>
      <c r="Y212" s="103">
        <f t="shared" si="42"/>
        <v>0</v>
      </c>
      <c r="Z212" s="103">
        <f t="shared" si="42"/>
        <v>0</v>
      </c>
      <c r="AA212" s="103">
        <f t="shared" si="42"/>
        <v>0</v>
      </c>
      <c r="AB212" s="103">
        <f t="shared" si="42"/>
        <v>0</v>
      </c>
      <c r="AC212" s="103">
        <f t="shared" si="42"/>
        <v>0</v>
      </c>
      <c r="AD212" s="103">
        <f t="shared" si="42"/>
        <v>0</v>
      </c>
      <c r="AE212" s="103">
        <f t="shared" si="42"/>
        <v>0</v>
      </c>
      <c r="AF212" s="168">
        <f t="shared" si="42"/>
        <v>0</v>
      </c>
      <c r="AG212" s="169">
        <f t="shared" si="42"/>
        <v>412.72299999999984</v>
      </c>
      <c r="AH212" s="54"/>
      <c r="AI212" s="55"/>
      <c r="AK212" s="56"/>
    </row>
    <row r="213" spans="1:37" ht="15.75" thickBot="1" x14ac:dyDescent="0.3">
      <c r="A213" s="28" t="s">
        <v>35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149"/>
      <c r="AH213" s="54"/>
      <c r="AI213" s="55"/>
      <c r="AK213" s="56"/>
    </row>
    <row r="214" spans="1:37" x14ac:dyDescent="0.25">
      <c r="A214" s="170" t="s">
        <v>83</v>
      </c>
      <c r="B214" s="101">
        <f t="shared" ref="B214:B219" si="43">AF214</f>
        <v>0</v>
      </c>
      <c r="C214" s="101">
        <v>0.3</v>
      </c>
      <c r="D214" s="101">
        <f t="shared" ref="D214:P219" si="44">C214</f>
        <v>0.3</v>
      </c>
      <c r="E214" s="101">
        <f t="shared" si="44"/>
        <v>0.3</v>
      </c>
      <c r="F214" s="101">
        <f t="shared" si="44"/>
        <v>0.3</v>
      </c>
      <c r="G214" s="101">
        <f t="shared" si="44"/>
        <v>0.3</v>
      </c>
      <c r="H214" s="101">
        <f t="shared" si="44"/>
        <v>0.3</v>
      </c>
      <c r="I214" s="101">
        <f t="shared" si="44"/>
        <v>0.3</v>
      </c>
      <c r="J214" s="101">
        <f t="shared" si="44"/>
        <v>0.3</v>
      </c>
      <c r="K214" s="101">
        <f t="shared" si="44"/>
        <v>0.3</v>
      </c>
      <c r="L214" s="101">
        <f t="shared" si="44"/>
        <v>0.3</v>
      </c>
      <c r="M214" s="101">
        <f t="shared" si="44"/>
        <v>0.3</v>
      </c>
      <c r="N214" s="101">
        <f t="shared" si="44"/>
        <v>0.3</v>
      </c>
      <c r="O214" s="101">
        <f t="shared" si="44"/>
        <v>0.3</v>
      </c>
      <c r="P214" s="101">
        <f t="shared" si="44"/>
        <v>0.3</v>
      </c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55">
        <v>2.4</v>
      </c>
      <c r="AH214" s="54"/>
      <c r="AI214" s="55"/>
      <c r="AK214" s="56"/>
    </row>
    <row r="215" spans="1:37" x14ac:dyDescent="0.25">
      <c r="A215" s="163" t="s">
        <v>84</v>
      </c>
      <c r="B215" s="97">
        <f t="shared" si="43"/>
        <v>0</v>
      </c>
      <c r="C215" s="97">
        <v>0.4</v>
      </c>
      <c r="D215" s="97">
        <f t="shared" si="44"/>
        <v>0.4</v>
      </c>
      <c r="E215" s="97">
        <f t="shared" si="44"/>
        <v>0.4</v>
      </c>
      <c r="F215" s="97">
        <f t="shared" si="44"/>
        <v>0.4</v>
      </c>
      <c r="G215" s="97">
        <f t="shared" si="44"/>
        <v>0.4</v>
      </c>
      <c r="H215" s="97">
        <f t="shared" si="44"/>
        <v>0.4</v>
      </c>
      <c r="I215" s="97">
        <f t="shared" si="44"/>
        <v>0.4</v>
      </c>
      <c r="J215" s="97">
        <f t="shared" si="44"/>
        <v>0.4</v>
      </c>
      <c r="K215" s="97">
        <f t="shared" si="44"/>
        <v>0.4</v>
      </c>
      <c r="L215" s="97">
        <f t="shared" si="44"/>
        <v>0.4</v>
      </c>
      <c r="M215" s="97">
        <f t="shared" si="44"/>
        <v>0.4</v>
      </c>
      <c r="N215" s="97">
        <f t="shared" si="44"/>
        <v>0.4</v>
      </c>
      <c r="O215" s="97">
        <f t="shared" si="44"/>
        <v>0.4</v>
      </c>
      <c r="P215" s="97">
        <f t="shared" si="44"/>
        <v>0.4</v>
      </c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56">
        <v>2</v>
      </c>
      <c r="AH215" s="54"/>
      <c r="AI215" s="55"/>
      <c r="AK215" s="56"/>
    </row>
    <row r="216" spans="1:37" x14ac:dyDescent="0.25">
      <c r="A216" s="163" t="s">
        <v>85</v>
      </c>
      <c r="B216" s="97">
        <f t="shared" si="43"/>
        <v>0</v>
      </c>
      <c r="C216" s="97">
        <v>1.5</v>
      </c>
      <c r="D216" s="97">
        <f t="shared" si="44"/>
        <v>1.5</v>
      </c>
      <c r="E216" s="97">
        <f t="shared" si="44"/>
        <v>1.5</v>
      </c>
      <c r="F216" s="97">
        <f t="shared" si="44"/>
        <v>1.5</v>
      </c>
      <c r="G216" s="97">
        <f t="shared" si="44"/>
        <v>1.5</v>
      </c>
      <c r="H216" s="97">
        <f t="shared" si="44"/>
        <v>1.5</v>
      </c>
      <c r="I216" s="97">
        <f t="shared" si="44"/>
        <v>1.5</v>
      </c>
      <c r="J216" s="97">
        <f t="shared" si="44"/>
        <v>1.5</v>
      </c>
      <c r="K216" s="97">
        <f t="shared" si="44"/>
        <v>1.5</v>
      </c>
      <c r="L216" s="97">
        <f t="shared" si="44"/>
        <v>1.5</v>
      </c>
      <c r="M216" s="97">
        <f t="shared" si="44"/>
        <v>1.5</v>
      </c>
      <c r="N216" s="97">
        <f t="shared" si="44"/>
        <v>1.5</v>
      </c>
      <c r="O216" s="97">
        <f t="shared" si="44"/>
        <v>1.5</v>
      </c>
      <c r="P216" s="97">
        <f t="shared" si="44"/>
        <v>1.5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1.5</v>
      </c>
      <c r="AH216" s="54"/>
      <c r="AI216" s="55"/>
      <c r="AK216" s="56"/>
    </row>
    <row r="217" spans="1:37" x14ac:dyDescent="0.25">
      <c r="A217" s="163" t="s">
        <v>86</v>
      </c>
      <c r="B217" s="97">
        <f t="shared" si="43"/>
        <v>0</v>
      </c>
      <c r="C217" s="97">
        <v>0.3</v>
      </c>
      <c r="D217" s="97">
        <f t="shared" si="44"/>
        <v>0.3</v>
      </c>
      <c r="E217" s="97">
        <f t="shared" si="44"/>
        <v>0.3</v>
      </c>
      <c r="F217" s="97">
        <f t="shared" si="44"/>
        <v>0.3</v>
      </c>
      <c r="G217" s="97">
        <f t="shared" si="44"/>
        <v>0.3</v>
      </c>
      <c r="H217" s="97">
        <f t="shared" si="44"/>
        <v>0.3</v>
      </c>
      <c r="I217" s="97">
        <f t="shared" si="44"/>
        <v>0.3</v>
      </c>
      <c r="J217" s="97">
        <f t="shared" si="44"/>
        <v>0.3</v>
      </c>
      <c r="K217" s="97">
        <f t="shared" si="44"/>
        <v>0.3</v>
      </c>
      <c r="L217" s="97">
        <f t="shared" si="44"/>
        <v>0.3</v>
      </c>
      <c r="M217" s="97">
        <f t="shared" si="44"/>
        <v>0.3</v>
      </c>
      <c r="N217" s="97">
        <f t="shared" si="44"/>
        <v>0.3</v>
      </c>
      <c r="O217" s="97">
        <f t="shared" si="44"/>
        <v>0.3</v>
      </c>
      <c r="P217" s="97">
        <f t="shared" si="44"/>
        <v>0.3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</v>
      </c>
      <c r="AH217" s="54"/>
      <c r="AI217" s="55"/>
      <c r="AK217" s="56"/>
    </row>
    <row r="218" spans="1:37" x14ac:dyDescent="0.25">
      <c r="A218" s="163" t="s">
        <v>87</v>
      </c>
      <c r="B218" s="97">
        <f t="shared" si="43"/>
        <v>0</v>
      </c>
      <c r="C218" s="97">
        <v>0.4</v>
      </c>
      <c r="D218" s="97">
        <f t="shared" si="44"/>
        <v>0.4</v>
      </c>
      <c r="E218" s="97">
        <f t="shared" si="44"/>
        <v>0.4</v>
      </c>
      <c r="F218" s="97">
        <f t="shared" si="44"/>
        <v>0.4</v>
      </c>
      <c r="G218" s="97">
        <f t="shared" si="44"/>
        <v>0.4</v>
      </c>
      <c r="H218" s="97">
        <f t="shared" si="44"/>
        <v>0.4</v>
      </c>
      <c r="I218" s="97">
        <f t="shared" si="44"/>
        <v>0.4</v>
      </c>
      <c r="J218" s="97">
        <f t="shared" si="44"/>
        <v>0.4</v>
      </c>
      <c r="K218" s="97">
        <f t="shared" si="44"/>
        <v>0.4</v>
      </c>
      <c r="L218" s="97">
        <f t="shared" si="44"/>
        <v>0.4</v>
      </c>
      <c r="M218" s="97">
        <f t="shared" si="44"/>
        <v>0.4</v>
      </c>
      <c r="N218" s="97">
        <f t="shared" si="44"/>
        <v>0.4</v>
      </c>
      <c r="O218" s="97">
        <f t="shared" si="44"/>
        <v>0.4</v>
      </c>
      <c r="P218" s="97">
        <f t="shared" si="44"/>
        <v>0.4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ht="15.75" thickBot="1" x14ac:dyDescent="0.3">
      <c r="A219" s="164" t="s">
        <v>88</v>
      </c>
      <c r="B219" s="102">
        <f t="shared" si="43"/>
        <v>0</v>
      </c>
      <c r="C219" s="102">
        <v>0.64</v>
      </c>
      <c r="D219" s="102">
        <f t="shared" si="44"/>
        <v>0.64</v>
      </c>
      <c r="E219" s="102">
        <f t="shared" si="44"/>
        <v>0.64</v>
      </c>
      <c r="F219" s="102">
        <f t="shared" si="44"/>
        <v>0.64</v>
      </c>
      <c r="G219" s="102">
        <f t="shared" si="44"/>
        <v>0.64</v>
      </c>
      <c r="H219" s="102">
        <f t="shared" si="44"/>
        <v>0.64</v>
      </c>
      <c r="I219" s="102">
        <f t="shared" si="44"/>
        <v>0.64</v>
      </c>
      <c r="J219" s="102">
        <f t="shared" si="44"/>
        <v>0.64</v>
      </c>
      <c r="K219" s="102">
        <f t="shared" si="44"/>
        <v>0.64</v>
      </c>
      <c r="L219" s="102">
        <f t="shared" si="44"/>
        <v>0.64</v>
      </c>
      <c r="M219" s="102">
        <f t="shared" si="44"/>
        <v>0.64</v>
      </c>
      <c r="N219" s="102">
        <f t="shared" si="44"/>
        <v>0.64</v>
      </c>
      <c r="O219" s="102">
        <f t="shared" si="44"/>
        <v>0.64</v>
      </c>
      <c r="P219" s="102">
        <f t="shared" si="44"/>
        <v>0.64</v>
      </c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57">
        <v>0.66</v>
      </c>
      <c r="AH219" s="54"/>
      <c r="AI219" s="55"/>
    </row>
    <row r="220" spans="1:37" ht="15.75" thickBot="1" x14ac:dyDescent="0.3">
      <c r="A220" s="173" t="s">
        <v>35</v>
      </c>
      <c r="B220" s="103">
        <f>SUM(B214:B219)</f>
        <v>0</v>
      </c>
      <c r="C220" s="103">
        <f>SUM(C214:C219)</f>
        <v>3.54</v>
      </c>
      <c r="D220" s="103">
        <f t="shared" ref="D220:L220" si="45">SUM(D214:D219)</f>
        <v>3.54</v>
      </c>
      <c r="E220" s="103">
        <f t="shared" si="45"/>
        <v>3.54</v>
      </c>
      <c r="F220" s="103">
        <f t="shared" si="45"/>
        <v>3.54</v>
      </c>
      <c r="G220" s="103">
        <f t="shared" si="45"/>
        <v>3.54</v>
      </c>
      <c r="H220" s="103">
        <f t="shared" si="45"/>
        <v>3.54</v>
      </c>
      <c r="I220" s="103">
        <f t="shared" si="45"/>
        <v>3.54</v>
      </c>
      <c r="J220" s="103">
        <f t="shared" si="45"/>
        <v>3.54</v>
      </c>
      <c r="K220" s="103">
        <f t="shared" si="45"/>
        <v>3.54</v>
      </c>
      <c r="L220" s="103">
        <f t="shared" si="45"/>
        <v>3.54</v>
      </c>
      <c r="M220" s="103">
        <f>SUM(M214:M219)</f>
        <v>3.54</v>
      </c>
      <c r="N220" s="103">
        <f t="shared" ref="N220:S220" si="46">SUM(N214:N219)</f>
        <v>3.54</v>
      </c>
      <c r="O220" s="103">
        <f t="shared" si="46"/>
        <v>3.54</v>
      </c>
      <c r="P220" s="103">
        <f t="shared" si="46"/>
        <v>3.54</v>
      </c>
      <c r="Q220" s="103">
        <f t="shared" si="46"/>
        <v>0</v>
      </c>
      <c r="R220" s="103">
        <f t="shared" si="46"/>
        <v>0</v>
      </c>
      <c r="S220" s="103">
        <f t="shared" si="46"/>
        <v>0</v>
      </c>
      <c r="T220" s="103">
        <f>SUM(T214:T219)</f>
        <v>0</v>
      </c>
      <c r="U220" s="103">
        <f t="shared" ref="U220:AG220" si="47">SUM(U214:U219)</f>
        <v>0</v>
      </c>
      <c r="V220" s="103">
        <f t="shared" si="47"/>
        <v>0</v>
      </c>
      <c r="W220" s="103">
        <f t="shared" si="47"/>
        <v>0</v>
      </c>
      <c r="X220" s="103">
        <f t="shared" si="47"/>
        <v>0</v>
      </c>
      <c r="Y220" s="103">
        <f t="shared" si="47"/>
        <v>0</v>
      </c>
      <c r="Z220" s="103">
        <f t="shared" si="47"/>
        <v>0</v>
      </c>
      <c r="AA220" s="103">
        <f t="shared" si="47"/>
        <v>0</v>
      </c>
      <c r="AB220" s="103">
        <f t="shared" si="47"/>
        <v>0</v>
      </c>
      <c r="AC220" s="103">
        <f t="shared" si="47"/>
        <v>0</v>
      </c>
      <c r="AD220" s="103">
        <f t="shared" si="47"/>
        <v>0</v>
      </c>
      <c r="AE220" s="103">
        <f t="shared" si="47"/>
        <v>0</v>
      </c>
      <c r="AF220" s="103">
        <f t="shared" si="47"/>
        <v>0</v>
      </c>
      <c r="AG220" s="158">
        <f t="shared" si="47"/>
        <v>8.56</v>
      </c>
      <c r="AH220" s="54"/>
      <c r="AI220" s="55"/>
    </row>
    <row r="221" spans="1:37" ht="15.75" thickBot="1" x14ac:dyDescent="0.3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84"/>
      <c r="AH221" s="47"/>
    </row>
    <row r="222" spans="1:37" x14ac:dyDescent="0.25">
      <c r="A222" s="79" t="s">
        <v>89</v>
      </c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5"/>
      <c r="AG222" s="47"/>
      <c r="AH222" s="54"/>
      <c r="AI222" s="55"/>
    </row>
    <row r="223" spans="1:37" x14ac:dyDescent="0.25">
      <c r="A223" s="106" t="s">
        <v>90</v>
      </c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8"/>
      <c r="AG223" s="109"/>
      <c r="AH223" s="54"/>
      <c r="AI223" s="55"/>
    </row>
    <row r="224" spans="1:37" x14ac:dyDescent="0.25">
      <c r="A224" s="81" t="s">
        <v>91</v>
      </c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1"/>
      <c r="AG224" s="109"/>
      <c r="AH224" s="54"/>
      <c r="AI224" s="55"/>
    </row>
    <row r="225" spans="1:50" x14ac:dyDescent="0.25">
      <c r="A225" s="81" t="s">
        <v>92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ht="15.75" thickBot="1" x14ac:dyDescent="0.3">
      <c r="A226" s="112" t="s">
        <v>93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4"/>
      <c r="AG226" s="109"/>
      <c r="AH226" s="54"/>
      <c r="AI226" s="55"/>
    </row>
    <row r="227" spans="1:50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50" x14ac:dyDescent="0.25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50" x14ac:dyDescent="0.25">
      <c r="A229" s="115" t="s">
        <v>94</v>
      </c>
      <c r="B229" s="116">
        <f>MAX(G79:N79)</f>
        <v>1816.04</v>
      </c>
      <c r="C229" s="117">
        <f>INDEX(G9:N9,1,MATCH(MAX(G79:N79),G79:N79,0))</f>
        <v>0.3125</v>
      </c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50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118" t="str">
        <f ca="1">MID(CELL("filename",C7),FIND("]",CELL("filename",C7))+1,600)</f>
        <v>4</v>
      </c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50" x14ac:dyDescent="0.25">
      <c r="A231" s="208" t="s">
        <v>95</v>
      </c>
      <c r="B231" s="208"/>
      <c r="C231" s="47"/>
      <c r="D231" s="118" t="str">
        <f ca="1">"Pie Chart of Daily Peak Demand(Inclusive of Export) of Nepal ("&amp;A4&amp;" "&amp;B4&amp;")"</f>
        <v>Pie Chart of Daily Peak Demand(Inclusive of Export) of Nepal (Nepali Date: 2079/02/4)</v>
      </c>
      <c r="E231" s="47"/>
      <c r="F231" s="47"/>
      <c r="G231" s="118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118" t="str">
        <f ca="1">"Daily Load Curve(Excluding of Export) of Nepal ("&amp;A4&amp;" "&amp;B4&amp;")"</f>
        <v>Daily Load Curve(Excluding of Export) of Nepal (Nepali Date: 2079/02/4)</v>
      </c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50" ht="12.75" customHeight="1" thickBot="1" x14ac:dyDescent="0.3">
      <c r="A232" s="119" t="s">
        <v>7</v>
      </c>
      <c r="B232" s="120"/>
      <c r="C232" s="47"/>
      <c r="D232" s="121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50" ht="15.75" thickTop="1" x14ac:dyDescent="0.25">
      <c r="A233" s="119" t="s">
        <v>96</v>
      </c>
      <c r="B233" s="120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122" t="s">
        <v>97</v>
      </c>
      <c r="T233" s="123">
        <v>0</v>
      </c>
      <c r="U233" s="124">
        <v>4.1666666666666664E-2</v>
      </c>
      <c r="V233" s="125">
        <v>8.3333333333333301E-2</v>
      </c>
      <c r="W233" s="125">
        <v>0.125</v>
      </c>
      <c r="X233" s="125">
        <v>0.16666666666666699</v>
      </c>
      <c r="Y233" s="125">
        <v>0.20833333333333301</v>
      </c>
      <c r="Z233" s="125">
        <v>0.22916666666666666</v>
      </c>
      <c r="AA233" s="125">
        <v>0.25</v>
      </c>
      <c r="AB233" s="125">
        <v>0.27083333333333331</v>
      </c>
      <c r="AC233" s="125">
        <v>0.29166666666666669</v>
      </c>
      <c r="AD233" s="125">
        <v>0.3125</v>
      </c>
      <c r="AE233" s="126">
        <v>0.33333333333333331</v>
      </c>
      <c r="AF233" s="126">
        <v>0.375</v>
      </c>
      <c r="AG233" s="126">
        <v>0.41666666666666702</v>
      </c>
      <c r="AH233" s="126">
        <v>0.45833333333333298</v>
      </c>
      <c r="AI233" s="126">
        <v>0.5</v>
      </c>
      <c r="AJ233" s="126">
        <v>0.54166666666666696</v>
      </c>
      <c r="AK233" s="126">
        <v>0.58333333333333304</v>
      </c>
      <c r="AL233" s="126">
        <v>0.625</v>
      </c>
      <c r="AM233" s="126">
        <v>0.66666666666666696</v>
      </c>
      <c r="AN233" s="126">
        <v>0.70833333333333304</v>
      </c>
      <c r="AO233" s="126">
        <v>0.72916666666666663</v>
      </c>
      <c r="AP233" s="126">
        <v>0.75</v>
      </c>
      <c r="AQ233" s="126">
        <v>0.77083333333333337</v>
      </c>
      <c r="AR233" s="126">
        <v>0.79166666666666663</v>
      </c>
      <c r="AS233" s="126">
        <v>0.8125</v>
      </c>
      <c r="AT233" s="125">
        <v>0.83333333333333337</v>
      </c>
      <c r="AU233" s="125">
        <v>0.85416666666666663</v>
      </c>
      <c r="AV233" s="125">
        <v>0.875</v>
      </c>
      <c r="AW233" s="125">
        <v>0.91666666666666696</v>
      </c>
      <c r="AX233" s="125">
        <v>0.95833333333333304</v>
      </c>
    </row>
    <row r="234" spans="1:50" x14ac:dyDescent="0.25">
      <c r="A234" s="119" t="s">
        <v>98</v>
      </c>
      <c r="B234" s="120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 t="s">
        <v>99</v>
      </c>
      <c r="T234" s="127">
        <f t="shared" ref="T234:AX234" si="48">B79</f>
        <v>1864.14</v>
      </c>
      <c r="U234" s="127">
        <f t="shared" si="48"/>
        <v>1844.34</v>
      </c>
      <c r="V234" s="127">
        <f t="shared" si="48"/>
        <v>1849.1399999999999</v>
      </c>
      <c r="W234" s="127">
        <f t="shared" si="48"/>
        <v>1810.6399999999999</v>
      </c>
      <c r="X234" s="127">
        <f t="shared" si="48"/>
        <v>1806.04</v>
      </c>
      <c r="Y234" s="127">
        <f t="shared" si="48"/>
        <v>1785.1399999999999</v>
      </c>
      <c r="Z234" s="127">
        <f t="shared" si="48"/>
        <v>1781.1399999999999</v>
      </c>
      <c r="AA234" s="127">
        <f t="shared" si="48"/>
        <v>1770.2399999999998</v>
      </c>
      <c r="AB234" s="127">
        <f t="shared" si="48"/>
        <v>1781.14</v>
      </c>
      <c r="AC234" s="127">
        <f t="shared" si="48"/>
        <v>1811.3400000000001</v>
      </c>
      <c r="AD234" s="127">
        <f t="shared" si="48"/>
        <v>1816.04</v>
      </c>
      <c r="AE234" s="127">
        <f t="shared" si="48"/>
        <v>1801.2400000000002</v>
      </c>
      <c r="AF234" s="127">
        <f t="shared" si="48"/>
        <v>1774.1399999999999</v>
      </c>
      <c r="AG234" s="127">
        <f t="shared" si="48"/>
        <v>1812.74</v>
      </c>
      <c r="AH234" s="127">
        <f t="shared" si="48"/>
        <v>1798.64</v>
      </c>
      <c r="AI234" s="127">
        <f t="shared" si="48"/>
        <v>1798.3400000000001</v>
      </c>
      <c r="AJ234" s="127">
        <f t="shared" si="48"/>
        <v>1684.64</v>
      </c>
      <c r="AK234" s="127">
        <f t="shared" si="48"/>
        <v>1676.96</v>
      </c>
      <c r="AL234" s="127">
        <f t="shared" si="48"/>
        <v>1692.6399999999999</v>
      </c>
      <c r="AM234" s="127">
        <f t="shared" si="48"/>
        <v>1681.4399999999998</v>
      </c>
      <c r="AN234" s="127">
        <f t="shared" si="48"/>
        <v>1706.64</v>
      </c>
      <c r="AO234" s="127">
        <f t="shared" si="48"/>
        <v>1755.7399999999998</v>
      </c>
      <c r="AP234" s="127">
        <f t="shared" si="48"/>
        <v>1757.74</v>
      </c>
      <c r="AQ234" s="127">
        <f t="shared" si="48"/>
        <v>1761.14</v>
      </c>
      <c r="AR234" s="127">
        <f t="shared" si="48"/>
        <v>1816.34</v>
      </c>
      <c r="AS234" s="127">
        <f t="shared" si="48"/>
        <v>1831.34</v>
      </c>
      <c r="AT234" s="127">
        <f t="shared" si="48"/>
        <v>1815.1399999999999</v>
      </c>
      <c r="AU234" s="127">
        <f t="shared" si="48"/>
        <v>1834.34</v>
      </c>
      <c r="AV234" s="127">
        <f t="shared" si="48"/>
        <v>1833.44</v>
      </c>
      <c r="AW234" s="127">
        <f t="shared" si="48"/>
        <v>1844.6399999999999</v>
      </c>
      <c r="AX234" s="127">
        <f t="shared" si="48"/>
        <v>1825.1399999999999</v>
      </c>
    </row>
    <row r="235" spans="1:50" x14ac:dyDescent="0.25">
      <c r="A235" s="119" t="s">
        <v>100</v>
      </c>
      <c r="B235" s="120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</row>
    <row r="236" spans="1:50" x14ac:dyDescent="0.25">
      <c r="A236" s="119" t="s">
        <v>101</v>
      </c>
      <c r="B236" s="120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</row>
    <row r="237" spans="1:50" x14ac:dyDescent="0.25">
      <c r="A237" s="119" t="s">
        <v>102</v>
      </c>
      <c r="B237" s="120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50" x14ac:dyDescent="0.25">
      <c r="A238" s="119" t="s">
        <v>103</v>
      </c>
      <c r="B238" s="128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50" x14ac:dyDescent="0.25">
      <c r="A239" s="119" t="s">
        <v>104</v>
      </c>
      <c r="B239" s="120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50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1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1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1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1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1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</row>
    <row r="246" spans="1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J246"/>
    </row>
    <row r="247" spans="1:36" x14ac:dyDescent="0.25"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J247"/>
    </row>
    <row r="248" spans="1:36" x14ac:dyDescent="0.25"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J248"/>
    </row>
    <row r="249" spans="1:36" x14ac:dyDescent="0.25"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J249"/>
    </row>
    <row r="250" spans="1:36" x14ac:dyDescent="0.25"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J250"/>
    </row>
    <row r="251" spans="1:36" x14ac:dyDescent="0.25"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J251"/>
    </row>
    <row r="252" spans="1:36" x14ac:dyDescent="0.25"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J252"/>
    </row>
    <row r="253" spans="1:36" x14ac:dyDescent="0.25"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J253"/>
    </row>
    <row r="254" spans="1:36" x14ac:dyDescent="0.25"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J254"/>
    </row>
    <row r="255" spans="1:36" x14ac:dyDescent="0.25">
      <c r="A255" s="129" t="s">
        <v>89</v>
      </c>
      <c r="B255" s="130">
        <f t="shared" ref="B255:AE255" si="49">C219</f>
        <v>0.64</v>
      </c>
      <c r="C255" s="130">
        <f t="shared" si="49"/>
        <v>0.64</v>
      </c>
      <c r="D255" s="130">
        <f t="shared" si="49"/>
        <v>0.64</v>
      </c>
      <c r="E255" s="130">
        <f t="shared" si="49"/>
        <v>0.64</v>
      </c>
      <c r="F255" s="130">
        <f t="shared" si="49"/>
        <v>0.64</v>
      </c>
      <c r="G255" s="130">
        <f t="shared" si="49"/>
        <v>0.64</v>
      </c>
      <c r="H255" s="130">
        <f t="shared" si="49"/>
        <v>0.64</v>
      </c>
      <c r="I255" s="130">
        <f t="shared" si="49"/>
        <v>0.64</v>
      </c>
      <c r="J255" s="130">
        <f t="shared" si="49"/>
        <v>0.64</v>
      </c>
      <c r="K255" s="130">
        <f t="shared" si="49"/>
        <v>0.64</v>
      </c>
      <c r="L255" s="130">
        <f t="shared" si="49"/>
        <v>0.64</v>
      </c>
      <c r="M255" s="130">
        <f t="shared" si="49"/>
        <v>0.64</v>
      </c>
      <c r="N255" s="130">
        <f t="shared" si="49"/>
        <v>0.64</v>
      </c>
      <c r="O255" s="130">
        <f t="shared" si="49"/>
        <v>0.64</v>
      </c>
      <c r="P255" s="130">
        <f t="shared" si="49"/>
        <v>0</v>
      </c>
      <c r="Q255" s="130">
        <f t="shared" si="49"/>
        <v>0</v>
      </c>
      <c r="R255" s="130">
        <f t="shared" si="49"/>
        <v>0</v>
      </c>
      <c r="S255" s="130">
        <f t="shared" si="49"/>
        <v>0</v>
      </c>
      <c r="T255" s="130">
        <f t="shared" si="49"/>
        <v>0</v>
      </c>
      <c r="U255" s="130">
        <f t="shared" si="49"/>
        <v>0</v>
      </c>
      <c r="V255" s="130">
        <f t="shared" si="49"/>
        <v>0</v>
      </c>
      <c r="W255" s="130">
        <f t="shared" si="49"/>
        <v>0</v>
      </c>
      <c r="X255" s="130">
        <f t="shared" si="49"/>
        <v>0</v>
      </c>
      <c r="Y255" s="130">
        <f t="shared" si="49"/>
        <v>0</v>
      </c>
      <c r="Z255" s="130">
        <f t="shared" si="49"/>
        <v>0</v>
      </c>
      <c r="AA255" s="130">
        <f t="shared" si="49"/>
        <v>0</v>
      </c>
      <c r="AB255" s="130">
        <f t="shared" si="49"/>
        <v>0</v>
      </c>
      <c r="AC255" s="130">
        <f t="shared" si="49"/>
        <v>0</v>
      </c>
      <c r="AD255" s="130">
        <f t="shared" si="49"/>
        <v>0</v>
      </c>
      <c r="AE255" s="130">
        <f t="shared" si="49"/>
        <v>0</v>
      </c>
      <c r="AF255" s="130">
        <f>B219</f>
        <v>0</v>
      </c>
      <c r="AG255" s="47"/>
      <c r="AH255" s="47"/>
      <c r="AJ255"/>
    </row>
    <row r="256" spans="1:36" x14ac:dyDescent="0.25">
      <c r="A256" s="88" t="str">
        <f>A223</f>
        <v>KGA</v>
      </c>
      <c r="B256" s="88" t="str">
        <f>IF(B223&lt;100,"",B223-520)</f>
        <v/>
      </c>
      <c r="C256" s="88" t="str">
        <f t="shared" ref="C256:AF256" si="50">IF(C223&lt;100,"",C223-520)</f>
        <v/>
      </c>
      <c r="D256" s="88" t="str">
        <f t="shared" si="50"/>
        <v/>
      </c>
      <c r="E256" s="88" t="str">
        <f t="shared" si="50"/>
        <v/>
      </c>
      <c r="F256" s="88" t="str">
        <f t="shared" si="50"/>
        <v/>
      </c>
      <c r="G256" s="88" t="str">
        <f t="shared" si="50"/>
        <v/>
      </c>
      <c r="H256" s="88" t="str">
        <f t="shared" si="50"/>
        <v/>
      </c>
      <c r="I256" s="88" t="str">
        <f t="shared" si="50"/>
        <v/>
      </c>
      <c r="J256" s="88" t="str">
        <f t="shared" si="50"/>
        <v/>
      </c>
      <c r="K256" s="88" t="str">
        <f t="shared" si="50"/>
        <v/>
      </c>
      <c r="L256" s="88" t="str">
        <f t="shared" si="50"/>
        <v/>
      </c>
      <c r="M256" s="88" t="str">
        <f t="shared" si="50"/>
        <v/>
      </c>
      <c r="N256" s="88" t="str">
        <f t="shared" si="50"/>
        <v/>
      </c>
      <c r="O256" s="88" t="str">
        <f t="shared" si="50"/>
        <v/>
      </c>
      <c r="P256" s="88" t="str">
        <f t="shared" si="50"/>
        <v/>
      </c>
      <c r="Q256" s="88" t="str">
        <f t="shared" si="50"/>
        <v/>
      </c>
      <c r="R256" s="88" t="str">
        <f t="shared" si="50"/>
        <v/>
      </c>
      <c r="S256" s="88" t="str">
        <f t="shared" si="50"/>
        <v/>
      </c>
      <c r="T256" s="88" t="str">
        <f t="shared" si="50"/>
        <v/>
      </c>
      <c r="U256" s="88" t="str">
        <f t="shared" si="50"/>
        <v/>
      </c>
      <c r="V256" s="88" t="str">
        <f t="shared" si="50"/>
        <v/>
      </c>
      <c r="W256" s="88" t="str">
        <f t="shared" si="50"/>
        <v/>
      </c>
      <c r="X256" s="88" t="str">
        <f t="shared" si="50"/>
        <v/>
      </c>
      <c r="Y256" s="88" t="str">
        <f t="shared" si="50"/>
        <v/>
      </c>
      <c r="Z256" s="88" t="str">
        <f t="shared" si="50"/>
        <v/>
      </c>
      <c r="AA256" s="88" t="str">
        <f t="shared" si="50"/>
        <v/>
      </c>
      <c r="AB256" s="88" t="str">
        <f t="shared" si="50"/>
        <v/>
      </c>
      <c r="AC256" s="88" t="str">
        <f t="shared" si="50"/>
        <v/>
      </c>
      <c r="AD256" s="88" t="str">
        <f t="shared" si="50"/>
        <v/>
      </c>
      <c r="AE256" s="88" t="str">
        <f t="shared" si="50"/>
        <v/>
      </c>
      <c r="AF256" s="88" t="str">
        <f t="shared" si="50"/>
        <v/>
      </c>
      <c r="AG256" s="47"/>
      <c r="AH256" s="47"/>
      <c r="AJ256"/>
    </row>
    <row r="257" spans="1:36" x14ac:dyDescent="0.25">
      <c r="A257" s="88" t="str">
        <f>A224</f>
        <v>MMRS</v>
      </c>
      <c r="B257" s="88" t="str">
        <f t="shared" ref="B257:AF257" si="51">IF(B224&lt;100,"",B224-620)</f>
        <v/>
      </c>
      <c r="C257" s="88" t="str">
        <f t="shared" si="51"/>
        <v/>
      </c>
      <c r="D257" s="88" t="str">
        <f t="shared" si="51"/>
        <v/>
      </c>
      <c r="E257" s="88" t="str">
        <f t="shared" si="51"/>
        <v/>
      </c>
      <c r="F257" s="88" t="str">
        <f t="shared" si="51"/>
        <v/>
      </c>
      <c r="G257" s="88" t="str">
        <f t="shared" si="51"/>
        <v/>
      </c>
      <c r="H257" s="88" t="str">
        <f t="shared" si="51"/>
        <v/>
      </c>
      <c r="I257" s="88" t="str">
        <f t="shared" si="51"/>
        <v/>
      </c>
      <c r="J257" s="88" t="str">
        <f t="shared" si="51"/>
        <v/>
      </c>
      <c r="K257" s="88" t="str">
        <f t="shared" si="51"/>
        <v/>
      </c>
      <c r="L257" s="88" t="str">
        <f t="shared" si="51"/>
        <v/>
      </c>
      <c r="M257" s="88" t="str">
        <f t="shared" si="51"/>
        <v/>
      </c>
      <c r="N257" s="88" t="str">
        <f t="shared" si="51"/>
        <v/>
      </c>
      <c r="O257" s="88" t="str">
        <f t="shared" si="51"/>
        <v/>
      </c>
      <c r="P257" s="88" t="str">
        <f t="shared" si="51"/>
        <v/>
      </c>
      <c r="Q257" s="88" t="str">
        <f t="shared" si="51"/>
        <v/>
      </c>
      <c r="R257" s="88" t="str">
        <f t="shared" si="51"/>
        <v/>
      </c>
      <c r="S257" s="88" t="str">
        <f t="shared" si="51"/>
        <v/>
      </c>
      <c r="T257" s="88" t="str">
        <f t="shared" si="51"/>
        <v/>
      </c>
      <c r="U257" s="88" t="str">
        <f t="shared" si="51"/>
        <v/>
      </c>
      <c r="V257" s="88" t="str">
        <f t="shared" si="51"/>
        <v/>
      </c>
      <c r="W257" s="88" t="str">
        <f t="shared" si="51"/>
        <v/>
      </c>
      <c r="X257" s="88" t="str">
        <f t="shared" si="51"/>
        <v/>
      </c>
      <c r="Y257" s="88" t="str">
        <f t="shared" si="51"/>
        <v/>
      </c>
      <c r="Z257" s="88" t="str">
        <f t="shared" si="51"/>
        <v/>
      </c>
      <c r="AA257" s="88" t="str">
        <f t="shared" si="51"/>
        <v/>
      </c>
      <c r="AB257" s="88" t="str">
        <f t="shared" si="51"/>
        <v/>
      </c>
      <c r="AC257" s="88" t="str">
        <f t="shared" si="51"/>
        <v/>
      </c>
      <c r="AD257" s="88" t="str">
        <f t="shared" si="51"/>
        <v/>
      </c>
      <c r="AE257" s="88" t="str">
        <f t="shared" si="51"/>
        <v/>
      </c>
      <c r="AF257" s="88" t="str">
        <f t="shared" si="51"/>
        <v/>
      </c>
      <c r="AG257" s="47"/>
      <c r="AH257" s="47"/>
      <c r="AJ257"/>
    </row>
    <row r="258" spans="1:36" x14ac:dyDescent="0.25">
      <c r="A258" s="88" t="str">
        <f>A225</f>
        <v>MRS</v>
      </c>
      <c r="B258" s="88" t="str">
        <f t="shared" ref="B258:AF258" si="52">IF(B225&lt;100,"",B225-330)</f>
        <v/>
      </c>
      <c r="C258" s="88" t="str">
        <f t="shared" si="52"/>
        <v/>
      </c>
      <c r="D258" s="88" t="str">
        <f t="shared" si="52"/>
        <v/>
      </c>
      <c r="E258" s="88" t="str">
        <f t="shared" si="52"/>
        <v/>
      </c>
      <c r="F258" s="88" t="str">
        <f t="shared" si="52"/>
        <v/>
      </c>
      <c r="G258" s="88" t="str">
        <f t="shared" si="52"/>
        <v/>
      </c>
      <c r="H258" s="88" t="str">
        <f t="shared" si="52"/>
        <v/>
      </c>
      <c r="I258" s="88" t="str">
        <f t="shared" si="52"/>
        <v/>
      </c>
      <c r="J258" s="88" t="str">
        <f t="shared" si="52"/>
        <v/>
      </c>
      <c r="K258" s="88" t="str">
        <f t="shared" si="52"/>
        <v/>
      </c>
      <c r="L258" s="88" t="str">
        <f t="shared" si="52"/>
        <v/>
      </c>
      <c r="M258" s="88" t="str">
        <f t="shared" si="52"/>
        <v/>
      </c>
      <c r="N258" s="88" t="str">
        <f t="shared" si="52"/>
        <v/>
      </c>
      <c r="O258" s="88" t="str">
        <f t="shared" si="52"/>
        <v/>
      </c>
      <c r="P258" s="88" t="str">
        <f t="shared" si="52"/>
        <v/>
      </c>
      <c r="Q258" s="88" t="str">
        <f t="shared" si="52"/>
        <v/>
      </c>
      <c r="R258" s="88" t="str">
        <f t="shared" si="52"/>
        <v/>
      </c>
      <c r="S258" s="88" t="str">
        <f t="shared" si="52"/>
        <v/>
      </c>
      <c r="T258" s="88" t="str">
        <f t="shared" si="52"/>
        <v/>
      </c>
      <c r="U258" s="88" t="str">
        <f t="shared" si="52"/>
        <v/>
      </c>
      <c r="V258" s="88" t="str">
        <f t="shared" si="52"/>
        <v/>
      </c>
      <c r="W258" s="88" t="str">
        <f t="shared" si="52"/>
        <v/>
      </c>
      <c r="X258" s="88" t="str">
        <f t="shared" si="52"/>
        <v/>
      </c>
      <c r="Y258" s="88" t="str">
        <f t="shared" si="52"/>
        <v/>
      </c>
      <c r="Z258" s="88" t="str">
        <f t="shared" si="52"/>
        <v/>
      </c>
      <c r="AA258" s="88" t="str">
        <f t="shared" si="52"/>
        <v/>
      </c>
      <c r="AB258" s="88" t="str">
        <f t="shared" si="52"/>
        <v/>
      </c>
      <c r="AC258" s="88" t="str">
        <f t="shared" si="52"/>
        <v/>
      </c>
      <c r="AD258" s="88" t="str">
        <f t="shared" si="52"/>
        <v/>
      </c>
      <c r="AE258" s="88" t="str">
        <f t="shared" si="52"/>
        <v/>
      </c>
      <c r="AF258" s="88" t="str">
        <f t="shared" si="52"/>
        <v/>
      </c>
      <c r="AG258" s="47"/>
      <c r="AH258" s="47"/>
      <c r="AJ258"/>
    </row>
    <row r="259" spans="1:36" x14ac:dyDescent="0.25">
      <c r="A259" s="88" t="str">
        <f>A226</f>
        <v>KL 1</v>
      </c>
      <c r="B259" s="88" t="str">
        <f>IF(B226&lt;100,"",B226-1500)</f>
        <v/>
      </c>
      <c r="C259" s="88" t="str">
        <f t="shared" ref="C259:AF259" si="53">IF(C226&lt;100,"",C226-1500)</f>
        <v/>
      </c>
      <c r="D259" s="88" t="str">
        <f t="shared" si="53"/>
        <v/>
      </c>
      <c r="E259" s="88" t="str">
        <f t="shared" si="53"/>
        <v/>
      </c>
      <c r="F259" s="88" t="str">
        <f t="shared" si="53"/>
        <v/>
      </c>
      <c r="G259" s="88" t="str">
        <f t="shared" si="53"/>
        <v/>
      </c>
      <c r="H259" s="88" t="str">
        <f t="shared" si="53"/>
        <v/>
      </c>
      <c r="I259" s="88" t="str">
        <f t="shared" si="53"/>
        <v/>
      </c>
      <c r="J259" s="88" t="str">
        <f t="shared" si="53"/>
        <v/>
      </c>
      <c r="K259" s="88" t="str">
        <f t="shared" si="53"/>
        <v/>
      </c>
      <c r="L259" s="88" t="str">
        <f t="shared" si="53"/>
        <v/>
      </c>
      <c r="M259" s="88" t="str">
        <f t="shared" si="53"/>
        <v/>
      </c>
      <c r="N259" s="88" t="str">
        <f t="shared" si="53"/>
        <v/>
      </c>
      <c r="O259" s="88" t="str">
        <f t="shared" si="53"/>
        <v/>
      </c>
      <c r="P259" s="88" t="str">
        <f t="shared" si="53"/>
        <v/>
      </c>
      <c r="Q259" s="88" t="str">
        <f t="shared" si="53"/>
        <v/>
      </c>
      <c r="R259" s="88" t="str">
        <f t="shared" si="53"/>
        <v/>
      </c>
      <c r="S259" s="88" t="str">
        <f t="shared" si="53"/>
        <v/>
      </c>
      <c r="T259" s="88" t="str">
        <f t="shared" si="53"/>
        <v/>
      </c>
      <c r="U259" s="88" t="str">
        <f t="shared" si="53"/>
        <v/>
      </c>
      <c r="V259" s="88" t="str">
        <f t="shared" si="53"/>
        <v/>
      </c>
      <c r="W259" s="88" t="str">
        <f t="shared" si="53"/>
        <v/>
      </c>
      <c r="X259" s="88" t="str">
        <f t="shared" si="53"/>
        <v/>
      </c>
      <c r="Y259" s="88" t="str">
        <f t="shared" si="53"/>
        <v/>
      </c>
      <c r="Z259" s="88" t="str">
        <f t="shared" si="53"/>
        <v/>
      </c>
      <c r="AA259" s="88" t="str">
        <f t="shared" si="53"/>
        <v/>
      </c>
      <c r="AB259" s="88" t="str">
        <f t="shared" si="53"/>
        <v/>
      </c>
      <c r="AC259" s="88" t="str">
        <f t="shared" si="53"/>
        <v/>
      </c>
      <c r="AD259" s="88" t="str">
        <f t="shared" si="53"/>
        <v/>
      </c>
      <c r="AE259" s="88" t="str">
        <f t="shared" si="53"/>
        <v/>
      </c>
      <c r="AF259" s="88" t="str">
        <f t="shared" si="53"/>
        <v/>
      </c>
      <c r="AG259" s="47"/>
      <c r="AH259" s="47"/>
      <c r="AJ259"/>
    </row>
    <row r="260" spans="1:36" x14ac:dyDescent="0.25"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J260"/>
    </row>
    <row r="261" spans="1:36" x14ac:dyDescent="0.25"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J261"/>
    </row>
    <row r="262" spans="1:36" x14ac:dyDescent="0.25"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J262"/>
    </row>
    <row r="263" spans="1:36" x14ac:dyDescent="0.25"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J263"/>
    </row>
    <row r="264" spans="1:36" x14ac:dyDescent="0.25"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J264"/>
    </row>
    <row r="265" spans="1:36" x14ac:dyDescent="0.25"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J265"/>
    </row>
    <row r="266" spans="1:36" x14ac:dyDescent="0.25"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J266"/>
    </row>
    <row r="490" spans="36:38" x14ac:dyDescent="0.25">
      <c r="AK490" s="1"/>
    </row>
    <row r="491" spans="36:38" x14ac:dyDescent="0.25">
      <c r="AK491" s="1"/>
      <c r="AL491" s="1"/>
    </row>
    <row r="492" spans="36:38" x14ac:dyDescent="0.25">
      <c r="AJ492"/>
    </row>
  </sheetData>
  <mergeCells count="48">
    <mergeCell ref="A231:B23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2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24">
      <iconSet iconSet="3TrafficLights2" reverse="1">
        <cfvo type="percent" val="0"/>
        <cfvo type="num" val="1"/>
        <cfvo type="num" val="1"/>
      </iconSet>
    </cfRule>
  </conditionalFormatting>
  <conditionalFormatting sqref="D214:AF220 B214:B220 B212:AF212 U233:AF233 B9:AF10 C99:AF105">
    <cfRule type="expression" dxfId="6425" priority="420">
      <formula>B$9&gt;=20/24</formula>
    </cfRule>
    <cfRule type="expression" dxfId="6424" priority="421">
      <formula>AND(B$9&gt;=14/24,B$9&lt;20/24)</formula>
    </cfRule>
    <cfRule type="expression" dxfId="6423" priority="422">
      <formula>AND(B$9&gt;=8/24,B$9&lt;14/24)</formula>
    </cfRule>
    <cfRule type="expression" dxfId="6422" priority="423">
      <formula>B$9&lt;8/24</formula>
    </cfRule>
  </conditionalFormatting>
  <conditionalFormatting sqref="AL4:AL6">
    <cfRule type="iconSet" priority="419">
      <iconSet iconSet="3TrafficLights2" reverse="1">
        <cfvo type="percent" val="0"/>
        <cfvo type="num" val="1"/>
        <cfvo type="num" val="1"/>
      </iconSet>
    </cfRule>
  </conditionalFormatting>
  <conditionalFormatting sqref="AB37:AF37">
    <cfRule type="expression" dxfId="6421" priority="415">
      <formula>AB$9&gt;=20/24</formula>
    </cfRule>
    <cfRule type="expression" dxfId="6420" priority="416">
      <formula>AND(AB$9&gt;=14/24,AB$9&lt;20/24)</formula>
    </cfRule>
    <cfRule type="expression" dxfId="6419" priority="417">
      <formula>AND(AB$9&gt;=8/24,AB$9&lt;14/24)</formula>
    </cfRule>
    <cfRule type="expression" dxfId="6418" priority="418">
      <formula>AB$9&lt;8/24</formula>
    </cfRule>
  </conditionalFormatting>
  <conditionalFormatting sqref="AG55 M11:R11 M16:N16 O12:R16 S11:AF16 AB37:AF37">
    <cfRule type="expression" dxfId="6417" priority="414">
      <formula>M11&gt;$AG11</formula>
    </cfRule>
  </conditionalFormatting>
  <conditionalFormatting sqref="A89:A102 A11:A14 A49:A76 A85:A87 A78 A190:A220 A16:A30 A36:A47 A106:A177 A32:A33 A81:A83">
    <cfRule type="expression" dxfId="6416" priority="413">
      <formula>$AH11=0</formula>
    </cfRule>
  </conditionalFormatting>
  <conditionalFormatting sqref="A103">
    <cfRule type="expression" dxfId="6415" priority="412">
      <formula>$AH103=0</formula>
    </cfRule>
  </conditionalFormatting>
  <conditionalFormatting sqref="AL33">
    <cfRule type="iconSet" priority="411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6414" priority="410">
      <formula>$AH35=0</formula>
    </cfRule>
  </conditionalFormatting>
  <conditionalFormatting sqref="A88">
    <cfRule type="expression" dxfId="6413" priority="409">
      <formula>$AH88=0</formula>
    </cfRule>
  </conditionalFormatting>
  <conditionalFormatting sqref="A15">
    <cfRule type="expression" dxfId="6412" priority="408">
      <formula>$AH15=0</formula>
    </cfRule>
  </conditionalFormatting>
  <conditionalFormatting sqref="A184:A189">
    <cfRule type="expression" dxfId="6411" priority="407">
      <formula>$AH184=0</formula>
    </cfRule>
  </conditionalFormatting>
  <conditionalFormatting sqref="A178:A183">
    <cfRule type="expression" dxfId="6410" priority="406">
      <formula>$AH178=0</formula>
    </cfRule>
  </conditionalFormatting>
  <conditionalFormatting sqref="A48">
    <cfRule type="expression" dxfId="6409" priority="405">
      <formula>$AH48=0</formula>
    </cfRule>
  </conditionalFormatting>
  <conditionalFormatting sqref="A84">
    <cfRule type="expression" dxfId="6408" priority="404">
      <formula>$AH84=0</formula>
    </cfRule>
  </conditionalFormatting>
  <conditionalFormatting sqref="A77">
    <cfRule type="expression" dxfId="6407" priority="403">
      <formula>$AH77=0</formula>
    </cfRule>
  </conditionalFormatting>
  <conditionalFormatting sqref="C89:AF89">
    <cfRule type="expression" dxfId="6406" priority="399">
      <formula>C$9&gt;=20/24</formula>
    </cfRule>
    <cfRule type="expression" dxfId="6405" priority="400">
      <formula>AND(C$9&gt;=14/24,C$9&lt;20/24)</formula>
    </cfRule>
    <cfRule type="expression" dxfId="6404" priority="401">
      <formula>AND(C$9&gt;=8/24,C$9&lt;14/24)</formula>
    </cfRule>
    <cfRule type="expression" dxfId="6403" priority="402">
      <formula>C$9&lt;8/24</formula>
    </cfRule>
  </conditionalFormatting>
  <conditionalFormatting sqref="AL34">
    <cfRule type="iconSet" priority="39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402" priority="426">
      <formula>C$9&gt;=20/24</formula>
    </cfRule>
    <cfRule type="expression" dxfId="6401" priority="427">
      <formula>AND(C$9&gt;=14/24,C$9&lt;20/24)</formula>
    </cfRule>
    <cfRule type="expression" dxfId="6400" priority="428">
      <formula>AND(C$9&gt;=8/24,C$9&lt;14/24)</formula>
    </cfRule>
    <cfRule type="expression" dxfId="6399" priority="429">
      <formula>C$9&lt;8/24</formula>
    </cfRule>
  </conditionalFormatting>
  <conditionalFormatting sqref="A221">
    <cfRule type="expression" dxfId="6398" priority="430">
      <formula>$AH221=0</formula>
    </cfRule>
  </conditionalFormatting>
  <conditionalFormatting sqref="AG233">
    <cfRule type="expression" dxfId="6397" priority="431">
      <formula>B$9&gt;=20/24</formula>
    </cfRule>
    <cfRule type="expression" dxfId="6396" priority="432">
      <formula>AND(B$9&gt;=14/24,B$9&lt;20/24)</formula>
    </cfRule>
    <cfRule type="expression" dxfId="6395" priority="433">
      <formula>AND(B$9&gt;=8/24,B$9&lt;14/24)</formula>
    </cfRule>
    <cfRule type="expression" dxfId="6394" priority="434">
      <formula>B$9&lt;8/24</formula>
    </cfRule>
  </conditionalFormatting>
  <conditionalFormatting sqref="S8">
    <cfRule type="expression" dxfId="6393" priority="394">
      <formula>U$9&gt;=20/24</formula>
    </cfRule>
    <cfRule type="expression" dxfId="6392" priority="395">
      <formula>AND(U$9&gt;=14/24,U$9&lt;20/24)</formula>
    </cfRule>
    <cfRule type="expression" dxfId="6391" priority="396">
      <formula>AND(U$9&gt;=8/24,U$9&lt;14/24)</formula>
    </cfRule>
    <cfRule type="expression" dxfId="6390" priority="397">
      <formula>U$9&lt;8/24</formula>
    </cfRule>
  </conditionalFormatting>
  <conditionalFormatting sqref="AB8">
    <cfRule type="expression" dxfId="6389" priority="390">
      <formula>AD$9&gt;=20/24</formula>
    </cfRule>
    <cfRule type="expression" dxfId="6388" priority="391">
      <formula>AND(AD$9&gt;=14/24,AD$9&lt;20/24)</formula>
    </cfRule>
    <cfRule type="expression" dxfId="6387" priority="392">
      <formula>AND(AD$9&gt;=8/24,AD$9&lt;14/24)</formula>
    </cfRule>
    <cfRule type="expression" dxfId="6386" priority="393">
      <formula>AD$9&lt;8/24</formula>
    </cfRule>
  </conditionalFormatting>
  <conditionalFormatting sqref="AH233:AX233">
    <cfRule type="expression" dxfId="6385" priority="435">
      <formula>AG$9&gt;=20/24</formula>
    </cfRule>
    <cfRule type="expression" dxfId="6384" priority="436">
      <formula>AND(AG$9&gt;=14/24,AG$9&lt;20/24)</formula>
    </cfRule>
    <cfRule type="expression" dxfId="6383" priority="437">
      <formula>AND(AG$9&gt;=8/24,AG$9&lt;14/24)</formula>
    </cfRule>
    <cfRule type="expression" dxfId="6382" priority="438">
      <formula>AG$9&lt;8/24</formula>
    </cfRule>
  </conditionalFormatting>
  <conditionalFormatting sqref="T233">
    <cfRule type="expression" dxfId="6381" priority="439">
      <formula>AX$9&gt;=20/24</formula>
    </cfRule>
    <cfRule type="expression" dxfId="6380" priority="440">
      <formula>AND(AX$9&gt;=14/24,AX$9&lt;20/24)</formula>
    </cfRule>
    <cfRule type="expression" dxfId="6379" priority="441">
      <formula>AND(AX$9&gt;=8/24,AX$9&lt;14/24)</formula>
    </cfRule>
    <cfRule type="expression" dxfId="6378" priority="442">
      <formula>AX$9&lt;8/24</formula>
    </cfRule>
  </conditionalFormatting>
  <conditionalFormatting sqref="A104:A105">
    <cfRule type="expression" dxfId="6377" priority="389">
      <formula>$AH104=0</formula>
    </cfRule>
  </conditionalFormatting>
  <conditionalFormatting sqref="E44:L45 V44:W45 Z44:AF45 C61:AF61">
    <cfRule type="expression" dxfId="6376" priority="385">
      <formula>C$9&gt;=20/24</formula>
    </cfRule>
    <cfRule type="expression" dxfId="6375" priority="386">
      <formula>AND(C$9&gt;=14/24,C$9&lt;20/24)</formula>
    </cfRule>
    <cfRule type="expression" dxfId="6374" priority="387">
      <formula>AND(C$9&gt;=8/24,C$9&lt;14/24)</formula>
    </cfRule>
    <cfRule type="expression" dxfId="6373" priority="388">
      <formula>C$9&lt;8/24</formula>
    </cfRule>
  </conditionalFormatting>
  <conditionalFormatting sqref="V43:W43 E43:L43 Z43:AF43">
    <cfRule type="expression" dxfId="6372" priority="381">
      <formula>E$9&gt;=20/24</formula>
    </cfRule>
    <cfRule type="expression" dxfId="6371" priority="382">
      <formula>AND(E$9&gt;=14/24,E$9&lt;20/24)</formula>
    </cfRule>
    <cfRule type="expression" dxfId="6370" priority="383">
      <formula>AND(E$9&gt;=8/24,E$9&lt;14/24)</formula>
    </cfRule>
    <cfRule type="expression" dxfId="6369" priority="384">
      <formula>E$9&lt;8/24</formula>
    </cfRule>
  </conditionalFormatting>
  <conditionalFormatting sqref="E43:L45 V43:W45 Z43:AF45">
    <cfRule type="expression" dxfId="6368" priority="380">
      <formula>E43&gt;$AG43</formula>
    </cfRule>
  </conditionalFormatting>
  <conditionalFormatting sqref="C86:AF86 C62:T63 C76:AF76 M37:Q37 C68:C71 C64:M67 N64:T66 S67:T71 D71:R71 N67:R67 N36:Q36 R36:AA37 C57:AF59 C90:AF96 E73:AF75 M16:AF16 P25:AF25 M18:AF21 M11:AF14 AB36:AF36 U62:AF71">
    <cfRule type="expression" dxfId="6367" priority="376">
      <formula>C$9&gt;=20/24</formula>
    </cfRule>
    <cfRule type="expression" dxfId="6366" priority="377">
      <formula>AND(C$9&gt;=14/24,C$9&lt;20/24)</formula>
    </cfRule>
    <cfRule type="expression" dxfId="6365" priority="378">
      <formula>AND(C$9&gt;=8/24,C$9&lt;14/24)</formula>
    </cfRule>
    <cfRule type="expression" dxfId="6364" priority="379">
      <formula>C$9&lt;8/24</formula>
    </cfRule>
  </conditionalFormatting>
  <conditionalFormatting sqref="M12:N15 C55:AF55 E37:Q37 E46:I47 J46:L48 M47:M48 N36:Q36 R36:AA37 C57:AF59 AE27:AF27 M11:AF11 P25:AF25 M18:AF21 AB36:AF36">
    <cfRule type="expression" dxfId="6363" priority="371">
      <formula>C11&gt;$AG11</formula>
    </cfRule>
  </conditionalFormatting>
  <conditionalFormatting sqref="M15:AF15">
    <cfRule type="expression" dxfId="6362" priority="363">
      <formula>M$9&gt;=20/24</formula>
    </cfRule>
    <cfRule type="expression" dxfId="6361" priority="364">
      <formula>AND(M$9&gt;=14/24,M$9&lt;20/24)</formula>
    </cfRule>
    <cfRule type="expression" dxfId="6360" priority="365">
      <formula>AND(M$9&gt;=8/24,M$9&lt;14/24)</formula>
    </cfRule>
    <cfRule type="expression" dxfId="6359" priority="366">
      <formula>M$9&lt;8/24</formula>
    </cfRule>
  </conditionalFormatting>
  <conditionalFormatting sqref="V46:AF47">
    <cfRule type="expression" dxfId="6358" priority="350">
      <formula>V$9&gt;=20/24</formula>
    </cfRule>
    <cfRule type="expression" dxfId="6357" priority="351">
      <formula>AND(V$9&gt;=14/24,V$9&lt;20/24)</formula>
    </cfRule>
    <cfRule type="expression" dxfId="6356" priority="352">
      <formula>AND(V$9&gt;=8/24,V$9&lt;14/24)</formula>
    </cfRule>
    <cfRule type="expression" dxfId="6355" priority="353">
      <formula>V$9&lt;8/24</formula>
    </cfRule>
  </conditionalFormatting>
  <conditionalFormatting sqref="V46:AF47">
    <cfRule type="expression" dxfId="6354" priority="349">
      <formula>V46&gt;$AG46</formula>
    </cfRule>
  </conditionalFormatting>
  <conditionalFormatting sqref="M43:Q46 N47:Q52 R43:U52 V48:AF54">
    <cfRule type="expression" dxfId="6353" priority="345">
      <formula>M$9&gt;=20/24</formula>
    </cfRule>
    <cfRule type="expression" dxfId="6352" priority="346">
      <formula>AND(M$9&gt;=14/24,M$9&lt;20/24)</formula>
    </cfRule>
    <cfRule type="expression" dxfId="6351" priority="347">
      <formula>AND(M$9&gt;=8/24,M$9&lt;14/24)</formula>
    </cfRule>
    <cfRule type="expression" dxfId="6350" priority="348">
      <formula>M$9&lt;8/24</formula>
    </cfRule>
  </conditionalFormatting>
  <conditionalFormatting sqref="M43:Q46 N47:Q52 R43:U52 V48:AF54">
    <cfRule type="expression" dxfId="6349" priority="344">
      <formula>M43&gt;$AG43</formula>
    </cfRule>
  </conditionalFormatting>
  <conditionalFormatting sqref="AE27:AF27">
    <cfRule type="expression" dxfId="6348" priority="340">
      <formula>AE$9&gt;=20/24</formula>
    </cfRule>
    <cfRule type="expression" dxfId="6347" priority="341">
      <formula>AND(AE$9&gt;=14/24,AE$9&lt;20/24)</formula>
    </cfRule>
    <cfRule type="expression" dxfId="6346" priority="342">
      <formula>AND(AE$9&gt;=8/24,AE$9&lt;14/24)</formula>
    </cfRule>
    <cfRule type="expression" dxfId="6345" priority="343">
      <formula>AE$9&lt;8/24</formula>
    </cfRule>
  </conditionalFormatting>
  <conditionalFormatting sqref="M17:AF17">
    <cfRule type="expression" dxfId="6344" priority="336">
      <formula>M$9&gt;=20/24</formula>
    </cfRule>
    <cfRule type="expression" dxfId="6343" priority="337">
      <formula>AND(M$9&gt;=14/24,M$9&lt;20/24)</formula>
    </cfRule>
    <cfRule type="expression" dxfId="6342" priority="338">
      <formula>AND(M$9&gt;=8/24,M$9&lt;14/24)</formula>
    </cfRule>
    <cfRule type="expression" dxfId="6341" priority="339">
      <formula>M$9&lt;8/24</formula>
    </cfRule>
  </conditionalFormatting>
  <conditionalFormatting sqref="M17:AF17">
    <cfRule type="expression" dxfId="6340" priority="331">
      <formula>M17&gt;$AG17</formula>
    </cfRule>
  </conditionalFormatting>
  <conditionalFormatting sqref="D44:D45">
    <cfRule type="expression" dxfId="6339" priority="314">
      <formula>D$9&gt;=20/24</formula>
    </cfRule>
    <cfRule type="expression" dxfId="6338" priority="315">
      <formula>AND(D$9&gt;=14/24,D$9&lt;20/24)</formula>
    </cfRule>
    <cfRule type="expression" dxfId="6337" priority="316">
      <formula>AND(D$9&gt;=8/24,D$9&lt;14/24)</formula>
    </cfRule>
    <cfRule type="expression" dxfId="6336" priority="317">
      <formula>D$9&lt;8/24</formula>
    </cfRule>
  </conditionalFormatting>
  <conditionalFormatting sqref="D43">
    <cfRule type="expression" dxfId="6335" priority="310">
      <formula>D$9&gt;=20/24</formula>
    </cfRule>
    <cfRule type="expression" dxfId="6334" priority="311">
      <formula>AND(D$9&gt;=14/24,D$9&lt;20/24)</formula>
    </cfRule>
    <cfRule type="expression" dxfId="6333" priority="312">
      <formula>AND(D$9&gt;=8/24,D$9&lt;14/24)</formula>
    </cfRule>
    <cfRule type="expression" dxfId="6332" priority="313">
      <formula>D$9&lt;8/24</formula>
    </cfRule>
  </conditionalFormatting>
  <conditionalFormatting sqref="D43:D45">
    <cfRule type="expression" dxfId="6331" priority="309">
      <formula>D43&gt;$AG43</formula>
    </cfRule>
  </conditionalFormatting>
  <conditionalFormatting sqref="D68:R70">
    <cfRule type="expression" dxfId="6330" priority="305">
      <formula>D$9&gt;=20/24</formula>
    </cfRule>
    <cfRule type="expression" dxfId="6329" priority="306">
      <formula>AND(D$9&gt;=14/24,D$9&lt;20/24)</formula>
    </cfRule>
    <cfRule type="expression" dxfId="6328" priority="307">
      <formula>AND(D$9&gt;=8/24,D$9&lt;14/24)</formula>
    </cfRule>
    <cfRule type="expression" dxfId="6327" priority="308">
      <formula>D$9&lt;8/24</formula>
    </cfRule>
  </conditionalFormatting>
  <conditionalFormatting sqref="D46:D47">
    <cfRule type="expression" dxfId="6326" priority="304">
      <formula>D46&gt;$AG46</formula>
    </cfRule>
  </conditionalFormatting>
  <conditionalFormatting sqref="D48:I54 J49:M54 N53:U54">
    <cfRule type="expression" dxfId="6325" priority="300">
      <formula>D$9&gt;=20/24</formula>
    </cfRule>
    <cfRule type="expression" dxfId="6324" priority="301">
      <formula>AND(D$9&gt;=14/24,D$9&lt;20/24)</formula>
    </cfRule>
    <cfRule type="expression" dxfId="6323" priority="302">
      <formula>AND(D$9&gt;=8/24,D$9&lt;14/24)</formula>
    </cfRule>
    <cfRule type="expression" dxfId="6322" priority="303">
      <formula>D$9&lt;8/24</formula>
    </cfRule>
  </conditionalFormatting>
  <conditionalFormatting sqref="D48:I54 J49:M54 N53:U54">
    <cfRule type="expression" dxfId="6321" priority="299">
      <formula>D48&gt;$AG48</formula>
    </cfRule>
  </conditionalFormatting>
  <conditionalFormatting sqref="X44:Y45">
    <cfRule type="expression" dxfId="6320" priority="295">
      <formula>X$9&gt;=20/24</formula>
    </cfRule>
    <cfRule type="expression" dxfId="6319" priority="296">
      <formula>AND(X$9&gt;=14/24,X$9&lt;20/24)</formula>
    </cfRule>
    <cfRule type="expression" dxfId="6318" priority="297">
      <formula>AND(X$9&gt;=8/24,X$9&lt;14/24)</formula>
    </cfRule>
    <cfRule type="expression" dxfId="6317" priority="298">
      <formula>X$9&lt;8/24</formula>
    </cfRule>
  </conditionalFormatting>
  <conditionalFormatting sqref="X43:Y43">
    <cfRule type="expression" dxfId="6316" priority="291">
      <formula>X$9&gt;=20/24</formula>
    </cfRule>
    <cfRule type="expression" dxfId="6315" priority="292">
      <formula>AND(X$9&gt;=14/24,X$9&lt;20/24)</formula>
    </cfRule>
    <cfRule type="expression" dxfId="6314" priority="293">
      <formula>AND(X$9&gt;=8/24,X$9&lt;14/24)</formula>
    </cfRule>
    <cfRule type="expression" dxfId="6313" priority="294">
      <formula>X$9&lt;8/24</formula>
    </cfRule>
  </conditionalFormatting>
  <conditionalFormatting sqref="X43:Y45">
    <cfRule type="expression" dxfId="6312" priority="290">
      <formula>X43&gt;$AG43</formula>
    </cfRule>
  </conditionalFormatting>
  <conditionalFormatting sqref="C78:AF78 C87:AF87">
    <cfRule type="expression" dxfId="6311" priority="286">
      <formula>C$9&gt;=20/24</formula>
    </cfRule>
    <cfRule type="expression" dxfId="6310" priority="287">
      <formula>AND(C$9&gt;=14/24,C$9&lt;20/24)</formula>
    </cfRule>
    <cfRule type="expression" dxfId="6309" priority="288">
      <formula>AND(C$9&gt;=8/24,C$9&lt;14/24)</formula>
    </cfRule>
    <cfRule type="expression" dxfId="6308" priority="289">
      <formula>C$9&lt;8/24</formula>
    </cfRule>
  </conditionalFormatting>
  <conditionalFormatting sqref="B35:AF35">
    <cfRule type="expression" dxfId="6307" priority="79">
      <formula>B$9&gt;=20/24</formula>
    </cfRule>
    <cfRule type="expression" dxfId="6306" priority="80">
      <formula>AND(B$9&gt;=14/24,B$9&lt;20/24)</formula>
    </cfRule>
    <cfRule type="expression" dxfId="6305" priority="81">
      <formula>AND(B$9&gt;=8/24,B$9&lt;14/24)</formula>
    </cfRule>
    <cfRule type="expression" dxfId="6304" priority="82">
      <formula>B$9&lt;8/24</formula>
    </cfRule>
  </conditionalFormatting>
  <conditionalFormatting sqref="C79:AF79 C60:AG60 C77:AG77 C88:AF88">
    <cfRule type="expression" dxfId="6303" priority="264">
      <formula>C$9&gt;=20/24</formula>
    </cfRule>
    <cfRule type="expression" dxfId="6302" priority="265">
      <formula>AND(C$9&gt;=14/24,C$9&lt;20/24)</formula>
    </cfRule>
    <cfRule type="expression" dxfId="6301" priority="266">
      <formula>AND(C$9&gt;=8/24,C$9&lt;14/24)</formula>
    </cfRule>
    <cfRule type="expression" dxfId="6300" priority="267">
      <formula>C$9&lt;8/24</formula>
    </cfRule>
  </conditionalFormatting>
  <conditionalFormatting sqref="B48:C54">
    <cfRule type="expression" dxfId="6299" priority="70">
      <formula>B$9&gt;=20/24</formula>
    </cfRule>
    <cfRule type="expression" dxfId="6298" priority="71">
      <formula>AND(B$9&gt;=14/24,B$9&lt;20/24)</formula>
    </cfRule>
    <cfRule type="expression" dxfId="6297" priority="72">
      <formula>AND(B$9&gt;=8/24,B$9&lt;14/24)</formula>
    </cfRule>
    <cfRule type="expression" dxfId="6296" priority="73">
      <formula>B$9&lt;8/24</formula>
    </cfRule>
  </conditionalFormatting>
  <conditionalFormatting sqref="C38:AG38 C56:AG56 C60:AG60">
    <cfRule type="expression" dxfId="6295" priority="259">
      <formula>C38&gt;$AG38</formula>
    </cfRule>
  </conditionalFormatting>
  <conditionalFormatting sqref="B78 B87 B11:L11">
    <cfRule type="expression" dxfId="6294" priority="65">
      <formula>B$9&gt;=20/24</formula>
    </cfRule>
    <cfRule type="expression" dxfId="6293" priority="66">
      <formula>AND(B$9&gt;=14/24,B$9&lt;20/24)</formula>
    </cfRule>
    <cfRule type="expression" dxfId="6292" priority="67">
      <formula>AND(B$9&gt;=8/24,B$9&lt;14/24)</formula>
    </cfRule>
    <cfRule type="expression" dxfId="6291" priority="68">
      <formula>B$9&lt;8/24</formula>
    </cfRule>
  </conditionalFormatting>
  <conditionalFormatting sqref="A34">
    <cfRule type="expression" dxfId="6290" priority="231">
      <formula>$AH34=0</formula>
    </cfRule>
  </conditionalFormatting>
  <conditionalFormatting sqref="C72:AF72">
    <cfRule type="expression" dxfId="6289" priority="227">
      <formula>C$9&gt;=20/24</formula>
    </cfRule>
    <cfRule type="expression" dxfId="6288" priority="228">
      <formula>AND(C$9&gt;=14/24,C$9&lt;20/24)</formula>
    </cfRule>
    <cfRule type="expression" dxfId="6287" priority="229">
      <formula>AND(C$9&gt;=8/24,C$9&lt;14/24)</formula>
    </cfRule>
    <cfRule type="expression" dxfId="6286" priority="230">
      <formula>C$9&lt;8/24</formula>
    </cfRule>
  </conditionalFormatting>
  <conditionalFormatting sqref="C81:AF85">
    <cfRule type="expression" dxfId="6285" priority="223">
      <formula>C$9&gt;=20/24</formula>
    </cfRule>
    <cfRule type="expression" dxfId="6284" priority="224">
      <formula>AND(C$9&gt;=14/24,C$9&lt;20/24)</formula>
    </cfRule>
    <cfRule type="expression" dxfId="6283" priority="225">
      <formula>AND(C$9&gt;=8/24,C$9&lt;14/24)</formula>
    </cfRule>
    <cfRule type="expression" dxfId="6282" priority="226">
      <formula>C$9&lt;8/24</formula>
    </cfRule>
  </conditionalFormatting>
  <conditionalFormatting sqref="AL35 AL7:AL30 AL32">
    <cfRule type="iconSet" priority="443">
      <iconSet iconSet="3TrafficLights2" reverse="1">
        <cfvo type="percent" val="0"/>
        <cfvo type="num" val="1"/>
        <cfvo type="num" val="1"/>
      </iconSet>
    </cfRule>
  </conditionalFormatting>
  <conditionalFormatting sqref="D39:AF41">
    <cfRule type="expression" dxfId="6281" priority="219">
      <formula>D$9&gt;=20/24</formula>
    </cfRule>
    <cfRule type="expression" dxfId="6280" priority="220">
      <formula>AND(D$9&gt;=14/24,D$9&lt;20/24)</formula>
    </cfRule>
    <cfRule type="expression" dxfId="6279" priority="221">
      <formula>AND(D$9&gt;=8/24,D$9&lt;14/24)</formula>
    </cfRule>
    <cfRule type="expression" dxfId="6278" priority="222">
      <formula>D$9&lt;8/24</formula>
    </cfRule>
  </conditionalFormatting>
  <conditionalFormatting sqref="D39:AF41">
    <cfRule type="expression" dxfId="6277" priority="218">
      <formula>D39&gt;$AG39</formula>
    </cfRule>
  </conditionalFormatting>
  <conditionalFormatting sqref="C42:AG42">
    <cfRule type="expression" dxfId="6276" priority="214">
      <formula>C$9&gt;=20/24</formula>
    </cfRule>
    <cfRule type="expression" dxfId="6275" priority="215">
      <formula>AND(C$9&gt;=14/24,C$9&lt;20/24)</formula>
    </cfRule>
    <cfRule type="expression" dxfId="6274" priority="216">
      <formula>AND(C$9&gt;=8/24,C$9&lt;14/24)</formula>
    </cfRule>
    <cfRule type="expression" dxfId="6273" priority="217">
      <formula>C$9&lt;8/24</formula>
    </cfRule>
  </conditionalFormatting>
  <conditionalFormatting sqref="C42:AG42">
    <cfRule type="expression" dxfId="6272" priority="213">
      <formula>C42&gt;$AG42</formula>
    </cfRule>
  </conditionalFormatting>
  <conditionalFormatting sqref="C97:AF97">
    <cfRule type="expression" dxfId="6271" priority="209">
      <formula>C$9&gt;=20/24</formula>
    </cfRule>
    <cfRule type="expression" dxfId="6270" priority="210">
      <formula>AND(C$9&gt;=14/24,C$9&lt;20/24)</formula>
    </cfRule>
    <cfRule type="expression" dxfId="6269" priority="211">
      <formula>AND(C$9&gt;=8/24,C$9&lt;14/24)</formula>
    </cfRule>
    <cfRule type="expression" dxfId="6268" priority="212">
      <formula>C$9&lt;8/24</formula>
    </cfRule>
  </conditionalFormatting>
  <conditionalFormatting sqref="B97">
    <cfRule type="expression" dxfId="6267" priority="15">
      <formula>B$9&gt;=20/24</formula>
    </cfRule>
    <cfRule type="expression" dxfId="6266" priority="16">
      <formula>AND(B$9&gt;=14/24,B$9&lt;20/24)</formula>
    </cfRule>
    <cfRule type="expression" dxfId="6265" priority="17">
      <formula>AND(B$9&gt;=8/24,B$9&lt;14/24)</formula>
    </cfRule>
    <cfRule type="expression" dxfId="6264" priority="18">
      <formula>B$9&lt;8/24</formula>
    </cfRule>
  </conditionalFormatting>
  <conditionalFormatting sqref="B99:B105">
    <cfRule type="expression" dxfId="6263" priority="106">
      <formula>B$9&gt;=20/24</formula>
    </cfRule>
    <cfRule type="expression" dxfId="6262" priority="107">
      <formula>AND(B$9&gt;=14/24,B$9&lt;20/24)</formula>
    </cfRule>
    <cfRule type="expression" dxfId="6261" priority="108">
      <formula>AND(B$9&gt;=8/24,B$9&lt;14/24)</formula>
    </cfRule>
    <cfRule type="expression" dxfId="6260" priority="109">
      <formula>B$9&lt;8/24</formula>
    </cfRule>
  </conditionalFormatting>
  <conditionalFormatting sqref="B37:D37">
    <cfRule type="expression" dxfId="6259" priority="102">
      <formula>B$9&gt;=20/24</formula>
    </cfRule>
    <cfRule type="expression" dxfId="6258" priority="103">
      <formula>AND(B$9&gt;=14/24,B$9&lt;20/24)</formula>
    </cfRule>
    <cfRule type="expression" dxfId="6257" priority="104">
      <formula>AND(B$9&gt;=8/24,B$9&lt;14/24)</formula>
    </cfRule>
    <cfRule type="expression" dxfId="6256" priority="105">
      <formula>B$9&lt;8/24</formula>
    </cfRule>
  </conditionalFormatting>
  <conditionalFormatting sqref="B37:D37 B12:L16 B35:AF35">
    <cfRule type="expression" dxfId="6255" priority="101">
      <formula>B12&gt;$AG12</formula>
    </cfRule>
  </conditionalFormatting>
  <conditionalFormatting sqref="B89">
    <cfRule type="expression" dxfId="6254" priority="97">
      <formula>B$9&gt;=20/24</formula>
    </cfRule>
    <cfRule type="expression" dxfId="6253" priority="98">
      <formula>AND(B$9&gt;=14/24,B$9&lt;20/24)</formula>
    </cfRule>
    <cfRule type="expression" dxfId="6252" priority="99">
      <formula>AND(B$9&gt;=8/24,B$9&lt;14/24)</formula>
    </cfRule>
    <cfRule type="expression" dxfId="6251" priority="100">
      <formula>B$9&lt;8/24</formula>
    </cfRule>
  </conditionalFormatting>
  <conditionalFormatting sqref="B61 B44:C45">
    <cfRule type="expression" dxfId="6250" priority="93">
      <formula>B$9&gt;=20/24</formula>
    </cfRule>
    <cfRule type="expression" dxfId="6249" priority="94">
      <formula>AND(B$9&gt;=14/24,B$9&lt;20/24)</formula>
    </cfRule>
    <cfRule type="expression" dxfId="6248" priority="95">
      <formula>AND(B$9&gt;=8/24,B$9&lt;14/24)</formula>
    </cfRule>
    <cfRule type="expression" dxfId="6247" priority="96">
      <formula>B$9&lt;8/24</formula>
    </cfRule>
  </conditionalFormatting>
  <conditionalFormatting sqref="B43:C43">
    <cfRule type="expression" dxfId="6246" priority="89">
      <formula>B$9&gt;=20/24</formula>
    </cfRule>
    <cfRule type="expression" dxfId="6245" priority="90">
      <formula>AND(B$9&gt;=14/24,B$9&lt;20/24)</formula>
    </cfRule>
    <cfRule type="expression" dxfId="6244" priority="91">
      <formula>AND(B$9&gt;=8/24,B$9&lt;14/24)</formula>
    </cfRule>
    <cfRule type="expression" dxfId="6243" priority="92">
      <formula>B$9&lt;8/24</formula>
    </cfRule>
  </conditionalFormatting>
  <conditionalFormatting sqref="B43:C45">
    <cfRule type="expression" dxfId="6242" priority="88">
      <formula>B43&gt;$AG43</formula>
    </cfRule>
  </conditionalFormatting>
  <conditionalFormatting sqref="B86 B90:B96 B57:B59 B73:B76 B62:B71 C73:D75">
    <cfRule type="expression" dxfId="6241" priority="84">
      <formula>B$9&gt;=20/24</formula>
    </cfRule>
    <cfRule type="expression" dxfId="6240" priority="85">
      <formula>AND(B$9&gt;=14/24,B$9&lt;20/24)</formula>
    </cfRule>
    <cfRule type="expression" dxfId="6239" priority="86">
      <formula>AND(B$9&gt;=8/24,B$9&lt;14/24)</formula>
    </cfRule>
    <cfRule type="expression" dxfId="6238" priority="87">
      <formula>B$9&lt;8/24</formula>
    </cfRule>
  </conditionalFormatting>
  <conditionalFormatting sqref="B55 B57:B59 B46:C47">
    <cfRule type="expression" dxfId="6237" priority="83">
      <formula>B46&gt;$AG46</formula>
    </cfRule>
  </conditionalFormatting>
  <conditionalFormatting sqref="B34:AF34">
    <cfRule type="expression" dxfId="6236" priority="75">
      <formula>B$9&gt;=20/24</formula>
    </cfRule>
    <cfRule type="expression" dxfId="6235" priority="76">
      <formula>AND(B$9&gt;=14/24,B$9&lt;20/24)</formula>
    </cfRule>
    <cfRule type="expression" dxfId="6234" priority="77">
      <formula>AND(B$9&gt;=8/24,B$9&lt;14/24)</formula>
    </cfRule>
    <cfRule type="expression" dxfId="6233" priority="78">
      <formula>B$9&lt;8/24</formula>
    </cfRule>
  </conditionalFormatting>
  <conditionalFormatting sqref="B34:AF34">
    <cfRule type="expression" dxfId="6232" priority="74">
      <formula>B34&gt;$AG34</formula>
    </cfRule>
  </conditionalFormatting>
  <conditionalFormatting sqref="B48:C54">
    <cfRule type="expression" dxfId="6231" priority="69">
      <formula>B48&gt;$AG48</formula>
    </cfRule>
  </conditionalFormatting>
  <conditionalFormatting sqref="B11:L11">
    <cfRule type="expression" dxfId="6230" priority="64">
      <formula>B11&gt;$AG11</formula>
    </cfRule>
  </conditionalFormatting>
  <conditionalFormatting sqref="B36:M36">
    <cfRule type="expression" dxfId="6229" priority="60">
      <formula>B$9&gt;=20/24</formula>
    </cfRule>
    <cfRule type="expression" dxfId="6228" priority="61">
      <formula>AND(B$9&gt;=14/24,B$9&lt;20/24)</formula>
    </cfRule>
    <cfRule type="expression" dxfId="6227" priority="62">
      <formula>AND(B$9&gt;=8/24,B$9&lt;14/24)</formula>
    </cfRule>
    <cfRule type="expression" dxfId="6226" priority="63">
      <formula>B$9&lt;8/24</formula>
    </cfRule>
  </conditionalFormatting>
  <conditionalFormatting sqref="B36:M36">
    <cfRule type="expression" dxfId="6225" priority="59">
      <formula>B36&gt;$AG36</formula>
    </cfRule>
  </conditionalFormatting>
  <conditionalFormatting sqref="B79 B60 B77 B88 B12:L14 B16:L16 B18:L22 B24:O26 M22:AF22 P24:AF24 P26:AF26 B28:AF30 B32:AF32">
    <cfRule type="expression" dxfId="6224" priority="55">
      <formula>B$9&gt;=20/24</formula>
    </cfRule>
    <cfRule type="expression" dxfId="6223" priority="56">
      <formula>AND(B$9&gt;=14/24,B$9&lt;20/24)</formula>
    </cfRule>
    <cfRule type="expression" dxfId="6222" priority="57">
      <formula>AND(B$9&gt;=8/24,B$9&lt;14/24)</formula>
    </cfRule>
    <cfRule type="expression" dxfId="6221" priority="58">
      <formula>B$9&lt;8/24</formula>
    </cfRule>
  </conditionalFormatting>
  <conditionalFormatting sqref="B33:AF33">
    <cfRule type="expression" dxfId="6220" priority="51">
      <formula>B$9&gt;=20/24</formula>
    </cfRule>
    <cfRule type="expression" dxfId="6219" priority="52">
      <formula>AND(B$9&gt;=14/24,B$9&lt;20/24)</formula>
    </cfRule>
    <cfRule type="expression" dxfId="6218" priority="53">
      <formula>AND(B$9&gt;=8/24,B$9&lt;14/24)</formula>
    </cfRule>
    <cfRule type="expression" dxfId="6217" priority="54">
      <formula>B$9&lt;8/24</formula>
    </cfRule>
  </conditionalFormatting>
  <conditionalFormatting sqref="B38 B56 B60 B18:L22 B24:O30 P26:AD30 M22:AF22 P24:AF24 AE26:AF26 AE28:AF30 B32:AF33">
    <cfRule type="expression" dxfId="6216" priority="50">
      <formula>B18&gt;$AG18</formula>
    </cfRule>
  </conditionalFormatting>
  <conditionalFormatting sqref="B15:L15">
    <cfRule type="expression" dxfId="6215" priority="46">
      <formula>B$9&gt;=20/24</formula>
    </cfRule>
    <cfRule type="expression" dxfId="6214" priority="47">
      <formula>AND(B$9&gt;=14/24,B$9&lt;20/24)</formula>
    </cfRule>
    <cfRule type="expression" dxfId="6213" priority="48">
      <formula>AND(B$9&gt;=8/24,B$9&lt;14/24)</formula>
    </cfRule>
    <cfRule type="expression" dxfId="6212" priority="49">
      <formula>B$9&lt;8/24</formula>
    </cfRule>
  </conditionalFormatting>
  <conditionalFormatting sqref="B27:AD27">
    <cfRule type="expression" dxfId="6211" priority="42">
      <formula>B$9&gt;=20/24</formula>
    </cfRule>
    <cfRule type="expression" dxfId="6210" priority="43">
      <formula>AND(B$9&gt;=14/24,B$9&lt;20/24)</formula>
    </cfRule>
    <cfRule type="expression" dxfId="6209" priority="44">
      <formula>AND(B$9&gt;=8/24,B$9&lt;14/24)</formula>
    </cfRule>
    <cfRule type="expression" dxfId="6208" priority="45">
      <formula>B$9&lt;8/24</formula>
    </cfRule>
  </conditionalFormatting>
  <conditionalFormatting sqref="B17:L17 B23:AF23">
    <cfRule type="expression" dxfId="6207" priority="38">
      <formula>B$9&gt;=20/24</formula>
    </cfRule>
    <cfRule type="expression" dxfId="6206" priority="39">
      <formula>AND(B$9&gt;=14/24,B$9&lt;20/24)</formula>
    </cfRule>
    <cfRule type="expression" dxfId="6205" priority="40">
      <formula>AND(B$9&gt;=8/24,B$9&lt;14/24)</formula>
    </cfRule>
    <cfRule type="expression" dxfId="6204" priority="41">
      <formula>B$9&lt;8/24</formula>
    </cfRule>
  </conditionalFormatting>
  <conditionalFormatting sqref="B17:L17 B23:AF23">
    <cfRule type="expression" dxfId="6203" priority="37">
      <formula>B17&gt;$AG17</formula>
    </cfRule>
  </conditionalFormatting>
  <conditionalFormatting sqref="B72">
    <cfRule type="expression" dxfId="6202" priority="33">
      <formula>B$9&gt;=20/24</formula>
    </cfRule>
    <cfRule type="expression" dxfId="6201" priority="34">
      <formula>AND(B$9&gt;=14/24,B$9&lt;20/24)</formula>
    </cfRule>
    <cfRule type="expression" dxfId="6200" priority="35">
      <formula>AND(B$9&gt;=8/24,B$9&lt;14/24)</formula>
    </cfRule>
    <cfRule type="expression" dxfId="6199" priority="36">
      <formula>B$9&lt;8/24</formula>
    </cfRule>
  </conditionalFormatting>
  <conditionalFormatting sqref="B81:B85">
    <cfRule type="expression" dxfId="6198" priority="29">
      <formula>B$9&gt;=20/24</formula>
    </cfRule>
    <cfRule type="expression" dxfId="6197" priority="30">
      <formula>AND(B$9&gt;=14/24,B$9&lt;20/24)</formula>
    </cfRule>
    <cfRule type="expression" dxfId="6196" priority="31">
      <formula>AND(B$9&gt;=8/24,B$9&lt;14/24)</formula>
    </cfRule>
    <cfRule type="expression" dxfId="6195" priority="32">
      <formula>B$9&lt;8/24</formula>
    </cfRule>
  </conditionalFormatting>
  <conditionalFormatting sqref="B39:C41">
    <cfRule type="expression" dxfId="6194" priority="25">
      <formula>B$9&gt;=20/24</formula>
    </cfRule>
    <cfRule type="expression" dxfId="6193" priority="26">
      <formula>AND(B$9&gt;=14/24,B$9&lt;20/24)</formula>
    </cfRule>
    <cfRule type="expression" dxfId="6192" priority="27">
      <formula>AND(B$9&gt;=8/24,B$9&lt;14/24)</formula>
    </cfRule>
    <cfRule type="expression" dxfId="6191" priority="28">
      <formula>B$9&lt;8/24</formula>
    </cfRule>
  </conditionalFormatting>
  <conditionalFormatting sqref="B39:C41">
    <cfRule type="expression" dxfId="6190" priority="24">
      <formula>B39&gt;$AG39</formula>
    </cfRule>
  </conditionalFormatting>
  <conditionalFormatting sqref="B42">
    <cfRule type="expression" dxfId="6189" priority="20">
      <formula>B$9&gt;=20/24</formula>
    </cfRule>
    <cfRule type="expression" dxfId="6188" priority="21">
      <formula>AND(B$9&gt;=14/24,B$9&lt;20/24)</formula>
    </cfRule>
    <cfRule type="expression" dxfId="6187" priority="22">
      <formula>AND(B$9&gt;=8/24,B$9&lt;14/24)</formula>
    </cfRule>
    <cfRule type="expression" dxfId="6186" priority="23">
      <formula>B$9&lt;8/24</formula>
    </cfRule>
  </conditionalFormatting>
  <conditionalFormatting sqref="B42">
    <cfRule type="expression" dxfId="6185" priority="19">
      <formula>B42&gt;$AG42</formula>
    </cfRule>
  </conditionalFormatting>
  <conditionalFormatting sqref="AL31">
    <cfRule type="iconSet" priority="14">
      <iconSet iconSet="3TrafficLights2" reverse="1">
        <cfvo type="percent" val="0"/>
        <cfvo type="num" val="1"/>
        <cfvo type="num" val="1"/>
      </iconSet>
    </cfRule>
  </conditionalFormatting>
  <conditionalFormatting sqref="A79">
    <cfRule type="expression" dxfId="6184" priority="2">
      <formula>$AH79=0</formula>
    </cfRule>
  </conditionalFormatting>
  <conditionalFormatting sqref="A80">
    <cfRule type="expression" dxfId="6183" priority="1">
      <formula>$AH80=0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62B67107-0ACB-4C40-B947-AC5A7138C454}">
            <xm:f>'2'!$AH31=0</xm:f>
            <x14:dxf>
              <fill>
                <patternFill>
                  <bgColor rgb="FF51E2F1"/>
                </patternFill>
              </fill>
            </x14:dxf>
          </x14:cfRule>
          <xm:sqref>A31</xm:sqref>
        </x14:conditionalFormatting>
        <x14:conditionalFormatting xmlns:xm="http://schemas.microsoft.com/office/excel/2006/main">
          <x14:cfRule type="expression" priority="9" id="{2327F883-4DBE-4360-A989-58BD1AF51C4A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" id="{396FBD1E-A2AF-46BD-8533-7935E793388B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1" id="{456A842B-84E9-4F7B-9813-0BDB95EB291E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2" id="{ADAF3C28-C8C1-41D4-9B17-25813F6D3DCE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8" id="{B2116CAB-7661-4C85-AA72-01BDECF24B0A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2"/>
  <sheetViews>
    <sheetView zoomScale="90" zoomScaleNormal="9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F61" sqref="F61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4" width="6.28515625" bestFit="1" customWidth="1"/>
    <col min="15" max="15" width="8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2079/02/5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("&amp;ROUND(B237,0)&amp;" MW)"&amp;"    IPP   = "&amp;ROUND(B232,0)&amp;" MW     NEA RoR = "&amp;ROUND(B233,0)&amp;" MWImport   = "&amp;ROUND(B235,0)&amp;" MW      KL1+KL2+K3 = "&amp;ROUND(B234,0) &amp;" MW    EXPORT = "&amp;ROUND(B236,0)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20</v>
      </c>
      <c r="C5" s="32">
        <f t="shared" si="0"/>
        <v>21.4</v>
      </c>
      <c r="D5" s="32">
        <f t="shared" si="0"/>
        <v>22.43</v>
      </c>
      <c r="E5" s="32">
        <f t="shared" si="0"/>
        <v>16.34</v>
      </c>
      <c r="F5" s="32">
        <f t="shared" si="0"/>
        <v>2</v>
      </c>
      <c r="G5" s="32">
        <f t="shared" si="0"/>
        <v>0</v>
      </c>
      <c r="H5" s="32">
        <f t="shared" si="0"/>
        <v>3.2</v>
      </c>
      <c r="I5" s="32">
        <f t="shared" si="0"/>
        <v>19.100000000000001</v>
      </c>
      <c r="J5" s="32">
        <f t="shared" si="0"/>
        <v>0</v>
      </c>
      <c r="K5" s="32">
        <f t="shared" si="0"/>
        <v>14.4</v>
      </c>
      <c r="L5" s="32">
        <f t="shared" si="0"/>
        <v>32.1</v>
      </c>
      <c r="M5" s="32">
        <f t="shared" si="0"/>
        <v>40.700000000000003</v>
      </c>
      <c r="N5" s="32">
        <f t="shared" si="0"/>
        <v>43.6</v>
      </c>
      <c r="O5" s="32">
        <f t="shared" si="0"/>
        <v>67.400000000000006</v>
      </c>
      <c r="P5" s="32">
        <f t="shared" si="0"/>
        <v>84.7</v>
      </c>
      <c r="Q5" s="32">
        <f t="shared" si="0"/>
        <v>71.78</v>
      </c>
      <c r="R5" s="32">
        <f t="shared" si="0"/>
        <v>21</v>
      </c>
      <c r="S5" s="32">
        <f t="shared" si="0"/>
        <v>27</v>
      </c>
      <c r="T5" s="32">
        <f t="shared" si="0"/>
        <v>45</v>
      </c>
      <c r="U5" s="32">
        <f t="shared" si="0"/>
        <v>41</v>
      </c>
      <c r="V5" s="32">
        <f t="shared" si="0"/>
        <v>40</v>
      </c>
      <c r="W5" s="32">
        <f t="shared" si="0"/>
        <v>33</v>
      </c>
      <c r="X5" s="32">
        <f t="shared" si="0"/>
        <v>34</v>
      </c>
      <c r="Y5" s="32">
        <f t="shared" si="0"/>
        <v>17</v>
      </c>
      <c r="Z5" s="32">
        <f t="shared" si="0"/>
        <v>14</v>
      </c>
      <c r="AA5" s="32">
        <f t="shared" si="0"/>
        <v>31.3</v>
      </c>
      <c r="AB5" s="32">
        <f t="shared" si="0"/>
        <v>35</v>
      </c>
      <c r="AC5" s="32">
        <f t="shared" si="0"/>
        <v>37</v>
      </c>
      <c r="AD5" s="32">
        <f t="shared" si="0"/>
        <v>4</v>
      </c>
      <c r="AE5" s="32">
        <f t="shared" si="0"/>
        <v>0</v>
      </c>
      <c r="AF5" s="32">
        <f>B72</f>
        <v>29.1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"&amp;ROUND(B237,0)&amp;"MW at "&amp;TRUNC(B238*24,0)&amp;":"&amp;ROUND((B238*24-TRUNC(B238*24,0))*60,0)&amp;"hr at "&amp;ROUND(B239,1)&amp;"Hz     "&amp;A229&amp;" "&amp;ROUND(B229,0)&amp;"MW at "&amp;TRUNC(C229*24,0)&amp;":"&amp;ROUND((C229*24-TRUNC(C229*24,0))*6,0)&amp;"0hr"</f>
        <v>Evening Peak 0MW at 0:0hr at 0Hz     Morning Peak 1785MW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Load=1683</v>
      </c>
      <c r="B7" s="37">
        <f>B79</f>
        <v>1798.2399999999998</v>
      </c>
      <c r="C7" s="37">
        <f t="shared" ref="C7:AE7" si="1">C79</f>
        <v>1761.04</v>
      </c>
      <c r="D7" s="37">
        <f t="shared" si="1"/>
        <v>1773.44</v>
      </c>
      <c r="E7" s="37">
        <f t="shared" si="1"/>
        <v>1775.17</v>
      </c>
      <c r="F7" s="37">
        <f t="shared" si="1"/>
        <v>1737.1799999999998</v>
      </c>
      <c r="G7" s="37">
        <f t="shared" si="1"/>
        <v>1713.24</v>
      </c>
      <c r="H7" s="37">
        <f t="shared" si="1"/>
        <v>1722.94</v>
      </c>
      <c r="I7" s="37">
        <f t="shared" si="1"/>
        <v>1687.19</v>
      </c>
      <c r="J7" s="37">
        <f t="shared" si="1"/>
        <v>1776.59</v>
      </c>
      <c r="K7" s="37">
        <f t="shared" si="1"/>
        <v>1755.79</v>
      </c>
      <c r="L7" s="37">
        <f t="shared" si="1"/>
        <v>1760.19</v>
      </c>
      <c r="M7" s="37">
        <f t="shared" si="1"/>
        <v>1784.7399999999998</v>
      </c>
      <c r="N7" s="37">
        <f t="shared" si="1"/>
        <v>1779.94</v>
      </c>
      <c r="O7" s="37">
        <f t="shared" si="1"/>
        <v>1807.1399999999999</v>
      </c>
      <c r="P7" s="37">
        <f t="shared" si="1"/>
        <v>1682.84</v>
      </c>
      <c r="Q7" s="37">
        <f t="shared" si="1"/>
        <v>1788.34</v>
      </c>
      <c r="R7" s="37">
        <f t="shared" si="1"/>
        <v>1784.22</v>
      </c>
      <c r="S7" s="37">
        <f t="shared" si="1"/>
        <v>1810.2400000000002</v>
      </c>
      <c r="T7" s="37">
        <f t="shared" si="1"/>
        <v>1816.2400000000002</v>
      </c>
      <c r="U7" s="37">
        <f t="shared" si="1"/>
        <v>1846.7400000000002</v>
      </c>
      <c r="V7" s="37">
        <f t="shared" si="1"/>
        <v>1815.0400000000002</v>
      </c>
      <c r="W7" s="37">
        <f t="shared" si="1"/>
        <v>1800.5400000000002</v>
      </c>
      <c r="X7" s="37">
        <f t="shared" si="1"/>
        <v>1793.5400000000002</v>
      </c>
      <c r="Y7" s="37">
        <f t="shared" si="1"/>
        <v>1794.5400000000002</v>
      </c>
      <c r="Z7" s="37">
        <f t="shared" si="1"/>
        <v>1783.7400000000002</v>
      </c>
      <c r="AA7" s="37">
        <f>AA79</f>
        <v>1781.14</v>
      </c>
      <c r="AB7" s="37">
        <f t="shared" si="1"/>
        <v>1820.74</v>
      </c>
      <c r="AC7" s="37">
        <f t="shared" si="1"/>
        <v>1825.8400000000001</v>
      </c>
      <c r="AD7" s="37">
        <f t="shared" si="1"/>
        <v>1831.04</v>
      </c>
      <c r="AE7" s="37">
        <f t="shared" si="1"/>
        <v>1748.44</v>
      </c>
      <c r="AF7" s="37">
        <f>AF79</f>
        <v>1731.74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0">
        <v>53.9</v>
      </c>
      <c r="C11" s="50">
        <v>53.9</v>
      </c>
      <c r="D11" s="50">
        <v>53.9</v>
      </c>
      <c r="E11" s="50">
        <v>53.9</v>
      </c>
      <c r="F11" s="50">
        <v>53.9</v>
      </c>
      <c r="G11" s="50">
        <v>53.9</v>
      </c>
      <c r="H11" s="50">
        <v>53.9</v>
      </c>
      <c r="I11" s="50">
        <v>53.9</v>
      </c>
      <c r="J11" s="50">
        <v>53.9</v>
      </c>
      <c r="K11" s="50">
        <v>53.9</v>
      </c>
      <c r="L11" s="50">
        <v>53.9</v>
      </c>
      <c r="M11" s="50">
        <v>53.5</v>
      </c>
      <c r="N11" s="50">
        <v>53.5</v>
      </c>
      <c r="O11" s="50">
        <v>53.4</v>
      </c>
      <c r="P11" s="50">
        <v>0</v>
      </c>
      <c r="Q11" s="50">
        <v>0</v>
      </c>
      <c r="R11" s="50">
        <v>0</v>
      </c>
      <c r="S11" s="52">
        <v>54</v>
      </c>
      <c r="T11" s="52">
        <v>54</v>
      </c>
      <c r="U11" s="52">
        <v>54</v>
      </c>
      <c r="V11" s="52">
        <v>54</v>
      </c>
      <c r="W11" s="52">
        <v>54</v>
      </c>
      <c r="X11" s="52">
        <v>54</v>
      </c>
      <c r="Y11" s="52">
        <v>54</v>
      </c>
      <c r="Z11" s="52">
        <v>54</v>
      </c>
      <c r="AA11" s="52">
        <v>54</v>
      </c>
      <c r="AB11" s="52">
        <v>54</v>
      </c>
      <c r="AC11" s="52">
        <v>54</v>
      </c>
      <c r="AD11" s="52">
        <v>54</v>
      </c>
      <c r="AE11" s="52">
        <v>54</v>
      </c>
      <c r="AF11" s="52">
        <v>54</v>
      </c>
      <c r="AG11" s="133">
        <v>52.4</v>
      </c>
      <c r="AH11" s="54">
        <f>MAX(B11:AF11)</f>
        <v>54</v>
      </c>
      <c r="AI11" s="55">
        <f>MIN(B11:AF11)</f>
        <v>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50.3</v>
      </c>
      <c r="C12" s="50">
        <v>50.3</v>
      </c>
      <c r="D12" s="50">
        <v>50.3</v>
      </c>
      <c r="E12" s="50">
        <v>50.3</v>
      </c>
      <c r="F12" s="50">
        <v>50.3</v>
      </c>
      <c r="G12" s="50">
        <v>50.3</v>
      </c>
      <c r="H12" s="50">
        <v>50.3</v>
      </c>
      <c r="I12" s="50">
        <v>50.3</v>
      </c>
      <c r="J12" s="50">
        <v>50.3</v>
      </c>
      <c r="K12" s="50">
        <v>50.3</v>
      </c>
      <c r="L12" s="50">
        <v>50.3</v>
      </c>
      <c r="M12" s="50">
        <v>50.5</v>
      </c>
      <c r="N12" s="50">
        <v>50.2</v>
      </c>
      <c r="O12" s="50">
        <v>50.5</v>
      </c>
      <c r="P12" s="50">
        <v>0</v>
      </c>
      <c r="Q12" s="50">
        <v>50.5</v>
      </c>
      <c r="R12" s="50">
        <v>50.5</v>
      </c>
      <c r="S12" s="50">
        <v>50.5</v>
      </c>
      <c r="T12" s="50">
        <v>50.5</v>
      </c>
      <c r="U12" s="50">
        <v>50.5</v>
      </c>
      <c r="V12" s="50">
        <v>50.5</v>
      </c>
      <c r="W12" s="50">
        <v>50.5</v>
      </c>
      <c r="X12" s="50">
        <v>50.5</v>
      </c>
      <c r="Y12" s="50">
        <v>50.5</v>
      </c>
      <c r="Z12" s="50">
        <v>50.5</v>
      </c>
      <c r="AA12" s="50">
        <v>50.5</v>
      </c>
      <c r="AB12" s="50">
        <v>50.5</v>
      </c>
      <c r="AC12" s="50">
        <v>50.6</v>
      </c>
      <c r="AD12" s="50">
        <v>50.6</v>
      </c>
      <c r="AE12" s="50">
        <v>50.6</v>
      </c>
      <c r="AF12" s="50">
        <v>50.6</v>
      </c>
      <c r="AG12" s="134">
        <v>50</v>
      </c>
      <c r="AH12" s="54">
        <f t="shared" ref="AH12:AH79" si="2">MAX(B12:AF12)</f>
        <v>50.6</v>
      </c>
      <c r="AI12" s="55">
        <f t="shared" ref="AI12:AI79" si="3">MIN(B12:AF12)</f>
        <v>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46</v>
      </c>
      <c r="C13" s="50">
        <v>46</v>
      </c>
      <c r="D13" s="50">
        <v>46</v>
      </c>
      <c r="E13" s="50">
        <v>46</v>
      </c>
      <c r="F13" s="50">
        <v>46</v>
      </c>
      <c r="G13" s="50">
        <v>46</v>
      </c>
      <c r="H13" s="50">
        <v>46</v>
      </c>
      <c r="I13" s="50">
        <v>46</v>
      </c>
      <c r="J13" s="50">
        <v>46</v>
      </c>
      <c r="K13" s="50">
        <v>46</v>
      </c>
      <c r="L13" s="50">
        <v>46</v>
      </c>
      <c r="M13" s="50">
        <v>45.7</v>
      </c>
      <c r="N13" s="50">
        <v>45.9</v>
      </c>
      <c r="O13" s="50">
        <v>46</v>
      </c>
      <c r="P13" s="50">
        <v>41.3</v>
      </c>
      <c r="Q13" s="50">
        <v>45.7</v>
      </c>
      <c r="R13" s="50">
        <v>45.7</v>
      </c>
      <c r="S13" s="50">
        <v>45.7</v>
      </c>
      <c r="T13" s="50">
        <v>45.7</v>
      </c>
      <c r="U13" s="50">
        <v>45.7</v>
      </c>
      <c r="V13" s="50">
        <v>45.7</v>
      </c>
      <c r="W13" s="50">
        <v>45.7</v>
      </c>
      <c r="X13" s="50">
        <v>45.7</v>
      </c>
      <c r="Y13" s="50">
        <v>45.7</v>
      </c>
      <c r="Z13" s="50">
        <v>45.7</v>
      </c>
      <c r="AA13" s="50">
        <v>45.7</v>
      </c>
      <c r="AB13" s="50">
        <v>45.7</v>
      </c>
      <c r="AC13" s="50">
        <v>45.9</v>
      </c>
      <c r="AD13" s="50">
        <v>45.9</v>
      </c>
      <c r="AE13" s="50">
        <v>45.9</v>
      </c>
      <c r="AF13" s="50">
        <v>45.9</v>
      </c>
      <c r="AG13" s="134">
        <v>45</v>
      </c>
      <c r="AH13" s="54">
        <f t="shared" si="2"/>
        <v>46</v>
      </c>
      <c r="AI13" s="55">
        <f t="shared" si="3"/>
        <v>41.3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28</v>
      </c>
      <c r="C14" s="50">
        <v>28</v>
      </c>
      <c r="D14" s="50">
        <v>28</v>
      </c>
      <c r="E14" s="50">
        <v>28</v>
      </c>
      <c r="F14" s="50">
        <v>26</v>
      </c>
      <c r="G14" s="50">
        <v>28</v>
      </c>
      <c r="H14" s="50">
        <v>28</v>
      </c>
      <c r="I14" s="50">
        <v>28</v>
      </c>
      <c r="J14" s="50">
        <v>28</v>
      </c>
      <c r="K14" s="50">
        <v>28</v>
      </c>
      <c r="L14" s="50">
        <v>28</v>
      </c>
      <c r="M14" s="50">
        <v>28</v>
      </c>
      <c r="N14" s="50">
        <v>28</v>
      </c>
      <c r="O14" s="50">
        <v>28</v>
      </c>
      <c r="P14" s="50">
        <v>28</v>
      </c>
      <c r="Q14" s="50">
        <v>28</v>
      </c>
      <c r="R14" s="50">
        <v>28</v>
      </c>
      <c r="S14" s="50">
        <v>28</v>
      </c>
      <c r="T14" s="50">
        <v>28</v>
      </c>
      <c r="U14" s="50">
        <v>28</v>
      </c>
      <c r="V14" s="50">
        <v>28</v>
      </c>
      <c r="W14" s="50">
        <v>28</v>
      </c>
      <c r="X14" s="50">
        <v>28</v>
      </c>
      <c r="Y14" s="50">
        <v>28</v>
      </c>
      <c r="Z14" s="50">
        <v>28</v>
      </c>
      <c r="AA14" s="50">
        <v>28</v>
      </c>
      <c r="AB14" s="50">
        <v>28</v>
      </c>
      <c r="AC14" s="50">
        <v>28</v>
      </c>
      <c r="AD14" s="50">
        <v>28</v>
      </c>
      <c r="AE14" s="50">
        <v>28</v>
      </c>
      <c r="AF14" s="50">
        <v>25.5</v>
      </c>
      <c r="AG14" s="134">
        <v>42</v>
      </c>
      <c r="AH14" s="54">
        <f t="shared" si="2"/>
        <v>28</v>
      </c>
      <c r="AI14" s="55">
        <f t="shared" si="3"/>
        <v>25.5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30</v>
      </c>
      <c r="C15" s="50">
        <v>30</v>
      </c>
      <c r="D15" s="50">
        <v>30</v>
      </c>
      <c r="E15" s="50">
        <v>30</v>
      </c>
      <c r="F15" s="50">
        <v>5</v>
      </c>
      <c r="G15" s="50">
        <v>0</v>
      </c>
      <c r="H15" s="50">
        <v>0</v>
      </c>
      <c r="I15" s="50">
        <v>0</v>
      </c>
      <c r="J15" s="50">
        <v>15</v>
      </c>
      <c r="K15" s="50">
        <v>15</v>
      </c>
      <c r="L15" s="50">
        <v>10</v>
      </c>
      <c r="M15" s="50">
        <v>20</v>
      </c>
      <c r="N15" s="50">
        <v>10</v>
      </c>
      <c r="O15" s="50">
        <v>10</v>
      </c>
      <c r="P15" s="50">
        <v>0</v>
      </c>
      <c r="Q15" s="50">
        <v>30</v>
      </c>
      <c r="R15" s="50">
        <v>30</v>
      </c>
      <c r="S15" s="50">
        <v>30</v>
      </c>
      <c r="T15" s="50">
        <v>30</v>
      </c>
      <c r="U15" s="50">
        <v>30</v>
      </c>
      <c r="V15" s="50">
        <v>30</v>
      </c>
      <c r="W15" s="50">
        <v>15</v>
      </c>
      <c r="X15" s="50">
        <v>15</v>
      </c>
      <c r="Y15" s="50">
        <v>15</v>
      </c>
      <c r="Z15" s="50">
        <v>30</v>
      </c>
      <c r="AA15" s="50">
        <v>30</v>
      </c>
      <c r="AB15" s="50">
        <v>30</v>
      </c>
      <c r="AC15" s="50">
        <v>30</v>
      </c>
      <c r="AD15" s="50">
        <v>30</v>
      </c>
      <c r="AE15" s="50">
        <v>0</v>
      </c>
      <c r="AF15" s="50">
        <v>0</v>
      </c>
      <c r="AG15" s="135">
        <v>30</v>
      </c>
      <c r="AH15" s="54">
        <f t="shared" si="2"/>
        <v>30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26.2</v>
      </c>
      <c r="C16" s="50">
        <v>26.2</v>
      </c>
      <c r="D16" s="50">
        <v>26.2</v>
      </c>
      <c r="E16" s="50">
        <v>26.2</v>
      </c>
      <c r="F16" s="50">
        <v>26.2</v>
      </c>
      <c r="G16" s="50">
        <v>26.2</v>
      </c>
      <c r="H16" s="50">
        <v>26.2</v>
      </c>
      <c r="I16" s="50">
        <v>26.2</v>
      </c>
      <c r="J16" s="50">
        <v>26.2</v>
      </c>
      <c r="K16" s="50">
        <v>26.2</v>
      </c>
      <c r="L16" s="50">
        <v>26.2</v>
      </c>
      <c r="M16" s="50" t="s">
        <v>244</v>
      </c>
      <c r="N16" s="50">
        <v>0</v>
      </c>
      <c r="O16" s="50">
        <v>25</v>
      </c>
      <c r="P16" s="50">
        <v>25</v>
      </c>
      <c r="Q16" s="50">
        <v>26</v>
      </c>
      <c r="R16" s="50">
        <v>26.4</v>
      </c>
      <c r="S16" s="50">
        <v>26.4</v>
      </c>
      <c r="T16" s="50">
        <v>26.4</v>
      </c>
      <c r="U16" s="50">
        <v>26.4</v>
      </c>
      <c r="V16" s="50">
        <v>26.4</v>
      </c>
      <c r="W16" s="50">
        <v>26.4</v>
      </c>
      <c r="X16" s="50">
        <v>26.4</v>
      </c>
      <c r="Y16" s="50">
        <v>26.4</v>
      </c>
      <c r="Z16" s="50">
        <v>26.4</v>
      </c>
      <c r="AA16" s="50">
        <v>26.4</v>
      </c>
      <c r="AB16" s="50">
        <v>26.4</v>
      </c>
      <c r="AC16" s="50">
        <v>26.3</v>
      </c>
      <c r="AD16" s="50">
        <v>26.3</v>
      </c>
      <c r="AE16" s="50">
        <v>26.3</v>
      </c>
      <c r="AF16" s="50">
        <v>26.3</v>
      </c>
      <c r="AG16" s="134">
        <v>25</v>
      </c>
      <c r="AH16" s="54">
        <f t="shared" si="2"/>
        <v>26.4</v>
      </c>
      <c r="AI16" s="55">
        <f t="shared" si="3"/>
        <v>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12.5</v>
      </c>
      <c r="T17" s="50">
        <v>12.5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12.5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25</v>
      </c>
      <c r="D18" s="50">
        <v>25</v>
      </c>
      <c r="E18" s="50">
        <v>25</v>
      </c>
      <c r="F18" s="50">
        <v>25</v>
      </c>
      <c r="G18" s="50">
        <v>25</v>
      </c>
      <c r="H18" s="50">
        <v>25</v>
      </c>
      <c r="I18" s="50">
        <v>25</v>
      </c>
      <c r="J18" s="50">
        <v>25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25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26</v>
      </c>
      <c r="C19" s="50">
        <v>26</v>
      </c>
      <c r="D19" s="50">
        <v>26</v>
      </c>
      <c r="E19" s="50">
        <v>26</v>
      </c>
      <c r="F19" s="50">
        <v>26</v>
      </c>
      <c r="G19" s="50">
        <v>26</v>
      </c>
      <c r="H19" s="50">
        <v>26</v>
      </c>
      <c r="I19" s="50">
        <v>26</v>
      </c>
      <c r="J19" s="50">
        <v>26</v>
      </c>
      <c r="K19" s="50">
        <v>29.9</v>
      </c>
      <c r="L19" s="50">
        <v>24.9</v>
      </c>
      <c r="M19" s="50">
        <v>24.9</v>
      </c>
      <c r="N19" s="50">
        <v>24.9</v>
      </c>
      <c r="O19" s="50">
        <v>24.9</v>
      </c>
      <c r="P19" s="50">
        <v>32.700000000000003</v>
      </c>
      <c r="Q19" s="50">
        <v>33</v>
      </c>
      <c r="R19" s="50">
        <v>33</v>
      </c>
      <c r="S19" s="50">
        <v>33</v>
      </c>
      <c r="T19" s="50">
        <v>33</v>
      </c>
      <c r="U19" s="50">
        <v>33</v>
      </c>
      <c r="V19" s="50">
        <v>33</v>
      </c>
      <c r="W19" s="50">
        <v>33</v>
      </c>
      <c r="X19" s="50">
        <v>33</v>
      </c>
      <c r="Y19" s="50">
        <v>33</v>
      </c>
      <c r="Z19" s="50">
        <v>33</v>
      </c>
      <c r="AA19" s="50">
        <v>33</v>
      </c>
      <c r="AB19" s="50">
        <v>33</v>
      </c>
      <c r="AC19" s="50">
        <v>33</v>
      </c>
      <c r="AD19" s="50">
        <v>33</v>
      </c>
      <c r="AE19" s="50">
        <v>24</v>
      </c>
      <c r="AF19" s="50">
        <v>24</v>
      </c>
      <c r="AG19" s="134">
        <v>24.2</v>
      </c>
      <c r="AH19" s="54">
        <f t="shared" si="2"/>
        <v>33</v>
      </c>
      <c r="AI19" s="55">
        <f t="shared" si="3"/>
        <v>24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23.6</v>
      </c>
      <c r="C20" s="50">
        <v>23.6</v>
      </c>
      <c r="D20" s="50">
        <v>23.6</v>
      </c>
      <c r="E20" s="50">
        <v>23.6</v>
      </c>
      <c r="F20" s="50">
        <v>23.6</v>
      </c>
      <c r="G20" s="50">
        <v>23.6</v>
      </c>
      <c r="H20" s="50">
        <v>23.6</v>
      </c>
      <c r="I20" s="50">
        <v>23.6</v>
      </c>
      <c r="J20" s="50">
        <v>23.6</v>
      </c>
      <c r="K20" s="50">
        <v>23.6</v>
      </c>
      <c r="L20" s="50">
        <v>23.6</v>
      </c>
      <c r="M20" s="50">
        <v>23.6</v>
      </c>
      <c r="N20" s="50">
        <v>23.6</v>
      </c>
      <c r="O20" s="50">
        <v>23.6</v>
      </c>
      <c r="P20" s="50">
        <v>23.5</v>
      </c>
      <c r="Q20" s="50">
        <v>23.5</v>
      </c>
      <c r="R20" s="50">
        <v>23.6</v>
      </c>
      <c r="S20" s="50">
        <v>23.6</v>
      </c>
      <c r="T20" s="50">
        <v>23.6</v>
      </c>
      <c r="U20" s="50">
        <v>23.6</v>
      </c>
      <c r="V20" s="50">
        <v>23.6</v>
      </c>
      <c r="W20" s="50">
        <v>23.6</v>
      </c>
      <c r="X20" s="50">
        <v>23.6</v>
      </c>
      <c r="Y20" s="50">
        <v>23.6</v>
      </c>
      <c r="Z20" s="50">
        <v>23.6</v>
      </c>
      <c r="AA20" s="50">
        <v>23.6</v>
      </c>
      <c r="AB20" s="50">
        <v>23.6</v>
      </c>
      <c r="AC20" s="50">
        <v>23</v>
      </c>
      <c r="AD20" s="50">
        <v>23</v>
      </c>
      <c r="AE20" s="50">
        <v>23</v>
      </c>
      <c r="AF20" s="50">
        <v>23</v>
      </c>
      <c r="AG20" s="134">
        <v>23.5</v>
      </c>
      <c r="AH20" s="54">
        <f t="shared" si="2"/>
        <v>23.6</v>
      </c>
      <c r="AI20" s="55">
        <f t="shared" si="3"/>
        <v>23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0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5</v>
      </c>
      <c r="I21" s="50">
        <v>20.55</v>
      </c>
      <c r="J21" s="50">
        <v>20.55</v>
      </c>
      <c r="K21" s="50">
        <v>20.55</v>
      </c>
      <c r="L21" s="50">
        <v>20.55</v>
      </c>
      <c r="M21" s="50">
        <v>20.6</v>
      </c>
      <c r="N21" s="50">
        <v>20.6</v>
      </c>
      <c r="O21" s="50">
        <v>20.6</v>
      </c>
      <c r="P21" s="50">
        <v>20.6</v>
      </c>
      <c r="Q21" s="50">
        <v>20.6</v>
      </c>
      <c r="R21" s="50">
        <v>20.6</v>
      </c>
      <c r="S21" s="50">
        <v>20.6</v>
      </c>
      <c r="T21" s="50">
        <v>20.6</v>
      </c>
      <c r="U21" s="50">
        <v>20.6</v>
      </c>
      <c r="V21" s="50">
        <v>20.6</v>
      </c>
      <c r="W21" s="50">
        <v>20.6</v>
      </c>
      <c r="X21" s="50">
        <v>20.6</v>
      </c>
      <c r="Y21" s="50">
        <v>20.6</v>
      </c>
      <c r="Z21" s="50">
        <v>20.6</v>
      </c>
      <c r="AA21" s="50">
        <v>20.6</v>
      </c>
      <c r="AB21" s="50">
        <v>20.6</v>
      </c>
      <c r="AC21" s="50">
        <v>20.6</v>
      </c>
      <c r="AD21" s="50">
        <v>20.6</v>
      </c>
      <c r="AE21" s="50">
        <v>20.6</v>
      </c>
      <c r="AF21" s="50">
        <v>20.6</v>
      </c>
      <c r="AG21" s="134">
        <v>22.2</v>
      </c>
      <c r="AH21" s="54">
        <f t="shared" si="2"/>
        <v>20.6</v>
      </c>
      <c r="AI21" s="55">
        <f t="shared" si="3"/>
        <v>0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134">
        <v>22.1</v>
      </c>
      <c r="AH22" s="54">
        <f t="shared" si="2"/>
        <v>22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22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22</v>
      </c>
      <c r="C24" s="50">
        <v>0</v>
      </c>
      <c r="D24" s="50">
        <v>11</v>
      </c>
      <c r="E24" s="50">
        <v>11</v>
      </c>
      <c r="F24" s="50">
        <v>11</v>
      </c>
      <c r="G24" s="50">
        <v>11</v>
      </c>
      <c r="H24" s="50">
        <v>11</v>
      </c>
      <c r="I24" s="50">
        <v>11</v>
      </c>
      <c r="J24" s="50">
        <v>11</v>
      </c>
      <c r="K24" s="50">
        <v>11</v>
      </c>
      <c r="L24" s="50">
        <v>11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19</v>
      </c>
      <c r="S24" s="50">
        <v>19</v>
      </c>
      <c r="T24" s="50">
        <v>19</v>
      </c>
      <c r="U24" s="50">
        <v>19</v>
      </c>
      <c r="V24" s="50">
        <v>19</v>
      </c>
      <c r="W24" s="50">
        <v>19</v>
      </c>
      <c r="X24" s="50">
        <v>19</v>
      </c>
      <c r="Y24" s="50">
        <v>19</v>
      </c>
      <c r="Z24" s="50">
        <v>19</v>
      </c>
      <c r="AA24" s="50">
        <v>19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22</v>
      </c>
      <c r="AI24" s="55">
        <f t="shared" si="3"/>
        <v>0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10</v>
      </c>
      <c r="C25" s="50">
        <v>10</v>
      </c>
      <c r="D25" s="50">
        <v>10</v>
      </c>
      <c r="E25" s="50">
        <v>10</v>
      </c>
      <c r="F25" s="50">
        <v>5</v>
      </c>
      <c r="G25" s="50">
        <v>0</v>
      </c>
      <c r="H25" s="50">
        <v>5</v>
      </c>
      <c r="I25" s="50">
        <v>10</v>
      </c>
      <c r="J25" s="50">
        <v>5</v>
      </c>
      <c r="K25" s="50">
        <v>5</v>
      </c>
      <c r="L25" s="50">
        <v>5</v>
      </c>
      <c r="M25" s="50">
        <v>5</v>
      </c>
      <c r="N25" s="50">
        <v>5</v>
      </c>
      <c r="O25" s="50">
        <v>5</v>
      </c>
      <c r="P25" s="50">
        <v>10</v>
      </c>
      <c r="Q25" s="50">
        <v>10</v>
      </c>
      <c r="R25" s="50">
        <v>10</v>
      </c>
      <c r="S25" s="50">
        <v>10</v>
      </c>
      <c r="T25" s="50">
        <v>10</v>
      </c>
      <c r="U25" s="50">
        <v>10</v>
      </c>
      <c r="V25" s="50">
        <v>10</v>
      </c>
      <c r="W25" s="50">
        <v>10</v>
      </c>
      <c r="X25" s="50">
        <v>10</v>
      </c>
      <c r="Y25" s="50">
        <v>10</v>
      </c>
      <c r="Z25" s="50">
        <v>10</v>
      </c>
      <c r="AA25" s="50">
        <v>10</v>
      </c>
      <c r="AB25" s="50">
        <v>10</v>
      </c>
      <c r="AC25" s="50">
        <v>10</v>
      </c>
      <c r="AD25" s="50">
        <v>10</v>
      </c>
      <c r="AE25" s="50">
        <v>0</v>
      </c>
      <c r="AF25" s="50">
        <v>0</v>
      </c>
      <c r="AG25" s="134">
        <v>20</v>
      </c>
      <c r="AH25" s="54">
        <f t="shared" si="2"/>
        <v>10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14</v>
      </c>
      <c r="C26" s="50">
        <v>14</v>
      </c>
      <c r="D26" s="50">
        <v>14</v>
      </c>
      <c r="E26" s="50">
        <v>14</v>
      </c>
      <c r="F26" s="50">
        <v>14</v>
      </c>
      <c r="G26" s="50">
        <v>14</v>
      </c>
      <c r="H26" s="50">
        <v>14</v>
      </c>
      <c r="I26" s="50">
        <v>14</v>
      </c>
      <c r="J26" s="50">
        <v>14</v>
      </c>
      <c r="K26" s="50">
        <v>14</v>
      </c>
      <c r="L26" s="50">
        <v>14</v>
      </c>
      <c r="M26" s="50">
        <v>14</v>
      </c>
      <c r="N26" s="50">
        <v>14</v>
      </c>
      <c r="O26" s="50">
        <v>14</v>
      </c>
      <c r="P26" s="50">
        <v>14</v>
      </c>
      <c r="Q26" s="50">
        <v>14</v>
      </c>
      <c r="R26" s="50">
        <v>14</v>
      </c>
      <c r="S26" s="50">
        <v>14</v>
      </c>
      <c r="T26" s="50">
        <v>14</v>
      </c>
      <c r="U26" s="50">
        <v>14</v>
      </c>
      <c r="V26" s="50">
        <v>14</v>
      </c>
      <c r="W26" s="50">
        <v>14</v>
      </c>
      <c r="X26" s="50">
        <v>14</v>
      </c>
      <c r="Y26" s="50">
        <v>14</v>
      </c>
      <c r="Z26" s="50">
        <v>14</v>
      </c>
      <c r="AA26" s="50">
        <v>14</v>
      </c>
      <c r="AB26" s="50">
        <v>14</v>
      </c>
      <c r="AC26" s="50">
        <v>14</v>
      </c>
      <c r="AD26" s="50">
        <v>14</v>
      </c>
      <c r="AE26" s="50">
        <v>14</v>
      </c>
      <c r="AF26" s="50">
        <v>14</v>
      </c>
      <c r="AG26" s="134">
        <v>14.9</v>
      </c>
      <c r="AH26" s="54">
        <f t="shared" si="2"/>
        <v>14</v>
      </c>
      <c r="AI26" s="55">
        <f t="shared" si="3"/>
        <v>14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13</v>
      </c>
      <c r="C27" s="50">
        <v>13</v>
      </c>
      <c r="D27" s="50">
        <v>13</v>
      </c>
      <c r="E27" s="50">
        <v>13</v>
      </c>
      <c r="F27" s="50">
        <v>13</v>
      </c>
      <c r="G27" s="50">
        <v>13</v>
      </c>
      <c r="H27" s="50">
        <v>13</v>
      </c>
      <c r="I27" s="50">
        <v>13</v>
      </c>
      <c r="J27" s="50">
        <v>13</v>
      </c>
      <c r="K27" s="50">
        <v>13</v>
      </c>
      <c r="L27" s="50">
        <v>13</v>
      </c>
      <c r="M27" s="50">
        <v>13</v>
      </c>
      <c r="N27" s="50">
        <v>13</v>
      </c>
      <c r="O27" s="50">
        <v>13</v>
      </c>
      <c r="P27" s="50">
        <v>13</v>
      </c>
      <c r="Q27" s="50">
        <v>13</v>
      </c>
      <c r="R27" s="50">
        <v>13</v>
      </c>
      <c r="S27" s="50">
        <v>13</v>
      </c>
      <c r="T27" s="50">
        <v>13</v>
      </c>
      <c r="U27" s="50">
        <v>13</v>
      </c>
      <c r="V27" s="50">
        <v>13</v>
      </c>
      <c r="W27" s="50">
        <v>13</v>
      </c>
      <c r="X27" s="50">
        <v>13</v>
      </c>
      <c r="Y27" s="50">
        <v>13</v>
      </c>
      <c r="Z27" s="50">
        <v>13</v>
      </c>
      <c r="AA27" s="50">
        <v>13</v>
      </c>
      <c r="AB27" s="50">
        <v>13</v>
      </c>
      <c r="AC27" s="50">
        <v>13</v>
      </c>
      <c r="AD27" s="50">
        <v>13</v>
      </c>
      <c r="AE27" s="50">
        <v>13</v>
      </c>
      <c r="AF27" s="50">
        <v>13</v>
      </c>
      <c r="AG27" s="134">
        <v>13.6</v>
      </c>
      <c r="AH27" s="54">
        <f t="shared" si="2"/>
        <v>13</v>
      </c>
      <c r="AI27" s="55">
        <f t="shared" si="3"/>
        <v>13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13</v>
      </c>
      <c r="C28" s="50">
        <v>13</v>
      </c>
      <c r="D28" s="50">
        <v>13</v>
      </c>
      <c r="E28" s="50">
        <v>13</v>
      </c>
      <c r="F28" s="50">
        <v>13</v>
      </c>
      <c r="G28" s="50">
        <v>13</v>
      </c>
      <c r="H28" s="50">
        <v>13</v>
      </c>
      <c r="I28" s="50">
        <v>13</v>
      </c>
      <c r="J28" s="50">
        <v>13</v>
      </c>
      <c r="K28" s="50">
        <v>13</v>
      </c>
      <c r="L28" s="50">
        <v>13</v>
      </c>
      <c r="M28" s="50">
        <v>13</v>
      </c>
      <c r="N28" s="50">
        <v>13</v>
      </c>
      <c r="O28" s="50">
        <v>13</v>
      </c>
      <c r="P28" s="50">
        <v>13</v>
      </c>
      <c r="Q28" s="50">
        <v>13</v>
      </c>
      <c r="R28" s="50">
        <v>13</v>
      </c>
      <c r="S28" s="50">
        <v>13</v>
      </c>
      <c r="T28" s="50">
        <v>13</v>
      </c>
      <c r="U28" s="50">
        <v>13</v>
      </c>
      <c r="V28" s="50">
        <v>13</v>
      </c>
      <c r="W28" s="50">
        <v>13</v>
      </c>
      <c r="X28" s="50">
        <v>13</v>
      </c>
      <c r="Y28" s="50">
        <v>13</v>
      </c>
      <c r="Z28" s="50">
        <v>13</v>
      </c>
      <c r="AA28" s="50">
        <v>13</v>
      </c>
      <c r="AB28" s="50">
        <v>13</v>
      </c>
      <c r="AC28" s="50">
        <v>13</v>
      </c>
      <c r="AD28" s="50">
        <v>13</v>
      </c>
      <c r="AE28" s="50">
        <v>13</v>
      </c>
      <c r="AF28" s="50">
        <v>13</v>
      </c>
      <c r="AG28" s="134">
        <v>13</v>
      </c>
      <c r="AH28" s="54">
        <f t="shared" si="2"/>
        <v>13</v>
      </c>
      <c r="AI28" s="55">
        <f t="shared" si="3"/>
        <v>13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12</v>
      </c>
      <c r="C29" s="50">
        <v>12</v>
      </c>
      <c r="D29" s="50">
        <v>12</v>
      </c>
      <c r="E29" s="50">
        <v>12</v>
      </c>
      <c r="F29" s="50">
        <v>12</v>
      </c>
      <c r="G29" s="50">
        <v>12</v>
      </c>
      <c r="H29" s="50">
        <v>12</v>
      </c>
      <c r="I29" s="50">
        <v>12</v>
      </c>
      <c r="J29" s="50">
        <v>12</v>
      </c>
      <c r="K29" s="50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134">
        <v>12</v>
      </c>
      <c r="AH29" s="54">
        <f t="shared" si="2"/>
        <v>12</v>
      </c>
      <c r="AI29" s="55">
        <f t="shared" si="3"/>
        <v>12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8</v>
      </c>
      <c r="C30" s="50">
        <v>8</v>
      </c>
      <c r="D30" s="50">
        <v>8</v>
      </c>
      <c r="E30" s="50">
        <v>8</v>
      </c>
      <c r="F30" s="50">
        <v>8</v>
      </c>
      <c r="G30" s="50">
        <v>8</v>
      </c>
      <c r="H30" s="50">
        <v>8</v>
      </c>
      <c r="I30" s="50">
        <v>8</v>
      </c>
      <c r="J30" s="50">
        <v>8</v>
      </c>
      <c r="K30" s="50">
        <v>8</v>
      </c>
      <c r="L30" s="50">
        <v>8</v>
      </c>
      <c r="M30" s="50">
        <v>8</v>
      </c>
      <c r="N30" s="50">
        <v>8</v>
      </c>
      <c r="O30" s="50">
        <v>8</v>
      </c>
      <c r="P30" s="50">
        <v>8</v>
      </c>
      <c r="Q30" s="50">
        <v>8</v>
      </c>
      <c r="R30" s="50">
        <v>8</v>
      </c>
      <c r="S30" s="50">
        <v>8</v>
      </c>
      <c r="T30" s="50">
        <v>8</v>
      </c>
      <c r="U30" s="50">
        <v>8</v>
      </c>
      <c r="V30" s="50">
        <v>8</v>
      </c>
      <c r="W30" s="50">
        <v>8</v>
      </c>
      <c r="X30" s="50">
        <v>8</v>
      </c>
      <c r="Y30" s="50">
        <v>8</v>
      </c>
      <c r="Z30" s="50">
        <v>8</v>
      </c>
      <c r="AA30" s="50">
        <v>8</v>
      </c>
      <c r="AB30" s="50">
        <v>8</v>
      </c>
      <c r="AC30" s="50">
        <v>8</v>
      </c>
      <c r="AD30" s="50">
        <v>8</v>
      </c>
      <c r="AE30" s="50">
        <v>8</v>
      </c>
      <c r="AF30" s="50">
        <v>8</v>
      </c>
      <c r="AG30" s="134">
        <v>12</v>
      </c>
      <c r="AH30" s="54">
        <f t="shared" si="2"/>
        <v>8</v>
      </c>
      <c r="AI30" s="55">
        <f t="shared" si="3"/>
        <v>8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9</v>
      </c>
      <c r="C31" s="50">
        <v>9</v>
      </c>
      <c r="D31" s="50">
        <v>9</v>
      </c>
      <c r="E31" s="50">
        <v>9</v>
      </c>
      <c r="F31" s="50">
        <v>9</v>
      </c>
      <c r="G31" s="50">
        <v>9</v>
      </c>
      <c r="H31" s="50">
        <v>9</v>
      </c>
      <c r="I31" s="50">
        <v>9</v>
      </c>
      <c r="J31" s="50">
        <v>9</v>
      </c>
      <c r="K31" s="50">
        <v>9</v>
      </c>
      <c r="L31" s="50">
        <v>9</v>
      </c>
      <c r="M31" s="50">
        <v>9</v>
      </c>
      <c r="N31" s="50">
        <v>9</v>
      </c>
      <c r="O31" s="50">
        <v>9</v>
      </c>
      <c r="P31" s="50">
        <v>9</v>
      </c>
      <c r="Q31" s="50">
        <v>9</v>
      </c>
      <c r="R31" s="50">
        <v>9</v>
      </c>
      <c r="S31" s="50">
        <v>9</v>
      </c>
      <c r="T31" s="50">
        <v>9</v>
      </c>
      <c r="U31" s="50">
        <v>9</v>
      </c>
      <c r="V31" s="50">
        <v>9</v>
      </c>
      <c r="W31" s="50">
        <v>9</v>
      </c>
      <c r="X31" s="50">
        <v>9</v>
      </c>
      <c r="Y31" s="50">
        <v>9</v>
      </c>
      <c r="Z31" s="50">
        <v>9</v>
      </c>
      <c r="AA31" s="50">
        <v>9</v>
      </c>
      <c r="AB31" s="50">
        <v>9</v>
      </c>
      <c r="AC31" s="50">
        <v>9</v>
      </c>
      <c r="AD31" s="50">
        <v>9</v>
      </c>
      <c r="AE31" s="50">
        <v>9</v>
      </c>
      <c r="AF31" s="50">
        <v>9</v>
      </c>
      <c r="AG31" s="178">
        <v>22</v>
      </c>
      <c r="AH31" s="54">
        <f>MAX(B31:AF31)</f>
        <v>9</v>
      </c>
      <c r="AI31" s="55">
        <f>MIN(B31:AF31)</f>
        <v>9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5</v>
      </c>
      <c r="C32" s="50">
        <v>5</v>
      </c>
      <c r="D32" s="50">
        <v>5</v>
      </c>
      <c r="E32" s="50">
        <v>5</v>
      </c>
      <c r="F32" s="50">
        <v>5</v>
      </c>
      <c r="G32" s="50">
        <v>5</v>
      </c>
      <c r="H32" s="50">
        <v>5</v>
      </c>
      <c r="I32" s="50">
        <v>5</v>
      </c>
      <c r="J32" s="50">
        <v>5</v>
      </c>
      <c r="K32" s="50">
        <v>5</v>
      </c>
      <c r="L32" s="50">
        <v>5</v>
      </c>
      <c r="M32" s="50">
        <v>5</v>
      </c>
      <c r="N32" s="50">
        <v>5</v>
      </c>
      <c r="O32" s="50">
        <v>5</v>
      </c>
      <c r="P32" s="50">
        <v>5</v>
      </c>
      <c r="Q32" s="50">
        <v>5</v>
      </c>
      <c r="R32" s="50">
        <v>5</v>
      </c>
      <c r="S32" s="50">
        <v>5</v>
      </c>
      <c r="T32" s="50">
        <v>5</v>
      </c>
      <c r="U32" s="50">
        <v>5</v>
      </c>
      <c r="V32" s="50">
        <v>5</v>
      </c>
      <c r="W32" s="50">
        <v>5</v>
      </c>
      <c r="X32" s="50">
        <v>5</v>
      </c>
      <c r="Y32" s="50">
        <v>5</v>
      </c>
      <c r="Z32" s="50">
        <v>5</v>
      </c>
      <c r="AA32" s="50">
        <v>5</v>
      </c>
      <c r="AB32" s="50">
        <v>5</v>
      </c>
      <c r="AC32" s="50">
        <v>5</v>
      </c>
      <c r="AD32" s="50">
        <v>5</v>
      </c>
      <c r="AE32" s="50">
        <v>5</v>
      </c>
      <c r="AF32" s="50">
        <v>5</v>
      </c>
      <c r="AG32" s="135">
        <v>11.88</v>
      </c>
      <c r="AH32" s="54">
        <f t="shared" si="2"/>
        <v>5</v>
      </c>
      <c r="AI32" s="55">
        <f t="shared" si="3"/>
        <v>5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11</v>
      </c>
      <c r="D33" s="50">
        <v>11</v>
      </c>
      <c r="E33" s="50">
        <v>11</v>
      </c>
      <c r="F33" s="50">
        <v>11</v>
      </c>
      <c r="G33" s="50">
        <v>11</v>
      </c>
      <c r="H33" s="50">
        <v>11</v>
      </c>
      <c r="I33" s="50">
        <v>11</v>
      </c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11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9</v>
      </c>
      <c r="C34" s="50">
        <v>9</v>
      </c>
      <c r="D34" s="50">
        <v>9</v>
      </c>
      <c r="E34" s="50">
        <v>9</v>
      </c>
      <c r="F34" s="50">
        <v>9</v>
      </c>
      <c r="G34" s="50">
        <v>9</v>
      </c>
      <c r="H34" s="50">
        <v>9</v>
      </c>
      <c r="I34" s="50">
        <v>9</v>
      </c>
      <c r="J34" s="50">
        <v>9</v>
      </c>
      <c r="K34" s="50">
        <v>9</v>
      </c>
      <c r="L34" s="50">
        <v>9</v>
      </c>
      <c r="M34" s="50">
        <v>9</v>
      </c>
      <c r="N34" s="50">
        <v>9</v>
      </c>
      <c r="O34" s="50">
        <v>9</v>
      </c>
      <c r="P34" s="50">
        <v>9</v>
      </c>
      <c r="Q34" s="50">
        <v>9</v>
      </c>
      <c r="R34" s="50">
        <v>9</v>
      </c>
      <c r="S34" s="50">
        <v>9</v>
      </c>
      <c r="T34" s="50">
        <v>9</v>
      </c>
      <c r="U34" s="50">
        <v>9</v>
      </c>
      <c r="V34" s="50">
        <v>9</v>
      </c>
      <c r="W34" s="50">
        <v>9</v>
      </c>
      <c r="X34" s="50">
        <v>9</v>
      </c>
      <c r="Y34" s="50">
        <v>9</v>
      </c>
      <c r="Z34" s="50">
        <v>9</v>
      </c>
      <c r="AA34" s="50">
        <v>9</v>
      </c>
      <c r="AB34" s="50">
        <v>9</v>
      </c>
      <c r="AC34" s="50">
        <v>9</v>
      </c>
      <c r="AD34" s="50">
        <v>9</v>
      </c>
      <c r="AE34" s="50">
        <v>9</v>
      </c>
      <c r="AF34" s="50">
        <v>9</v>
      </c>
      <c r="AG34" s="136">
        <v>10</v>
      </c>
      <c r="AH34" s="54">
        <f t="shared" si="2"/>
        <v>9</v>
      </c>
      <c r="AI34" s="55">
        <f t="shared" si="3"/>
        <v>9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8</v>
      </c>
      <c r="N35" s="50">
        <v>8</v>
      </c>
      <c r="O35" s="50">
        <v>8</v>
      </c>
      <c r="P35" s="50">
        <v>8</v>
      </c>
      <c r="Q35" s="50">
        <v>8</v>
      </c>
      <c r="R35" s="50">
        <v>8</v>
      </c>
      <c r="S35" s="50">
        <v>8</v>
      </c>
      <c r="T35" s="50">
        <v>8</v>
      </c>
      <c r="U35" s="50">
        <v>8</v>
      </c>
      <c r="V35" s="50">
        <v>8</v>
      </c>
      <c r="W35" s="50">
        <v>8</v>
      </c>
      <c r="X35" s="50">
        <v>8</v>
      </c>
      <c r="Y35" s="50">
        <v>8</v>
      </c>
      <c r="Z35" s="50">
        <v>8</v>
      </c>
      <c r="AA35" s="50">
        <v>8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136">
        <v>10</v>
      </c>
      <c r="AH35" s="54">
        <f t="shared" si="2"/>
        <v>8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302</v>
      </c>
      <c r="C36" s="62">
        <v>302</v>
      </c>
      <c r="D36" s="62">
        <v>302</v>
      </c>
      <c r="E36" s="62">
        <v>302</v>
      </c>
      <c r="F36" s="62">
        <v>302</v>
      </c>
      <c r="G36" s="62">
        <v>302</v>
      </c>
      <c r="H36" s="62">
        <v>302</v>
      </c>
      <c r="I36" s="62">
        <v>303</v>
      </c>
      <c r="J36" s="62">
        <v>303</v>
      </c>
      <c r="K36" s="62">
        <v>303</v>
      </c>
      <c r="L36" s="62">
        <v>303</v>
      </c>
      <c r="M36" s="62">
        <v>303</v>
      </c>
      <c r="N36" s="62">
        <v>303</v>
      </c>
      <c r="O36" s="62">
        <v>303</v>
      </c>
      <c r="P36" s="62">
        <v>303</v>
      </c>
      <c r="Q36" s="62">
        <v>303</v>
      </c>
      <c r="R36" s="62">
        <v>303</v>
      </c>
      <c r="S36" s="62">
        <v>303</v>
      </c>
      <c r="T36" s="62">
        <v>303</v>
      </c>
      <c r="U36" s="62">
        <v>303</v>
      </c>
      <c r="V36" s="62">
        <v>303</v>
      </c>
      <c r="W36" s="62">
        <v>303</v>
      </c>
      <c r="X36" s="62">
        <v>303</v>
      </c>
      <c r="Y36" s="62">
        <v>303</v>
      </c>
      <c r="Z36" s="62">
        <v>303</v>
      </c>
      <c r="AA36" s="62">
        <v>303</v>
      </c>
      <c r="AB36" s="62">
        <v>303</v>
      </c>
      <c r="AC36" s="62">
        <v>303</v>
      </c>
      <c r="AD36" s="62">
        <v>303</v>
      </c>
      <c r="AE36" s="62">
        <v>303</v>
      </c>
      <c r="AF36" s="62">
        <v>303</v>
      </c>
      <c r="AG36" s="136">
        <v>85</v>
      </c>
      <c r="AH36" s="54">
        <f t="shared" si="2"/>
        <v>303</v>
      </c>
      <c r="AI36" s="55">
        <f t="shared" si="3"/>
        <v>302</v>
      </c>
      <c r="AK36" s="56"/>
    </row>
    <row r="37" spans="1:88" ht="15.75" thickBot="1" x14ac:dyDescent="0.3">
      <c r="A37" s="63" t="s">
        <v>21</v>
      </c>
      <c r="B37" s="64">
        <f>71.7+97.1</f>
        <v>168.8</v>
      </c>
      <c r="C37" s="64">
        <f>71.7+97.5</f>
        <v>169.2</v>
      </c>
      <c r="D37" s="64">
        <f>72.3+96.5</f>
        <v>168.8</v>
      </c>
      <c r="E37" s="62">
        <f>70.6+96.3</f>
        <v>166.89999999999998</v>
      </c>
      <c r="F37" s="62">
        <f>69.8+96</f>
        <v>165.8</v>
      </c>
      <c r="G37" s="62">
        <f>69.8+96</f>
        <v>165.8</v>
      </c>
      <c r="H37" s="62">
        <f>69.4+96.4</f>
        <v>165.8</v>
      </c>
      <c r="I37" s="62">
        <f>69.2+95.9</f>
        <v>165.10000000000002</v>
      </c>
      <c r="J37" s="62">
        <f>70.1+91.2</f>
        <v>161.30000000000001</v>
      </c>
      <c r="K37" s="62">
        <f>69.8+96.3</f>
        <v>166.1</v>
      </c>
      <c r="L37" s="62">
        <f>67.7+97.2</f>
        <v>164.9</v>
      </c>
      <c r="M37" s="62">
        <f>96.8+67.6</f>
        <v>164.39999999999998</v>
      </c>
      <c r="N37" s="62">
        <f>96.8+67.8</f>
        <v>164.6</v>
      </c>
      <c r="O37" s="62">
        <f>96.7+68.2</f>
        <v>164.9</v>
      </c>
      <c r="P37" s="62">
        <f>97+67.1</f>
        <v>164.1</v>
      </c>
      <c r="Q37" s="62">
        <f>95.3+66.7</f>
        <v>162</v>
      </c>
      <c r="R37" s="62">
        <f>96.8+64</f>
        <v>160.80000000000001</v>
      </c>
      <c r="S37" s="62">
        <f>96.8+64</f>
        <v>160.80000000000001</v>
      </c>
      <c r="T37" s="62">
        <f>96.8+64</f>
        <v>160.80000000000001</v>
      </c>
      <c r="U37" s="62">
        <f>96.8+64</f>
        <v>160.80000000000001</v>
      </c>
      <c r="V37" s="62">
        <v>163</v>
      </c>
      <c r="W37" s="62">
        <v>163</v>
      </c>
      <c r="X37" s="62">
        <v>163</v>
      </c>
      <c r="Y37" s="62">
        <v>163</v>
      </c>
      <c r="Z37" s="62">
        <v>163</v>
      </c>
      <c r="AA37" s="62">
        <v>163</v>
      </c>
      <c r="AB37" s="62">
        <f>69.2+95.9</f>
        <v>165.10000000000002</v>
      </c>
      <c r="AC37" s="62">
        <v>167</v>
      </c>
      <c r="AD37" s="62">
        <v>167</v>
      </c>
      <c r="AE37" s="62">
        <v>168</v>
      </c>
      <c r="AF37" s="62">
        <v>168</v>
      </c>
      <c r="AG37" s="136">
        <v>240</v>
      </c>
      <c r="AH37" s="54">
        <f t="shared" si="2"/>
        <v>169.2</v>
      </c>
      <c r="AI37" s="55">
        <f t="shared" si="3"/>
        <v>160.80000000000001</v>
      </c>
      <c r="AK37" s="56"/>
    </row>
    <row r="38" spans="1:88" ht="15.75" thickBot="1" x14ac:dyDescent="0.3">
      <c r="A38" s="131" t="s">
        <v>22</v>
      </c>
      <c r="B38" s="66">
        <f t="shared" ref="B38:AG38" si="4">SUM(B11:B36)</f>
        <v>806</v>
      </c>
      <c r="C38" s="66">
        <f t="shared" si="4"/>
        <v>784</v>
      </c>
      <c r="D38" s="66">
        <f t="shared" si="4"/>
        <v>795</v>
      </c>
      <c r="E38" s="66">
        <f t="shared" si="4"/>
        <v>795</v>
      </c>
      <c r="F38" s="66">
        <f t="shared" si="4"/>
        <v>763</v>
      </c>
      <c r="G38" s="66">
        <f t="shared" si="4"/>
        <v>755</v>
      </c>
      <c r="H38" s="66">
        <f t="shared" si="4"/>
        <v>765</v>
      </c>
      <c r="I38" s="66">
        <f t="shared" si="4"/>
        <v>786.55</v>
      </c>
      <c r="J38" s="66">
        <f t="shared" si="4"/>
        <v>796.55</v>
      </c>
      <c r="K38" s="66">
        <f t="shared" si="4"/>
        <v>800.45</v>
      </c>
      <c r="L38" s="66">
        <f t="shared" si="4"/>
        <v>790.45</v>
      </c>
      <c r="M38" s="66">
        <f t="shared" si="4"/>
        <v>792.8</v>
      </c>
      <c r="N38" s="66">
        <f t="shared" si="4"/>
        <v>782.7</v>
      </c>
      <c r="O38" s="66">
        <f t="shared" si="4"/>
        <v>808</v>
      </c>
      <c r="P38" s="66">
        <f t="shared" si="4"/>
        <v>702.1</v>
      </c>
      <c r="Q38" s="66">
        <f t="shared" si="4"/>
        <v>788.3</v>
      </c>
      <c r="R38" s="66">
        <f t="shared" si="4"/>
        <v>785.80000000000007</v>
      </c>
      <c r="S38" s="66">
        <f t="shared" si="4"/>
        <v>827.30000000000007</v>
      </c>
      <c r="T38" s="66">
        <f t="shared" si="4"/>
        <v>827.30000000000007</v>
      </c>
      <c r="U38" s="66">
        <f t="shared" si="4"/>
        <v>839.80000000000007</v>
      </c>
      <c r="V38" s="66">
        <f t="shared" si="4"/>
        <v>839.80000000000007</v>
      </c>
      <c r="W38" s="66">
        <f t="shared" si="4"/>
        <v>824.80000000000007</v>
      </c>
      <c r="X38" s="66">
        <f t="shared" si="4"/>
        <v>824.80000000000007</v>
      </c>
      <c r="Y38" s="66">
        <f t="shared" si="4"/>
        <v>824.80000000000007</v>
      </c>
      <c r="Z38" s="66">
        <f t="shared" si="4"/>
        <v>839.80000000000007</v>
      </c>
      <c r="AA38" s="66">
        <f t="shared" si="4"/>
        <v>839.80000000000007</v>
      </c>
      <c r="AB38" s="66">
        <f t="shared" si="4"/>
        <v>834.80000000000007</v>
      </c>
      <c r="AC38" s="66">
        <f t="shared" si="4"/>
        <v>834.40000000000009</v>
      </c>
      <c r="AD38" s="66">
        <f t="shared" si="4"/>
        <v>834.40000000000009</v>
      </c>
      <c r="AE38" s="66">
        <f t="shared" si="4"/>
        <v>785.40000000000009</v>
      </c>
      <c r="AF38" s="66">
        <f t="shared" si="4"/>
        <v>782.90000000000009</v>
      </c>
      <c r="AG38" s="143">
        <f t="shared" si="4"/>
        <v>665.78</v>
      </c>
      <c r="AH38" s="54">
        <f t="shared" si="2"/>
        <v>839.80000000000007</v>
      </c>
      <c r="AI38" s="55">
        <f t="shared" si="3"/>
        <v>702.1</v>
      </c>
      <c r="AK38" s="56"/>
    </row>
    <row r="39" spans="1:88" x14ac:dyDescent="0.25">
      <c r="A39" s="159" t="s">
        <v>130</v>
      </c>
      <c r="B39" s="50">
        <v>456</v>
      </c>
      <c r="C39" s="50">
        <v>456</v>
      </c>
      <c r="D39" s="50">
        <v>456</v>
      </c>
      <c r="E39" s="50">
        <v>456</v>
      </c>
      <c r="F39" s="50">
        <v>456</v>
      </c>
      <c r="G39" s="50">
        <v>456</v>
      </c>
      <c r="H39" s="50">
        <v>456</v>
      </c>
      <c r="I39" s="50">
        <v>456</v>
      </c>
      <c r="J39" s="50">
        <v>456</v>
      </c>
      <c r="K39" s="50">
        <v>456</v>
      </c>
      <c r="L39" s="50">
        <v>456</v>
      </c>
      <c r="M39" s="50">
        <v>456</v>
      </c>
      <c r="N39" s="50">
        <v>456</v>
      </c>
      <c r="O39" s="50">
        <v>456</v>
      </c>
      <c r="P39" s="50">
        <v>456</v>
      </c>
      <c r="Q39" s="50">
        <v>456</v>
      </c>
      <c r="R39" s="50">
        <v>456</v>
      </c>
      <c r="S39" s="50">
        <v>456</v>
      </c>
      <c r="T39" s="50">
        <v>456</v>
      </c>
      <c r="U39" s="50">
        <v>456</v>
      </c>
      <c r="V39" s="50">
        <v>456</v>
      </c>
      <c r="W39" s="50">
        <v>456</v>
      </c>
      <c r="X39" s="50">
        <v>456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456</v>
      </c>
      <c r="AF39" s="50">
        <v>456</v>
      </c>
      <c r="AG39" s="135">
        <v>456</v>
      </c>
      <c r="AH39" s="54">
        <f t="shared" si="2"/>
        <v>456</v>
      </c>
      <c r="AI39" s="55">
        <f t="shared" si="3"/>
        <v>456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f>SUM(B39:B41)</f>
        <v>538</v>
      </c>
      <c r="C42" s="66">
        <f t="shared" ref="C42:AG42" si="5">SUM(C39:C41)</f>
        <v>538</v>
      </c>
      <c r="D42" s="66">
        <f t="shared" si="5"/>
        <v>538</v>
      </c>
      <c r="E42" s="66">
        <f t="shared" si="5"/>
        <v>538</v>
      </c>
      <c r="F42" s="66">
        <f t="shared" si="5"/>
        <v>538</v>
      </c>
      <c r="G42" s="66">
        <f t="shared" si="5"/>
        <v>538</v>
      </c>
      <c r="H42" s="66">
        <f t="shared" si="5"/>
        <v>538</v>
      </c>
      <c r="I42" s="66">
        <f t="shared" si="5"/>
        <v>538</v>
      </c>
      <c r="J42" s="66">
        <f t="shared" si="5"/>
        <v>538</v>
      </c>
      <c r="K42" s="66">
        <f t="shared" si="5"/>
        <v>538</v>
      </c>
      <c r="L42" s="66">
        <f t="shared" si="5"/>
        <v>538</v>
      </c>
      <c r="M42" s="66">
        <f t="shared" si="5"/>
        <v>538</v>
      </c>
      <c r="N42" s="66">
        <f t="shared" si="5"/>
        <v>538</v>
      </c>
      <c r="O42" s="66">
        <f t="shared" si="5"/>
        <v>538</v>
      </c>
      <c r="P42" s="66">
        <f t="shared" si="5"/>
        <v>538</v>
      </c>
      <c r="Q42" s="66">
        <f t="shared" si="5"/>
        <v>538</v>
      </c>
      <c r="R42" s="66">
        <f t="shared" si="5"/>
        <v>538</v>
      </c>
      <c r="S42" s="66">
        <f t="shared" si="5"/>
        <v>538</v>
      </c>
      <c r="T42" s="66">
        <f t="shared" si="5"/>
        <v>538</v>
      </c>
      <c r="U42" s="66">
        <f t="shared" si="5"/>
        <v>538</v>
      </c>
      <c r="V42" s="66">
        <f t="shared" si="5"/>
        <v>538</v>
      </c>
      <c r="W42" s="66">
        <f t="shared" si="5"/>
        <v>538</v>
      </c>
      <c r="X42" s="66">
        <f t="shared" si="5"/>
        <v>538</v>
      </c>
      <c r="Y42" s="66">
        <f t="shared" si="5"/>
        <v>538</v>
      </c>
      <c r="Z42" s="66">
        <f t="shared" si="5"/>
        <v>538</v>
      </c>
      <c r="AA42" s="66">
        <f t="shared" si="5"/>
        <v>538</v>
      </c>
      <c r="AB42" s="66">
        <f t="shared" si="5"/>
        <v>538</v>
      </c>
      <c r="AC42" s="66">
        <f t="shared" si="5"/>
        <v>538</v>
      </c>
      <c r="AD42" s="66">
        <f t="shared" si="5"/>
        <v>538</v>
      </c>
      <c r="AE42" s="66">
        <f t="shared" si="5"/>
        <v>538</v>
      </c>
      <c r="AF42" s="66">
        <f t="shared" si="5"/>
        <v>538</v>
      </c>
      <c r="AG42" s="143">
        <f t="shared" si="5"/>
        <v>538.1</v>
      </c>
      <c r="AH42" s="54">
        <f t="shared" si="2"/>
        <v>538</v>
      </c>
      <c r="AI42" s="55">
        <f t="shared" si="3"/>
        <v>538</v>
      </c>
      <c r="AK42" s="56"/>
    </row>
    <row r="43" spans="1:88" x14ac:dyDescent="0.25">
      <c r="A43" s="57" t="s">
        <v>23</v>
      </c>
      <c r="B43" s="50">
        <v>140.19999999999999</v>
      </c>
      <c r="C43" s="50">
        <v>140.19999999999999</v>
      </c>
      <c r="D43" s="50">
        <v>140.19999999999999</v>
      </c>
      <c r="E43" s="50">
        <v>142.30000000000001</v>
      </c>
      <c r="F43" s="50">
        <v>142</v>
      </c>
      <c r="G43" s="50">
        <v>141.6</v>
      </c>
      <c r="H43" s="50">
        <v>143.30000000000001</v>
      </c>
      <c r="I43" s="50">
        <v>142.69999999999999</v>
      </c>
      <c r="J43" s="50">
        <v>142.19999999999999</v>
      </c>
      <c r="K43" s="50">
        <v>141.30000000000001</v>
      </c>
      <c r="L43" s="50">
        <v>141.30000000000001</v>
      </c>
      <c r="M43" s="50">
        <v>140.4</v>
      </c>
      <c r="N43" s="50">
        <v>139.5</v>
      </c>
      <c r="O43" s="50">
        <v>138.5</v>
      </c>
      <c r="P43" s="50">
        <v>95</v>
      </c>
      <c r="Q43" s="50">
        <v>0</v>
      </c>
      <c r="R43" s="50">
        <v>0</v>
      </c>
      <c r="S43" s="50">
        <v>138</v>
      </c>
      <c r="T43" s="50">
        <v>138</v>
      </c>
      <c r="U43" s="50">
        <v>138</v>
      </c>
      <c r="V43" s="50">
        <v>138.5</v>
      </c>
      <c r="W43" s="50">
        <v>140</v>
      </c>
      <c r="X43" s="50">
        <v>140</v>
      </c>
      <c r="Y43" s="50">
        <v>140</v>
      </c>
      <c r="Z43" s="50">
        <v>140</v>
      </c>
      <c r="AA43" s="50">
        <v>140</v>
      </c>
      <c r="AB43" s="50">
        <v>140.5</v>
      </c>
      <c r="AC43" s="50">
        <v>140.4</v>
      </c>
      <c r="AD43" s="50">
        <v>143.6</v>
      </c>
      <c r="AE43" s="50">
        <v>142</v>
      </c>
      <c r="AF43" s="50">
        <v>142</v>
      </c>
      <c r="AG43" s="135">
        <v>144</v>
      </c>
      <c r="AH43" s="54">
        <f t="shared" si="2"/>
        <v>143.6</v>
      </c>
      <c r="AI43" s="55">
        <f t="shared" si="3"/>
        <v>0</v>
      </c>
      <c r="AK43" s="56"/>
    </row>
    <row r="44" spans="1:88" x14ac:dyDescent="0.25">
      <c r="A44" s="60" t="s">
        <v>24</v>
      </c>
      <c r="B44" s="48">
        <v>71</v>
      </c>
      <c r="C44" s="48">
        <v>71</v>
      </c>
      <c r="D44" s="48">
        <v>71</v>
      </c>
      <c r="E44" s="48">
        <v>70.3</v>
      </c>
      <c r="F44" s="48">
        <v>70.599999999999994</v>
      </c>
      <c r="G44" s="48">
        <v>70.3</v>
      </c>
      <c r="H44" s="48">
        <v>70.3</v>
      </c>
      <c r="I44" s="48">
        <v>70.8</v>
      </c>
      <c r="J44" s="48">
        <v>72.5</v>
      </c>
      <c r="K44" s="48">
        <v>69.5</v>
      </c>
      <c r="L44" s="48">
        <v>69.5</v>
      </c>
      <c r="M44" s="50">
        <v>71.5</v>
      </c>
      <c r="N44" s="50">
        <v>70.900000000000006</v>
      </c>
      <c r="O44" s="50">
        <v>70.900000000000006</v>
      </c>
      <c r="P44" s="50">
        <v>70.900000000000006</v>
      </c>
      <c r="Q44" s="50">
        <v>73.8</v>
      </c>
      <c r="R44" s="50">
        <v>73.599999999999994</v>
      </c>
      <c r="S44" s="50">
        <v>73.599999999999994</v>
      </c>
      <c r="T44" s="50">
        <v>73.599999999999994</v>
      </c>
      <c r="U44" s="50">
        <v>73.599999999999994</v>
      </c>
      <c r="V44" s="50">
        <v>73.599999999999994</v>
      </c>
      <c r="W44" s="50">
        <v>73.599999999999994</v>
      </c>
      <c r="X44" s="50">
        <v>73.599999999999994</v>
      </c>
      <c r="Y44" s="50">
        <v>73.599999999999994</v>
      </c>
      <c r="Z44" s="50">
        <v>73.599999999999994</v>
      </c>
      <c r="AA44" s="50">
        <v>73.599999999999994</v>
      </c>
      <c r="AB44" s="48">
        <v>71.8</v>
      </c>
      <c r="AC44" s="48">
        <v>70.599999999999994</v>
      </c>
      <c r="AD44" s="48">
        <v>70.599999999999994</v>
      </c>
      <c r="AE44" s="48">
        <v>71</v>
      </c>
      <c r="AF44" s="48">
        <v>69.900000000000006</v>
      </c>
      <c r="AG44" s="136">
        <v>70</v>
      </c>
      <c r="AH44" s="54">
        <f t="shared" si="2"/>
        <v>73.8</v>
      </c>
      <c r="AI44" s="55">
        <f t="shared" si="3"/>
        <v>69.5</v>
      </c>
      <c r="AK44" s="56"/>
    </row>
    <row r="45" spans="1:88" x14ac:dyDescent="0.25">
      <c r="A45" s="60" t="s">
        <v>25</v>
      </c>
      <c r="B45" s="48">
        <v>64.2</v>
      </c>
      <c r="C45" s="48">
        <v>64.2</v>
      </c>
      <c r="D45" s="48">
        <v>64.2</v>
      </c>
      <c r="E45" s="48">
        <v>63.7</v>
      </c>
      <c r="F45" s="48">
        <v>63.6</v>
      </c>
      <c r="G45" s="48">
        <v>63.2</v>
      </c>
      <c r="H45" s="48">
        <v>63.2</v>
      </c>
      <c r="I45" s="48">
        <v>63.2</v>
      </c>
      <c r="J45" s="48">
        <v>63.5</v>
      </c>
      <c r="K45" s="48">
        <v>63.4</v>
      </c>
      <c r="L45" s="48">
        <v>63.4</v>
      </c>
      <c r="M45" s="50">
        <v>62.3</v>
      </c>
      <c r="N45" s="50">
        <v>60.4</v>
      </c>
      <c r="O45" s="50">
        <v>60.4</v>
      </c>
      <c r="P45" s="50">
        <v>62.8</v>
      </c>
      <c r="Q45" s="50">
        <v>62.8</v>
      </c>
      <c r="R45" s="50">
        <v>62.3</v>
      </c>
      <c r="S45" s="50">
        <v>62.3</v>
      </c>
      <c r="T45" s="50">
        <v>62.3</v>
      </c>
      <c r="U45" s="50">
        <v>62.3</v>
      </c>
      <c r="V45" s="50">
        <v>62.3</v>
      </c>
      <c r="W45" s="50">
        <v>62.3</v>
      </c>
      <c r="X45" s="50">
        <v>62.3</v>
      </c>
      <c r="Y45" s="50">
        <v>62.3</v>
      </c>
      <c r="Z45" s="50">
        <v>62.3</v>
      </c>
      <c r="AA45" s="50">
        <v>62.3</v>
      </c>
      <c r="AB45" s="48">
        <v>60</v>
      </c>
      <c r="AC45" s="48">
        <v>63</v>
      </c>
      <c r="AD45" s="48">
        <v>63</v>
      </c>
      <c r="AE45" s="48">
        <v>63.6</v>
      </c>
      <c r="AF45" s="48">
        <v>63.3</v>
      </c>
      <c r="AG45" s="136">
        <v>69</v>
      </c>
      <c r="AH45" s="54">
        <f t="shared" si="2"/>
        <v>64.2</v>
      </c>
      <c r="AI45" s="55">
        <f t="shared" si="3"/>
        <v>60</v>
      </c>
      <c r="AK45" s="56"/>
    </row>
    <row r="46" spans="1:88" x14ac:dyDescent="0.25">
      <c r="A46" s="60" t="s">
        <v>26</v>
      </c>
      <c r="B46" s="62">
        <v>60.9</v>
      </c>
      <c r="C46" s="62">
        <v>60.9</v>
      </c>
      <c r="D46" s="62">
        <v>60.9</v>
      </c>
      <c r="E46" s="62">
        <v>60.7</v>
      </c>
      <c r="F46" s="62">
        <v>60.9</v>
      </c>
      <c r="G46" s="62">
        <v>60.4</v>
      </c>
      <c r="H46" s="62">
        <v>60.4</v>
      </c>
      <c r="I46" s="62">
        <v>0</v>
      </c>
      <c r="J46" s="62">
        <v>62</v>
      </c>
      <c r="K46" s="62">
        <v>60.4</v>
      </c>
      <c r="L46" s="62">
        <v>60.4</v>
      </c>
      <c r="M46" s="50">
        <v>60.4</v>
      </c>
      <c r="N46" s="50">
        <v>60.4</v>
      </c>
      <c r="O46" s="50">
        <v>60.4</v>
      </c>
      <c r="P46" s="50">
        <v>60.4</v>
      </c>
      <c r="Q46" s="50">
        <v>60.4</v>
      </c>
      <c r="R46" s="50">
        <v>60.4</v>
      </c>
      <c r="S46" s="50">
        <v>60.4</v>
      </c>
      <c r="T46" s="50">
        <v>60.4</v>
      </c>
      <c r="U46" s="50">
        <v>60.4</v>
      </c>
      <c r="V46" s="50">
        <v>60.4</v>
      </c>
      <c r="W46" s="50">
        <v>60.4</v>
      </c>
      <c r="X46" s="50">
        <v>60.4</v>
      </c>
      <c r="Y46" s="50">
        <v>60.4</v>
      </c>
      <c r="Z46" s="50">
        <v>60</v>
      </c>
      <c r="AA46" s="50">
        <v>60</v>
      </c>
      <c r="AB46" s="62">
        <v>60</v>
      </c>
      <c r="AC46" s="62">
        <v>60</v>
      </c>
      <c r="AD46" s="62">
        <v>60</v>
      </c>
      <c r="AE46" s="62">
        <v>60</v>
      </c>
      <c r="AF46" s="62">
        <v>60</v>
      </c>
      <c r="AG46" s="136">
        <v>60</v>
      </c>
      <c r="AH46" s="54">
        <f t="shared" si="2"/>
        <v>62</v>
      </c>
      <c r="AI46" s="55">
        <f t="shared" si="3"/>
        <v>0</v>
      </c>
      <c r="AK46" s="56"/>
    </row>
    <row r="47" spans="1:88" x14ac:dyDescent="0.25">
      <c r="A47" s="60" t="s">
        <v>27</v>
      </c>
      <c r="B47" s="62">
        <v>28.3</v>
      </c>
      <c r="C47" s="62">
        <v>28.3</v>
      </c>
      <c r="D47" s="62">
        <v>28.3</v>
      </c>
      <c r="E47" s="62">
        <v>28.3</v>
      </c>
      <c r="F47" s="62">
        <v>28.3</v>
      </c>
      <c r="G47" s="62">
        <v>28.3</v>
      </c>
      <c r="H47" s="62">
        <v>28.3</v>
      </c>
      <c r="I47" s="62">
        <v>28.3</v>
      </c>
      <c r="J47" s="62">
        <v>28.3</v>
      </c>
      <c r="K47" s="62">
        <v>28.3</v>
      </c>
      <c r="L47" s="62">
        <v>28.3</v>
      </c>
      <c r="M47" s="50">
        <v>28.3</v>
      </c>
      <c r="N47" s="50">
        <v>28.4</v>
      </c>
      <c r="O47" s="50">
        <v>28.4</v>
      </c>
      <c r="P47" s="50">
        <v>28.3</v>
      </c>
      <c r="Q47" s="50">
        <v>28.2</v>
      </c>
      <c r="R47" s="50">
        <v>28.2</v>
      </c>
      <c r="S47" s="50">
        <v>28.2</v>
      </c>
      <c r="T47" s="50">
        <v>28.2</v>
      </c>
      <c r="U47" s="50">
        <v>28.2</v>
      </c>
      <c r="V47" s="50">
        <v>0</v>
      </c>
      <c r="W47" s="50">
        <v>0</v>
      </c>
      <c r="X47" s="50">
        <v>0</v>
      </c>
      <c r="Y47" s="50">
        <v>0</v>
      </c>
      <c r="Z47" s="50">
        <v>0</v>
      </c>
      <c r="AA47" s="50">
        <v>0</v>
      </c>
      <c r="AB47" s="62">
        <v>28.9</v>
      </c>
      <c r="AC47" s="62">
        <v>29</v>
      </c>
      <c r="AD47" s="62">
        <v>29</v>
      </c>
      <c r="AE47" s="62">
        <v>29</v>
      </c>
      <c r="AF47" s="62">
        <v>29</v>
      </c>
      <c r="AG47" s="136">
        <v>30</v>
      </c>
      <c r="AH47" s="54">
        <f t="shared" si="2"/>
        <v>29</v>
      </c>
      <c r="AI47" s="55">
        <f t="shared" si="3"/>
        <v>0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48">
        <v>0</v>
      </c>
      <c r="M48" s="50">
        <v>4</v>
      </c>
      <c r="N48" s="50">
        <v>4</v>
      </c>
      <c r="O48" s="50">
        <v>4</v>
      </c>
      <c r="P48" s="50">
        <v>7</v>
      </c>
      <c r="Q48" s="50">
        <v>8</v>
      </c>
      <c r="R48" s="50">
        <v>8</v>
      </c>
      <c r="S48" s="50">
        <v>8</v>
      </c>
      <c r="T48" s="50">
        <v>8</v>
      </c>
      <c r="U48" s="50">
        <v>8</v>
      </c>
      <c r="V48" s="50">
        <v>8</v>
      </c>
      <c r="W48" s="50">
        <v>8</v>
      </c>
      <c r="X48" s="50">
        <v>8</v>
      </c>
      <c r="Y48" s="50">
        <v>8</v>
      </c>
      <c r="Z48" s="50">
        <v>0</v>
      </c>
      <c r="AA48" s="50">
        <v>0</v>
      </c>
      <c r="AB48" s="48">
        <v>0</v>
      </c>
      <c r="AC48" s="48">
        <v>0</v>
      </c>
      <c r="AD48" s="48">
        <v>0</v>
      </c>
      <c r="AE48" s="48">
        <v>0</v>
      </c>
      <c r="AF48" s="48">
        <v>0</v>
      </c>
      <c r="AG48" s="136">
        <v>25</v>
      </c>
      <c r="AH48" s="54">
        <f t="shared" si="2"/>
        <v>8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16.899999999999999</v>
      </c>
      <c r="C49" s="48">
        <v>16.899999999999999</v>
      </c>
      <c r="D49" s="48">
        <v>16.899999999999999</v>
      </c>
      <c r="E49" s="48">
        <v>16.899999999999999</v>
      </c>
      <c r="F49" s="48">
        <v>16.899999999999999</v>
      </c>
      <c r="G49" s="48">
        <v>16.899999999999999</v>
      </c>
      <c r="H49" s="48">
        <v>16.899999999999999</v>
      </c>
      <c r="I49" s="48">
        <v>16.899999999999999</v>
      </c>
      <c r="J49" s="48">
        <v>16.899999999999999</v>
      </c>
      <c r="K49" s="48">
        <v>16.899999999999999</v>
      </c>
      <c r="L49" s="48">
        <v>16.899999999999999</v>
      </c>
      <c r="M49" s="50">
        <v>14.1</v>
      </c>
      <c r="N49" s="50">
        <v>14.1</v>
      </c>
      <c r="O49" s="50">
        <v>14.1</v>
      </c>
      <c r="P49" s="50">
        <v>12</v>
      </c>
      <c r="Q49" s="50">
        <v>14</v>
      </c>
      <c r="R49" s="50">
        <v>14.4</v>
      </c>
      <c r="S49" s="50">
        <v>14.4</v>
      </c>
      <c r="T49" s="50">
        <v>14.4</v>
      </c>
      <c r="U49" s="50">
        <v>14.4</v>
      </c>
      <c r="V49" s="50">
        <v>14.4</v>
      </c>
      <c r="W49" s="50">
        <v>14.4</v>
      </c>
      <c r="X49" s="50">
        <v>14.4</v>
      </c>
      <c r="Y49" s="50">
        <v>14.4</v>
      </c>
      <c r="Z49" s="50">
        <v>14</v>
      </c>
      <c r="AA49" s="50">
        <v>14.4</v>
      </c>
      <c r="AB49" s="48">
        <v>14.4</v>
      </c>
      <c r="AC49" s="48">
        <v>14.4</v>
      </c>
      <c r="AD49" s="48">
        <v>14.4</v>
      </c>
      <c r="AE49" s="48">
        <v>14.4</v>
      </c>
      <c r="AF49" s="48">
        <v>14.4</v>
      </c>
      <c r="AG49" s="136">
        <v>24</v>
      </c>
      <c r="AH49" s="54">
        <f t="shared" si="2"/>
        <v>16.899999999999999</v>
      </c>
      <c r="AI49" s="55">
        <f t="shared" si="3"/>
        <v>12</v>
      </c>
      <c r="AK49" s="56"/>
    </row>
    <row r="50" spans="1:41" x14ac:dyDescent="0.25">
      <c r="A50" s="60" t="s">
        <v>30</v>
      </c>
      <c r="B50" s="48">
        <v>2</v>
      </c>
      <c r="C50" s="48">
        <v>2</v>
      </c>
      <c r="D50" s="48">
        <v>2</v>
      </c>
      <c r="E50" s="48">
        <v>2</v>
      </c>
      <c r="F50" s="48">
        <v>2</v>
      </c>
      <c r="G50" s="48">
        <v>2</v>
      </c>
      <c r="H50" s="48">
        <v>2</v>
      </c>
      <c r="I50" s="48">
        <v>2</v>
      </c>
      <c r="J50" s="48">
        <v>2</v>
      </c>
      <c r="K50" s="48">
        <v>2</v>
      </c>
      <c r="L50" s="48">
        <v>2</v>
      </c>
      <c r="M50" s="50">
        <v>2</v>
      </c>
      <c r="N50" s="50">
        <v>2</v>
      </c>
      <c r="O50" s="50">
        <v>2</v>
      </c>
      <c r="P50" s="50">
        <v>0</v>
      </c>
      <c r="Q50" s="50">
        <v>0</v>
      </c>
      <c r="R50" s="50">
        <v>0</v>
      </c>
      <c r="S50" s="50">
        <v>0</v>
      </c>
      <c r="T50" s="50">
        <v>0</v>
      </c>
      <c r="U50" s="50">
        <v>0</v>
      </c>
      <c r="V50" s="50">
        <v>0</v>
      </c>
      <c r="W50" s="50">
        <v>0</v>
      </c>
      <c r="X50" s="50">
        <v>0</v>
      </c>
      <c r="Y50" s="50">
        <v>0</v>
      </c>
      <c r="Z50" s="50">
        <v>0</v>
      </c>
      <c r="AA50" s="50">
        <v>0</v>
      </c>
      <c r="AB50" s="48">
        <v>2</v>
      </c>
      <c r="AC50" s="48">
        <v>2</v>
      </c>
      <c r="AD50" s="48">
        <v>2</v>
      </c>
      <c r="AE50" s="48">
        <v>2</v>
      </c>
      <c r="AF50" s="48">
        <v>2</v>
      </c>
      <c r="AG50" s="136">
        <v>15</v>
      </c>
      <c r="AH50" s="54">
        <f t="shared" si="2"/>
        <v>2</v>
      </c>
      <c r="AI50" s="55">
        <f t="shared" si="3"/>
        <v>0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12</v>
      </c>
      <c r="C51" s="48">
        <v>12</v>
      </c>
      <c r="D51" s="48">
        <v>12</v>
      </c>
      <c r="E51" s="48">
        <v>12</v>
      </c>
      <c r="F51" s="48">
        <v>12</v>
      </c>
      <c r="G51" s="48">
        <v>12</v>
      </c>
      <c r="H51" s="48">
        <v>12</v>
      </c>
      <c r="I51" s="48">
        <v>12</v>
      </c>
      <c r="J51" s="48">
        <v>12</v>
      </c>
      <c r="K51" s="48">
        <v>12</v>
      </c>
      <c r="L51" s="48">
        <v>12</v>
      </c>
      <c r="M51" s="50">
        <v>8.8000000000000007</v>
      </c>
      <c r="N51" s="50">
        <v>8.8000000000000007</v>
      </c>
      <c r="O51" s="50">
        <v>8.8000000000000007</v>
      </c>
      <c r="P51" s="50">
        <v>9</v>
      </c>
      <c r="Q51" s="50">
        <v>9.1</v>
      </c>
      <c r="R51" s="50">
        <v>9.1</v>
      </c>
      <c r="S51" s="50">
        <v>9.1</v>
      </c>
      <c r="T51" s="50">
        <v>9.1</v>
      </c>
      <c r="U51" s="50">
        <v>9.1</v>
      </c>
      <c r="V51" s="50">
        <v>9.1</v>
      </c>
      <c r="W51" s="50">
        <v>9.1</v>
      </c>
      <c r="X51" s="50">
        <v>9.1</v>
      </c>
      <c r="Y51" s="50">
        <v>9.1</v>
      </c>
      <c r="Z51" s="50">
        <v>9.1</v>
      </c>
      <c r="AA51" s="50">
        <v>9.1</v>
      </c>
      <c r="AB51" s="48">
        <v>9.1</v>
      </c>
      <c r="AC51" s="48">
        <v>9.1</v>
      </c>
      <c r="AD51" s="48">
        <v>9.1</v>
      </c>
      <c r="AE51" s="48">
        <v>9.1</v>
      </c>
      <c r="AF51" s="48">
        <v>9.1</v>
      </c>
      <c r="AG51" s="136">
        <v>14.1</v>
      </c>
      <c r="AH51" s="54">
        <f t="shared" si="2"/>
        <v>12</v>
      </c>
      <c r="AI51" s="55">
        <f t="shared" si="3"/>
        <v>8.8000000000000007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13.8</v>
      </c>
      <c r="C52" s="48">
        <v>13.8</v>
      </c>
      <c r="D52" s="48">
        <v>13.8</v>
      </c>
      <c r="E52" s="48">
        <v>13.8</v>
      </c>
      <c r="F52" s="48">
        <v>13.8</v>
      </c>
      <c r="G52" s="48">
        <v>13.8</v>
      </c>
      <c r="H52" s="48">
        <v>13.8</v>
      </c>
      <c r="I52" s="48">
        <v>13.8</v>
      </c>
      <c r="J52" s="48">
        <v>13.8</v>
      </c>
      <c r="K52" s="48">
        <v>13.8</v>
      </c>
      <c r="L52" s="48">
        <v>13.8</v>
      </c>
      <c r="M52" s="50">
        <v>13.9</v>
      </c>
      <c r="N52" s="50">
        <v>13.9</v>
      </c>
      <c r="O52" s="50">
        <v>13.9</v>
      </c>
      <c r="P52" s="50">
        <v>13.8</v>
      </c>
      <c r="Q52" s="50">
        <v>13.8</v>
      </c>
      <c r="R52" s="50">
        <v>13.8</v>
      </c>
      <c r="S52" s="50">
        <v>13.8</v>
      </c>
      <c r="T52" s="50">
        <v>13.8</v>
      </c>
      <c r="U52" s="50">
        <v>13.8</v>
      </c>
      <c r="V52" s="50">
        <v>13.8</v>
      </c>
      <c r="W52" s="50">
        <v>13.8</v>
      </c>
      <c r="X52" s="50">
        <v>13.8</v>
      </c>
      <c r="Y52" s="50">
        <v>13.8</v>
      </c>
      <c r="Z52" s="50">
        <v>13.8</v>
      </c>
      <c r="AA52" s="50">
        <v>13.8</v>
      </c>
      <c r="AB52" s="48">
        <v>13.8</v>
      </c>
      <c r="AC52" s="48">
        <v>13.8</v>
      </c>
      <c r="AD52" s="48">
        <v>13.8</v>
      </c>
      <c r="AE52" s="48">
        <v>13.8</v>
      </c>
      <c r="AF52" s="48">
        <v>5</v>
      </c>
      <c r="AG52" s="136">
        <v>14</v>
      </c>
      <c r="AH52" s="54">
        <f t="shared" si="2"/>
        <v>13.9</v>
      </c>
      <c r="AI52" s="55">
        <f t="shared" si="3"/>
        <v>5</v>
      </c>
      <c r="AK52" s="56"/>
    </row>
    <row r="53" spans="1:41" x14ac:dyDescent="0.25">
      <c r="A53" s="60" t="s">
        <v>33</v>
      </c>
      <c r="B53" s="48">
        <v>6.1</v>
      </c>
      <c r="C53" s="48">
        <v>0</v>
      </c>
      <c r="D53" s="48">
        <v>0</v>
      </c>
      <c r="E53" s="48">
        <v>0</v>
      </c>
      <c r="F53" s="48">
        <v>0</v>
      </c>
      <c r="G53" s="48">
        <v>0</v>
      </c>
      <c r="H53" s="48">
        <v>0</v>
      </c>
      <c r="I53" s="48">
        <v>0</v>
      </c>
      <c r="J53" s="48">
        <v>0</v>
      </c>
      <c r="K53" s="48">
        <v>0</v>
      </c>
      <c r="L53" s="48">
        <v>0</v>
      </c>
      <c r="M53" s="48">
        <v>6.4</v>
      </c>
      <c r="N53" s="48">
        <v>6.4</v>
      </c>
      <c r="O53" s="48">
        <v>6.4</v>
      </c>
      <c r="P53" s="50">
        <v>6.4</v>
      </c>
      <c r="Q53" s="50">
        <v>6.4</v>
      </c>
      <c r="R53" s="50">
        <v>6.4</v>
      </c>
      <c r="S53" s="50">
        <v>6.4</v>
      </c>
      <c r="T53" s="50">
        <v>6.4</v>
      </c>
      <c r="U53" s="50">
        <v>6.4</v>
      </c>
      <c r="V53" s="50">
        <v>6.4</v>
      </c>
      <c r="W53" s="50">
        <v>6.4</v>
      </c>
      <c r="X53" s="50">
        <v>6.4</v>
      </c>
      <c r="Y53" s="50">
        <v>6.4</v>
      </c>
      <c r="Z53" s="50">
        <v>6.4</v>
      </c>
      <c r="AA53" s="50">
        <v>6.4</v>
      </c>
      <c r="AB53" s="48">
        <v>6.4</v>
      </c>
      <c r="AC53" s="48">
        <v>6.4</v>
      </c>
      <c r="AD53" s="48">
        <v>6.4</v>
      </c>
      <c r="AE53" s="48">
        <v>6.4</v>
      </c>
      <c r="AF53" s="48">
        <v>6.4</v>
      </c>
      <c r="AG53" s="136">
        <v>10.050000000000001</v>
      </c>
      <c r="AH53" s="54">
        <f t="shared" si="2"/>
        <v>6.4</v>
      </c>
      <c r="AI53" s="55">
        <f t="shared" si="3"/>
        <v>0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48">
        <v>6.2</v>
      </c>
      <c r="N54" s="48">
        <v>6.2</v>
      </c>
      <c r="O54" s="48">
        <v>6.2</v>
      </c>
      <c r="P54" s="50">
        <v>6.2</v>
      </c>
      <c r="Q54" s="50">
        <v>6.2</v>
      </c>
      <c r="R54" s="50">
        <v>6.2</v>
      </c>
      <c r="S54" s="50">
        <v>6.2</v>
      </c>
      <c r="T54" s="50">
        <v>6.2</v>
      </c>
      <c r="U54" s="50">
        <v>6.2</v>
      </c>
      <c r="V54" s="50">
        <v>6.2</v>
      </c>
      <c r="W54" s="50">
        <v>6.2</v>
      </c>
      <c r="X54" s="50">
        <v>6.2</v>
      </c>
      <c r="Y54" s="50">
        <v>6.2</v>
      </c>
      <c r="Z54" s="50">
        <v>6.2</v>
      </c>
      <c r="AA54" s="50">
        <v>6.2</v>
      </c>
      <c r="AB54" s="48">
        <v>6.2</v>
      </c>
      <c r="AC54" s="48">
        <v>6.2</v>
      </c>
      <c r="AD54" s="48">
        <v>6.2</v>
      </c>
      <c r="AE54" s="48">
        <v>6.2</v>
      </c>
      <c r="AF54" s="48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6">AG220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>SUM(B43:B55)</f>
        <v>425.14</v>
      </c>
      <c r="C56" s="66">
        <f t="shared" ref="C56:AG56" si="7">SUM(C43:C55)</f>
        <v>419.03999999999996</v>
      </c>
      <c r="D56" s="66">
        <f t="shared" si="7"/>
        <v>419.03999999999996</v>
      </c>
      <c r="E56" s="66">
        <f t="shared" si="7"/>
        <v>419.74</v>
      </c>
      <c r="F56" s="66">
        <f t="shared" si="7"/>
        <v>419.84</v>
      </c>
      <c r="G56" s="66">
        <f t="shared" si="7"/>
        <v>418.23999999999995</v>
      </c>
      <c r="H56" s="66">
        <f t="shared" si="7"/>
        <v>419.94</v>
      </c>
      <c r="I56" s="66">
        <f t="shared" si="7"/>
        <v>359.44</v>
      </c>
      <c r="J56" s="66">
        <f t="shared" si="7"/>
        <v>422.94</v>
      </c>
      <c r="K56" s="66">
        <f t="shared" si="7"/>
        <v>417.34</v>
      </c>
      <c r="L56" s="66">
        <f t="shared" si="7"/>
        <v>417.34</v>
      </c>
      <c r="M56" s="66">
        <f t="shared" si="7"/>
        <v>421.84</v>
      </c>
      <c r="N56" s="66">
        <f t="shared" si="7"/>
        <v>418.53999999999996</v>
      </c>
      <c r="O56" s="66">
        <f t="shared" si="7"/>
        <v>417.53999999999996</v>
      </c>
      <c r="P56" s="66">
        <f t="shared" si="7"/>
        <v>375.34</v>
      </c>
      <c r="Q56" s="66">
        <f t="shared" si="7"/>
        <v>286.24</v>
      </c>
      <c r="R56" s="66">
        <f t="shared" si="7"/>
        <v>285.93999999999994</v>
      </c>
      <c r="S56" s="66">
        <f t="shared" si="7"/>
        <v>423.93999999999994</v>
      </c>
      <c r="T56" s="66">
        <f t="shared" si="7"/>
        <v>423.93999999999994</v>
      </c>
      <c r="U56" s="66">
        <f t="shared" si="7"/>
        <v>423.93999999999994</v>
      </c>
      <c r="V56" s="66">
        <f t="shared" si="7"/>
        <v>396.23999999999995</v>
      </c>
      <c r="W56" s="66">
        <f t="shared" si="7"/>
        <v>397.73999999999995</v>
      </c>
      <c r="X56" s="66">
        <f t="shared" si="7"/>
        <v>397.73999999999995</v>
      </c>
      <c r="Y56" s="66">
        <f t="shared" si="7"/>
        <v>397.73999999999995</v>
      </c>
      <c r="Z56" s="66">
        <f t="shared" si="7"/>
        <v>388.94</v>
      </c>
      <c r="AA56" s="66">
        <f t="shared" si="7"/>
        <v>389.34</v>
      </c>
      <c r="AB56" s="66">
        <f t="shared" si="7"/>
        <v>416.64</v>
      </c>
      <c r="AC56" s="66">
        <f t="shared" si="7"/>
        <v>418.44</v>
      </c>
      <c r="AD56" s="66">
        <f t="shared" si="7"/>
        <v>421.64</v>
      </c>
      <c r="AE56" s="66">
        <f t="shared" si="7"/>
        <v>421.04</v>
      </c>
      <c r="AF56" s="66">
        <f t="shared" si="7"/>
        <v>410.84</v>
      </c>
      <c r="AG56" s="143">
        <f t="shared" si="7"/>
        <v>489.91</v>
      </c>
      <c r="AH56" s="54">
        <f t="shared" si="2"/>
        <v>425.14</v>
      </c>
      <c r="AI56" s="55">
        <f t="shared" si="3"/>
        <v>285.93999999999994</v>
      </c>
      <c r="AK56" s="56"/>
    </row>
    <row r="57" spans="1:41" x14ac:dyDescent="0.25">
      <c r="A57" s="57" t="s">
        <v>37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50</v>
      </c>
      <c r="R57" s="50">
        <v>60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0</v>
      </c>
      <c r="AB57" s="50">
        <v>0</v>
      </c>
      <c r="AC57" s="50">
        <v>0</v>
      </c>
      <c r="AD57" s="50">
        <v>0</v>
      </c>
      <c r="AE57" s="50">
        <v>0</v>
      </c>
      <c r="AF57" s="50">
        <v>0</v>
      </c>
      <c r="AG57" s="135">
        <v>60</v>
      </c>
      <c r="AH57" s="54">
        <f t="shared" si="2"/>
        <v>60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30</v>
      </c>
      <c r="R58" s="48">
        <v>31.3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136">
        <v>32</v>
      </c>
      <c r="AH58" s="54">
        <f t="shared" si="2"/>
        <v>31.3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70">
        <v>0</v>
      </c>
      <c r="P59" s="70">
        <v>0</v>
      </c>
      <c r="Q59" s="70">
        <v>11.1</v>
      </c>
      <c r="R59" s="70">
        <v>11.4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70">
        <v>0</v>
      </c>
      <c r="AB59" s="70">
        <v>0</v>
      </c>
      <c r="AC59" s="70">
        <v>0</v>
      </c>
      <c r="AD59" s="70">
        <v>0</v>
      </c>
      <c r="AE59" s="70">
        <v>0</v>
      </c>
      <c r="AF59" s="70">
        <v>0</v>
      </c>
      <c r="AG59" s="137">
        <v>14</v>
      </c>
      <c r="AH59" s="54">
        <f t="shared" si="2"/>
        <v>11.4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>SUM(B57:B59)</f>
        <v>0</v>
      </c>
      <c r="C60" s="66">
        <f t="shared" ref="C60:AG60" si="8">SUM(C57:C59)</f>
        <v>0</v>
      </c>
      <c r="D60" s="66">
        <f t="shared" si="8"/>
        <v>0</v>
      </c>
      <c r="E60" s="66">
        <f t="shared" si="8"/>
        <v>0</v>
      </c>
      <c r="F60" s="66">
        <f t="shared" si="8"/>
        <v>0</v>
      </c>
      <c r="G60" s="66">
        <f t="shared" si="8"/>
        <v>0</v>
      </c>
      <c r="H60" s="66">
        <f t="shared" si="8"/>
        <v>0</v>
      </c>
      <c r="I60" s="66">
        <f t="shared" si="8"/>
        <v>0</v>
      </c>
      <c r="J60" s="66">
        <f t="shared" si="8"/>
        <v>0</v>
      </c>
      <c r="K60" s="66">
        <f t="shared" si="8"/>
        <v>0</v>
      </c>
      <c r="L60" s="66">
        <f t="shared" si="8"/>
        <v>0</v>
      </c>
      <c r="M60" s="66">
        <f t="shared" si="8"/>
        <v>0</v>
      </c>
      <c r="N60" s="66">
        <f t="shared" si="8"/>
        <v>0</v>
      </c>
      <c r="O60" s="66">
        <f t="shared" si="8"/>
        <v>0</v>
      </c>
      <c r="P60" s="66">
        <f t="shared" si="8"/>
        <v>0</v>
      </c>
      <c r="Q60" s="66">
        <f t="shared" si="8"/>
        <v>91.1</v>
      </c>
      <c r="R60" s="66">
        <f t="shared" si="8"/>
        <v>102.7</v>
      </c>
      <c r="S60" s="66">
        <f t="shared" si="8"/>
        <v>0</v>
      </c>
      <c r="T60" s="66">
        <f t="shared" si="8"/>
        <v>0</v>
      </c>
      <c r="U60" s="66">
        <f t="shared" si="8"/>
        <v>0</v>
      </c>
      <c r="V60" s="66">
        <f t="shared" si="8"/>
        <v>0</v>
      </c>
      <c r="W60" s="66">
        <f t="shared" si="8"/>
        <v>0</v>
      </c>
      <c r="X60" s="66">
        <f t="shared" si="8"/>
        <v>0</v>
      </c>
      <c r="Y60" s="66">
        <f t="shared" si="8"/>
        <v>0</v>
      </c>
      <c r="Z60" s="66">
        <f t="shared" si="8"/>
        <v>0</v>
      </c>
      <c r="AA60" s="66">
        <f t="shared" si="8"/>
        <v>0</v>
      </c>
      <c r="AB60" s="66">
        <f t="shared" si="8"/>
        <v>0</v>
      </c>
      <c r="AC60" s="66">
        <f t="shared" si="8"/>
        <v>0</v>
      </c>
      <c r="AD60" s="66">
        <f t="shared" si="8"/>
        <v>0</v>
      </c>
      <c r="AE60" s="66">
        <f t="shared" si="8"/>
        <v>0</v>
      </c>
      <c r="AF60" s="66">
        <f t="shared" si="8"/>
        <v>0</v>
      </c>
      <c r="AG60" s="143">
        <f t="shared" si="8"/>
        <v>106</v>
      </c>
      <c r="AH60" s="54">
        <f t="shared" si="2"/>
        <v>102.7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29.1</v>
      </c>
      <c r="C61" s="50">
        <v>20</v>
      </c>
      <c r="D61" s="50">
        <v>21.4</v>
      </c>
      <c r="E61" s="50">
        <v>22.43</v>
      </c>
      <c r="F61" s="50">
        <v>16.34</v>
      </c>
      <c r="G61" s="50">
        <v>2</v>
      </c>
      <c r="H61" s="50">
        <v>-1.9</v>
      </c>
      <c r="I61" s="50">
        <v>3.2</v>
      </c>
      <c r="J61" s="50">
        <v>19.100000000000001</v>
      </c>
      <c r="K61" s="50">
        <v>-8.1</v>
      </c>
      <c r="L61" s="50">
        <v>14.4</v>
      </c>
      <c r="M61" s="50">
        <v>32.1</v>
      </c>
      <c r="N61" s="50">
        <v>40.700000000000003</v>
      </c>
      <c r="O61" s="50">
        <v>43.6</v>
      </c>
      <c r="P61" s="50">
        <v>67.400000000000006</v>
      </c>
      <c r="Q61" s="50">
        <v>65.7</v>
      </c>
      <c r="R61" s="50">
        <v>61.78</v>
      </c>
      <c r="S61" s="50">
        <v>21</v>
      </c>
      <c r="T61" s="50">
        <v>27</v>
      </c>
      <c r="U61" s="50">
        <v>45</v>
      </c>
      <c r="V61" s="50">
        <v>41</v>
      </c>
      <c r="W61" s="50">
        <v>40</v>
      </c>
      <c r="X61" s="50">
        <v>33</v>
      </c>
      <c r="Y61" s="50">
        <v>34</v>
      </c>
      <c r="Z61" s="50">
        <v>17</v>
      </c>
      <c r="AA61" s="50">
        <v>14</v>
      </c>
      <c r="AB61" s="50">
        <v>31.3</v>
      </c>
      <c r="AC61" s="50">
        <v>35</v>
      </c>
      <c r="AD61" s="50">
        <v>37</v>
      </c>
      <c r="AE61" s="50">
        <v>4</v>
      </c>
      <c r="AF61" s="50">
        <v>0</v>
      </c>
      <c r="AG61" s="135"/>
      <c r="AH61" s="54">
        <f t="shared" si="2"/>
        <v>67.400000000000006</v>
      </c>
      <c r="AI61" s="55">
        <f t="shared" si="3"/>
        <v>-8.1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-305</v>
      </c>
      <c r="C63" s="48">
        <v>-358</v>
      </c>
      <c r="D63" s="48">
        <v>-355</v>
      </c>
      <c r="E63" s="48">
        <v>-386.1</v>
      </c>
      <c r="F63" s="48">
        <v>-395</v>
      </c>
      <c r="G63" s="48">
        <v>-376.1</v>
      </c>
      <c r="H63" s="48">
        <v>-420</v>
      </c>
      <c r="I63" s="48">
        <v>-368.4</v>
      </c>
      <c r="J63" s="48">
        <v>-445</v>
      </c>
      <c r="K63" s="48">
        <v>-423.5</v>
      </c>
      <c r="L63" s="48">
        <v>-376.6</v>
      </c>
      <c r="M63" s="48">
        <v>-390</v>
      </c>
      <c r="N63" s="48">
        <v>-383.4</v>
      </c>
      <c r="O63" s="48">
        <v>-340</v>
      </c>
      <c r="P63" s="48">
        <v>-200</v>
      </c>
      <c r="Q63" s="48">
        <v>-254</v>
      </c>
      <c r="R63" s="48">
        <v>-250.6</v>
      </c>
      <c r="S63" s="48">
        <v>-262</v>
      </c>
      <c r="T63" s="48">
        <v>-257</v>
      </c>
      <c r="U63" s="48">
        <v>-274</v>
      </c>
      <c r="V63" s="48">
        <v>-335</v>
      </c>
      <c r="W63" s="48">
        <v>-375</v>
      </c>
      <c r="X63" s="48">
        <v>-346</v>
      </c>
      <c r="Y63" s="48">
        <v>-325</v>
      </c>
      <c r="Z63" s="48">
        <v>-240</v>
      </c>
      <c r="AA63" s="48">
        <v>-254</v>
      </c>
      <c r="AB63" s="48">
        <v>-216</v>
      </c>
      <c r="AC63" s="48">
        <v>-247</v>
      </c>
      <c r="AD63" s="48">
        <v>-300</v>
      </c>
      <c r="AE63" s="48">
        <v>-339</v>
      </c>
      <c r="AF63" s="48">
        <v>-350</v>
      </c>
      <c r="AG63" s="140"/>
      <c r="AH63" s="54">
        <f t="shared" si="2"/>
        <v>-200</v>
      </c>
      <c r="AI63" s="55">
        <f t="shared" si="3"/>
        <v>-445</v>
      </c>
      <c r="AK63" s="56"/>
    </row>
    <row r="64" spans="1:41" x14ac:dyDescent="0.25">
      <c r="A64" s="60" t="s">
        <v>44</v>
      </c>
      <c r="B64" s="71">
        <v>0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19</v>
      </c>
      <c r="R64" s="71">
        <v>10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140"/>
      <c r="AH64" s="54">
        <f t="shared" si="2"/>
        <v>19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0</v>
      </c>
      <c r="C66" s="72">
        <v>0</v>
      </c>
      <c r="D66" s="72">
        <v>0</v>
      </c>
      <c r="E66" s="72">
        <v>0</v>
      </c>
      <c r="F66" s="72">
        <v>0</v>
      </c>
      <c r="G66" s="72">
        <v>0</v>
      </c>
      <c r="H66" s="72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0</v>
      </c>
      <c r="AD66" s="72">
        <v>0</v>
      </c>
      <c r="AE66" s="72">
        <v>0</v>
      </c>
      <c r="AF66" s="72">
        <v>0</v>
      </c>
      <c r="AG66" s="140"/>
      <c r="AH66" s="54">
        <f t="shared" si="2"/>
        <v>0</v>
      </c>
      <c r="AI66" s="55">
        <f t="shared" si="3"/>
        <v>0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1">
        <v>0</v>
      </c>
      <c r="D68" s="71">
        <v>0</v>
      </c>
      <c r="E68" s="71">
        <v>0</v>
      </c>
      <c r="F68" s="71">
        <v>0</v>
      </c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1">
        <v>0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4">
        <v>0</v>
      </c>
      <c r="C70" s="74">
        <v>0</v>
      </c>
      <c r="D70" s="74">
        <v>0</v>
      </c>
      <c r="E70" s="74">
        <v>0</v>
      </c>
      <c r="F70" s="74">
        <v>0</v>
      </c>
      <c r="G70" s="74">
        <v>0</v>
      </c>
      <c r="H70" s="74">
        <v>0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4">
        <v>0</v>
      </c>
      <c r="C71" s="74">
        <v>0</v>
      </c>
      <c r="D71" s="74">
        <v>0</v>
      </c>
      <c r="E71" s="74">
        <v>0</v>
      </c>
      <c r="F71" s="74">
        <v>0</v>
      </c>
      <c r="G71" s="74">
        <v>0</v>
      </c>
      <c r="H71" s="74">
        <v>0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>SUMIF(B61:B71,"&gt;0")</f>
        <v>29.1</v>
      </c>
      <c r="C72" s="66">
        <f t="shared" ref="C72:L72" si="9">SUMIF(C61:C71,"&gt;0")</f>
        <v>20</v>
      </c>
      <c r="D72" s="66">
        <f t="shared" si="9"/>
        <v>21.4</v>
      </c>
      <c r="E72" s="66">
        <f t="shared" si="9"/>
        <v>22.43</v>
      </c>
      <c r="F72" s="66">
        <f t="shared" si="9"/>
        <v>16.34</v>
      </c>
      <c r="G72" s="66">
        <f t="shared" si="9"/>
        <v>2</v>
      </c>
      <c r="H72" s="66">
        <f t="shared" si="9"/>
        <v>0</v>
      </c>
      <c r="I72" s="66">
        <f t="shared" si="9"/>
        <v>3.2</v>
      </c>
      <c r="J72" s="66">
        <f t="shared" si="9"/>
        <v>19.100000000000001</v>
      </c>
      <c r="K72" s="66">
        <f t="shared" si="9"/>
        <v>0</v>
      </c>
      <c r="L72" s="66">
        <f t="shared" si="9"/>
        <v>14.4</v>
      </c>
      <c r="M72" s="66">
        <f>SUMIF(M61:M71,"&gt;0")</f>
        <v>32.1</v>
      </c>
      <c r="N72" s="66">
        <f t="shared" ref="N72:AF72" si="10">SUMIF(N61:N71,"&gt;0")</f>
        <v>40.700000000000003</v>
      </c>
      <c r="O72" s="66">
        <f t="shared" si="10"/>
        <v>43.6</v>
      </c>
      <c r="P72" s="66">
        <f t="shared" si="10"/>
        <v>67.400000000000006</v>
      </c>
      <c r="Q72" s="66">
        <f t="shared" si="10"/>
        <v>84.7</v>
      </c>
      <c r="R72" s="66">
        <f t="shared" si="10"/>
        <v>71.78</v>
      </c>
      <c r="S72" s="66">
        <f t="shared" si="10"/>
        <v>21</v>
      </c>
      <c r="T72" s="66">
        <f t="shared" si="10"/>
        <v>27</v>
      </c>
      <c r="U72" s="66">
        <f t="shared" si="10"/>
        <v>45</v>
      </c>
      <c r="V72" s="66">
        <f t="shared" si="10"/>
        <v>41</v>
      </c>
      <c r="W72" s="66">
        <f t="shared" si="10"/>
        <v>40</v>
      </c>
      <c r="X72" s="66">
        <f t="shared" si="10"/>
        <v>33</v>
      </c>
      <c r="Y72" s="66">
        <f t="shared" si="10"/>
        <v>34</v>
      </c>
      <c r="Z72" s="66">
        <f t="shared" si="10"/>
        <v>17</v>
      </c>
      <c r="AA72" s="66">
        <f t="shared" si="10"/>
        <v>14</v>
      </c>
      <c r="AB72" s="66">
        <f t="shared" si="10"/>
        <v>31.3</v>
      </c>
      <c r="AC72" s="66">
        <f t="shared" si="10"/>
        <v>35</v>
      </c>
      <c r="AD72" s="66">
        <f t="shared" si="10"/>
        <v>37</v>
      </c>
      <c r="AE72" s="66">
        <f t="shared" si="10"/>
        <v>4</v>
      </c>
      <c r="AF72" s="66">
        <f t="shared" si="10"/>
        <v>0</v>
      </c>
      <c r="AG72" s="138">
        <f>SUM(AG61:AG71)</f>
        <v>0</v>
      </c>
      <c r="AH72" s="54">
        <f t="shared" si="2"/>
        <v>84.7</v>
      </c>
      <c r="AI72" s="55">
        <f t="shared" si="3"/>
        <v>0</v>
      </c>
      <c r="AK72" s="56"/>
    </row>
    <row r="73" spans="1:88" x14ac:dyDescent="0.25">
      <c r="A73" s="57" t="s">
        <v>53</v>
      </c>
      <c r="B73" s="71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>
        <v>0</v>
      </c>
      <c r="C75" s="74">
        <v>0</v>
      </c>
      <c r="D75" s="74">
        <v>0</v>
      </c>
      <c r="E75" s="74">
        <v>0</v>
      </c>
      <c r="F75" s="74">
        <v>0</v>
      </c>
      <c r="G75" s="74">
        <v>0</v>
      </c>
      <c r="H75" s="74">
        <v>0</v>
      </c>
      <c r="I75" s="74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>B38+B42+B60+B56+B72+B76</f>
        <v>1798.2399999999998</v>
      </c>
      <c r="C77" s="75">
        <f t="shared" ref="C77:AF77" si="11">C38+C42+C60+C56+C72+C76</f>
        <v>1761.04</v>
      </c>
      <c r="D77" s="75">
        <f t="shared" si="11"/>
        <v>1773.44</v>
      </c>
      <c r="E77" s="75">
        <f t="shared" si="11"/>
        <v>1775.17</v>
      </c>
      <c r="F77" s="75">
        <f t="shared" si="11"/>
        <v>1737.1799999999998</v>
      </c>
      <c r="G77" s="75">
        <f t="shared" si="11"/>
        <v>1713.24</v>
      </c>
      <c r="H77" s="75">
        <f t="shared" si="11"/>
        <v>1722.94</v>
      </c>
      <c r="I77" s="75">
        <f t="shared" si="11"/>
        <v>1687.19</v>
      </c>
      <c r="J77" s="75">
        <f t="shared" si="11"/>
        <v>1776.59</v>
      </c>
      <c r="K77" s="75">
        <f t="shared" si="11"/>
        <v>1755.79</v>
      </c>
      <c r="L77" s="75">
        <f t="shared" si="11"/>
        <v>1760.19</v>
      </c>
      <c r="M77" s="75">
        <f t="shared" si="11"/>
        <v>1784.7399999999998</v>
      </c>
      <c r="N77" s="75">
        <f t="shared" si="11"/>
        <v>1779.94</v>
      </c>
      <c r="O77" s="75">
        <f t="shared" si="11"/>
        <v>1807.1399999999999</v>
      </c>
      <c r="P77" s="75">
        <f t="shared" si="11"/>
        <v>1682.84</v>
      </c>
      <c r="Q77" s="75">
        <f t="shared" si="11"/>
        <v>1788.34</v>
      </c>
      <c r="R77" s="75">
        <f t="shared" si="11"/>
        <v>1784.22</v>
      </c>
      <c r="S77" s="75">
        <f t="shared" si="11"/>
        <v>1810.2400000000002</v>
      </c>
      <c r="T77" s="75">
        <f t="shared" si="11"/>
        <v>1816.2400000000002</v>
      </c>
      <c r="U77" s="75">
        <f t="shared" si="11"/>
        <v>1846.7400000000002</v>
      </c>
      <c r="V77" s="75">
        <f t="shared" si="11"/>
        <v>1815.0400000000002</v>
      </c>
      <c r="W77" s="75">
        <f t="shared" si="11"/>
        <v>1800.5400000000002</v>
      </c>
      <c r="X77" s="75">
        <f t="shared" si="11"/>
        <v>1793.5400000000002</v>
      </c>
      <c r="Y77" s="75">
        <f t="shared" si="11"/>
        <v>1794.5400000000002</v>
      </c>
      <c r="Z77" s="75">
        <f t="shared" si="11"/>
        <v>1783.7400000000002</v>
      </c>
      <c r="AA77" s="75">
        <f t="shared" si="11"/>
        <v>1781.14</v>
      </c>
      <c r="AB77" s="75">
        <f t="shared" si="11"/>
        <v>1820.74</v>
      </c>
      <c r="AC77" s="75">
        <f t="shared" si="11"/>
        <v>1825.8400000000001</v>
      </c>
      <c r="AD77" s="75">
        <f t="shared" si="11"/>
        <v>1831.04</v>
      </c>
      <c r="AE77" s="75">
        <f t="shared" si="11"/>
        <v>1748.44</v>
      </c>
      <c r="AF77" s="75">
        <f t="shared" si="11"/>
        <v>1731.74</v>
      </c>
      <c r="AG77" s="143">
        <f>AG38+AG42+AG60+AG56+AG72+AG76</f>
        <v>1855.1900000000003</v>
      </c>
      <c r="AH77" s="54">
        <f t="shared" si="2"/>
        <v>1846.7400000000002</v>
      </c>
      <c r="AI77" s="55">
        <f t="shared" si="3"/>
        <v>1682.84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0</v>
      </c>
      <c r="AI78" s="55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>B77+B78</f>
        <v>1798.2399999999998</v>
      </c>
      <c r="C79" s="75">
        <f t="shared" ref="C79:AF79" si="12">C77+C78</f>
        <v>1761.04</v>
      </c>
      <c r="D79" s="75">
        <f t="shared" si="12"/>
        <v>1773.44</v>
      </c>
      <c r="E79" s="75">
        <f t="shared" si="12"/>
        <v>1775.17</v>
      </c>
      <c r="F79" s="75">
        <f t="shared" si="12"/>
        <v>1737.1799999999998</v>
      </c>
      <c r="G79" s="75">
        <f t="shared" si="12"/>
        <v>1713.24</v>
      </c>
      <c r="H79" s="75">
        <f t="shared" si="12"/>
        <v>1722.94</v>
      </c>
      <c r="I79" s="75">
        <f t="shared" si="12"/>
        <v>1687.19</v>
      </c>
      <c r="J79" s="75">
        <f t="shared" si="12"/>
        <v>1776.59</v>
      </c>
      <c r="K79" s="75">
        <f t="shared" si="12"/>
        <v>1755.79</v>
      </c>
      <c r="L79" s="75">
        <f t="shared" si="12"/>
        <v>1760.19</v>
      </c>
      <c r="M79" s="75">
        <f t="shared" si="12"/>
        <v>1784.7399999999998</v>
      </c>
      <c r="N79" s="75">
        <f t="shared" si="12"/>
        <v>1779.94</v>
      </c>
      <c r="O79" s="75">
        <f t="shared" si="12"/>
        <v>1807.1399999999999</v>
      </c>
      <c r="P79" s="75">
        <f t="shared" si="12"/>
        <v>1682.84</v>
      </c>
      <c r="Q79" s="75">
        <f t="shared" si="12"/>
        <v>1788.34</v>
      </c>
      <c r="R79" s="75">
        <f t="shared" si="12"/>
        <v>1784.22</v>
      </c>
      <c r="S79" s="75">
        <f t="shared" si="12"/>
        <v>1810.2400000000002</v>
      </c>
      <c r="T79" s="75">
        <f t="shared" si="12"/>
        <v>1816.2400000000002</v>
      </c>
      <c r="U79" s="75">
        <f t="shared" si="12"/>
        <v>1846.7400000000002</v>
      </c>
      <c r="V79" s="75">
        <f t="shared" si="12"/>
        <v>1815.0400000000002</v>
      </c>
      <c r="W79" s="75">
        <f t="shared" si="12"/>
        <v>1800.5400000000002</v>
      </c>
      <c r="X79" s="75">
        <f t="shared" si="12"/>
        <v>1793.5400000000002</v>
      </c>
      <c r="Y79" s="75">
        <f t="shared" si="12"/>
        <v>1794.5400000000002</v>
      </c>
      <c r="Z79" s="75">
        <f t="shared" si="12"/>
        <v>1783.7400000000002</v>
      </c>
      <c r="AA79" s="75">
        <f t="shared" si="12"/>
        <v>1781.14</v>
      </c>
      <c r="AB79" s="75">
        <f t="shared" si="12"/>
        <v>1820.74</v>
      </c>
      <c r="AC79" s="75">
        <f t="shared" si="12"/>
        <v>1825.8400000000001</v>
      </c>
      <c r="AD79" s="75">
        <f t="shared" si="12"/>
        <v>1831.04</v>
      </c>
      <c r="AE79" s="75">
        <f t="shared" si="12"/>
        <v>1748.44</v>
      </c>
      <c r="AF79" s="75">
        <f t="shared" si="12"/>
        <v>1731.74</v>
      </c>
      <c r="AG79" s="138">
        <f>AG76+AG72+AG60+AG56+AG38+AG78</f>
        <v>1317.0900000000001</v>
      </c>
      <c r="AH79" s="54">
        <f t="shared" si="2"/>
        <v>1846.7400000000002</v>
      </c>
      <c r="AI79" s="55">
        <f t="shared" si="3"/>
        <v>1682.84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:AF80" si="13">B79-B87</f>
        <v>1493.2399999999998</v>
      </c>
      <c r="C80" s="75">
        <f t="shared" si="13"/>
        <v>1403.04</v>
      </c>
      <c r="D80" s="75">
        <f t="shared" si="13"/>
        <v>1418.44</v>
      </c>
      <c r="E80" s="75">
        <f t="shared" si="13"/>
        <v>1389.0700000000002</v>
      </c>
      <c r="F80" s="75">
        <f t="shared" si="13"/>
        <v>1342.1799999999998</v>
      </c>
      <c r="G80" s="75">
        <f t="shared" si="13"/>
        <v>1337.1399999999999</v>
      </c>
      <c r="H80" s="75">
        <f t="shared" si="13"/>
        <v>1301.04</v>
      </c>
      <c r="I80" s="75">
        <f t="shared" si="13"/>
        <v>1318.79</v>
      </c>
      <c r="J80" s="75">
        <f t="shared" si="13"/>
        <v>1331.59</v>
      </c>
      <c r="K80" s="75">
        <f t="shared" si="13"/>
        <v>1324.19</v>
      </c>
      <c r="L80" s="75">
        <f t="shared" si="13"/>
        <v>1383.5900000000001</v>
      </c>
      <c r="M80" s="75">
        <f t="shared" si="13"/>
        <v>1394.7399999999998</v>
      </c>
      <c r="N80" s="75">
        <f t="shared" si="13"/>
        <v>1396.54</v>
      </c>
      <c r="O80" s="75">
        <f t="shared" si="13"/>
        <v>1467.1399999999999</v>
      </c>
      <c r="P80" s="75">
        <f t="shared" si="13"/>
        <v>1482.84</v>
      </c>
      <c r="Q80" s="75">
        <f t="shared" si="13"/>
        <v>1534.34</v>
      </c>
      <c r="R80" s="75">
        <f t="shared" si="13"/>
        <v>1533.6200000000001</v>
      </c>
      <c r="S80" s="75">
        <f t="shared" si="13"/>
        <v>1548.2400000000002</v>
      </c>
      <c r="T80" s="75">
        <f t="shared" si="13"/>
        <v>1559.2400000000002</v>
      </c>
      <c r="U80" s="75">
        <f t="shared" si="13"/>
        <v>1572.7400000000002</v>
      </c>
      <c r="V80" s="75">
        <f t="shared" si="13"/>
        <v>1480.0400000000002</v>
      </c>
      <c r="W80" s="75">
        <f t="shared" si="13"/>
        <v>1425.5400000000002</v>
      </c>
      <c r="X80" s="75">
        <f t="shared" si="13"/>
        <v>1447.5400000000002</v>
      </c>
      <c r="Y80" s="75">
        <f t="shared" si="13"/>
        <v>1469.5400000000002</v>
      </c>
      <c r="Z80" s="75">
        <f t="shared" si="13"/>
        <v>1543.7400000000002</v>
      </c>
      <c r="AA80" s="75">
        <f t="shared" si="13"/>
        <v>1527.14</v>
      </c>
      <c r="AB80" s="75">
        <f t="shared" si="13"/>
        <v>1604.74</v>
      </c>
      <c r="AC80" s="75">
        <f t="shared" si="13"/>
        <v>1578.8400000000001</v>
      </c>
      <c r="AD80" s="75">
        <f t="shared" si="13"/>
        <v>1531.04</v>
      </c>
      <c r="AE80" s="75">
        <f t="shared" si="13"/>
        <v>1409.44</v>
      </c>
      <c r="AF80" s="75">
        <f t="shared" si="13"/>
        <v>1381.74</v>
      </c>
      <c r="AG80" s="138"/>
      <c r="AH80" s="54">
        <f t="shared" ref="AH80:AH97" si="14">MAX(B80:AF80)</f>
        <v>1604.74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>IF(B64&lt;0,B64*-1,0)</f>
        <v>0</v>
      </c>
      <c r="C81" s="71">
        <f t="shared" ref="C81:AF81" si="15">IF(C64&lt;0,C64*-1,0)</f>
        <v>0</v>
      </c>
      <c r="D81" s="71">
        <f t="shared" si="15"/>
        <v>0</v>
      </c>
      <c r="E81" s="71">
        <f t="shared" si="15"/>
        <v>0</v>
      </c>
      <c r="F81" s="71">
        <f t="shared" si="15"/>
        <v>0</v>
      </c>
      <c r="G81" s="71">
        <f t="shared" si="15"/>
        <v>0</v>
      </c>
      <c r="H81" s="71">
        <f t="shared" si="15"/>
        <v>0</v>
      </c>
      <c r="I81" s="71">
        <f t="shared" si="15"/>
        <v>0</v>
      </c>
      <c r="J81" s="71">
        <f t="shared" si="15"/>
        <v>0</v>
      </c>
      <c r="K81" s="71">
        <f t="shared" si="15"/>
        <v>0</v>
      </c>
      <c r="L81" s="71">
        <f t="shared" si="15"/>
        <v>0</v>
      </c>
      <c r="M81" s="71">
        <f t="shared" si="15"/>
        <v>0</v>
      </c>
      <c r="N81" s="71">
        <f t="shared" si="15"/>
        <v>0</v>
      </c>
      <c r="O81" s="71">
        <f t="shared" si="15"/>
        <v>0</v>
      </c>
      <c r="P81" s="71">
        <f t="shared" si="15"/>
        <v>0</v>
      </c>
      <c r="Q81" s="71">
        <f t="shared" si="15"/>
        <v>0</v>
      </c>
      <c r="R81" s="71">
        <f t="shared" si="15"/>
        <v>0</v>
      </c>
      <c r="S81" s="71">
        <f t="shared" si="15"/>
        <v>0</v>
      </c>
      <c r="T81" s="71">
        <f t="shared" si="15"/>
        <v>0</v>
      </c>
      <c r="U81" s="71">
        <f t="shared" si="15"/>
        <v>0</v>
      </c>
      <c r="V81" s="71">
        <f t="shared" si="15"/>
        <v>0</v>
      </c>
      <c r="W81" s="71">
        <f t="shared" si="15"/>
        <v>0</v>
      </c>
      <c r="X81" s="71">
        <f t="shared" si="15"/>
        <v>0</v>
      </c>
      <c r="Y81" s="71">
        <f t="shared" si="15"/>
        <v>0</v>
      </c>
      <c r="Z81" s="71">
        <f t="shared" si="15"/>
        <v>0</v>
      </c>
      <c r="AA81" s="71">
        <f t="shared" si="15"/>
        <v>0</v>
      </c>
      <c r="AB81" s="71">
        <f t="shared" si="15"/>
        <v>0</v>
      </c>
      <c r="AC81" s="71">
        <f t="shared" si="15"/>
        <v>0</v>
      </c>
      <c r="AD81" s="71">
        <f t="shared" si="15"/>
        <v>0</v>
      </c>
      <c r="AE81" s="71">
        <f t="shared" si="15"/>
        <v>0</v>
      </c>
      <c r="AF81" s="71">
        <f t="shared" si="15"/>
        <v>0</v>
      </c>
      <c r="AG81" s="135"/>
      <c r="AH81" s="54">
        <f t="shared" si="14"/>
        <v>0</v>
      </c>
      <c r="AI81" s="55">
        <f t="shared" ref="AI81:AI97" si="16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>IF(B62&lt;0,B62*-1,0)</f>
        <v>0</v>
      </c>
      <c r="C82" s="71">
        <f t="shared" ref="C82:AF82" si="17">IF(C62&lt;0,C62*-1,0)</f>
        <v>0</v>
      </c>
      <c r="D82" s="71">
        <f t="shared" si="17"/>
        <v>0</v>
      </c>
      <c r="E82" s="71">
        <f t="shared" si="17"/>
        <v>0</v>
      </c>
      <c r="F82" s="71">
        <f t="shared" si="17"/>
        <v>0</v>
      </c>
      <c r="G82" s="71">
        <f t="shared" si="17"/>
        <v>0</v>
      </c>
      <c r="H82" s="71">
        <f t="shared" si="17"/>
        <v>0</v>
      </c>
      <c r="I82" s="71">
        <f t="shared" si="17"/>
        <v>0</v>
      </c>
      <c r="J82" s="71">
        <f t="shared" si="17"/>
        <v>0</v>
      </c>
      <c r="K82" s="71">
        <f t="shared" si="17"/>
        <v>0</v>
      </c>
      <c r="L82" s="71">
        <f t="shared" si="17"/>
        <v>0</v>
      </c>
      <c r="M82" s="71">
        <f t="shared" si="17"/>
        <v>0</v>
      </c>
      <c r="N82" s="71">
        <f t="shared" si="17"/>
        <v>0</v>
      </c>
      <c r="O82" s="71">
        <f t="shared" si="17"/>
        <v>0</v>
      </c>
      <c r="P82" s="71">
        <f t="shared" si="17"/>
        <v>0</v>
      </c>
      <c r="Q82" s="71">
        <f t="shared" si="17"/>
        <v>0</v>
      </c>
      <c r="R82" s="71">
        <f t="shared" si="17"/>
        <v>0</v>
      </c>
      <c r="S82" s="71">
        <f t="shared" si="17"/>
        <v>0</v>
      </c>
      <c r="T82" s="71">
        <f t="shared" si="17"/>
        <v>0</v>
      </c>
      <c r="U82" s="71">
        <f t="shared" si="17"/>
        <v>0</v>
      </c>
      <c r="V82" s="71">
        <f t="shared" si="17"/>
        <v>0</v>
      </c>
      <c r="W82" s="71">
        <f t="shared" si="17"/>
        <v>0</v>
      </c>
      <c r="X82" s="71">
        <f t="shared" si="17"/>
        <v>0</v>
      </c>
      <c r="Y82" s="71">
        <f t="shared" si="17"/>
        <v>0</v>
      </c>
      <c r="Z82" s="71">
        <f t="shared" si="17"/>
        <v>0</v>
      </c>
      <c r="AA82" s="71">
        <f t="shared" si="17"/>
        <v>0</v>
      </c>
      <c r="AB82" s="71">
        <f t="shared" si="17"/>
        <v>0</v>
      </c>
      <c r="AC82" s="71">
        <f t="shared" si="17"/>
        <v>0</v>
      </c>
      <c r="AD82" s="71">
        <f t="shared" si="17"/>
        <v>0</v>
      </c>
      <c r="AE82" s="71">
        <f t="shared" si="17"/>
        <v>0</v>
      </c>
      <c r="AF82" s="71">
        <f t="shared" si="17"/>
        <v>0</v>
      </c>
      <c r="AG82" s="136"/>
      <c r="AH82" s="54">
        <f t="shared" si="14"/>
        <v>0</v>
      </c>
      <c r="AI82" s="55">
        <f t="shared" si="16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>IF(B65&lt;0,B65*-1,0)</f>
        <v>0</v>
      </c>
      <c r="C83" s="71">
        <f t="shared" ref="C83:AF83" si="18">IF(C65&lt;0,C65*-1,0)</f>
        <v>0</v>
      </c>
      <c r="D83" s="71">
        <f t="shared" si="18"/>
        <v>0</v>
      </c>
      <c r="E83" s="71">
        <f t="shared" si="18"/>
        <v>0</v>
      </c>
      <c r="F83" s="71">
        <f t="shared" si="18"/>
        <v>0</v>
      </c>
      <c r="G83" s="71">
        <f t="shared" si="18"/>
        <v>0</v>
      </c>
      <c r="H83" s="71">
        <f t="shared" si="18"/>
        <v>0</v>
      </c>
      <c r="I83" s="71">
        <f t="shared" si="18"/>
        <v>0</v>
      </c>
      <c r="J83" s="71">
        <f t="shared" si="18"/>
        <v>0</v>
      </c>
      <c r="K83" s="71">
        <f t="shared" si="18"/>
        <v>0</v>
      </c>
      <c r="L83" s="71">
        <f t="shared" si="18"/>
        <v>0</v>
      </c>
      <c r="M83" s="71">
        <f t="shared" si="18"/>
        <v>0</v>
      </c>
      <c r="N83" s="71">
        <f t="shared" si="18"/>
        <v>0</v>
      </c>
      <c r="O83" s="71">
        <f t="shared" si="18"/>
        <v>0</v>
      </c>
      <c r="P83" s="71">
        <f t="shared" si="18"/>
        <v>0</v>
      </c>
      <c r="Q83" s="71">
        <f t="shared" si="18"/>
        <v>0</v>
      </c>
      <c r="R83" s="71">
        <f t="shared" si="18"/>
        <v>0</v>
      </c>
      <c r="S83" s="71">
        <f t="shared" si="18"/>
        <v>0</v>
      </c>
      <c r="T83" s="71">
        <f t="shared" si="18"/>
        <v>0</v>
      </c>
      <c r="U83" s="71">
        <f t="shared" si="18"/>
        <v>0</v>
      </c>
      <c r="V83" s="71">
        <f t="shared" si="18"/>
        <v>0</v>
      </c>
      <c r="W83" s="71">
        <f t="shared" si="18"/>
        <v>0</v>
      </c>
      <c r="X83" s="71">
        <f t="shared" si="18"/>
        <v>0</v>
      </c>
      <c r="Y83" s="71">
        <f t="shared" si="18"/>
        <v>0</v>
      </c>
      <c r="Z83" s="71">
        <f t="shared" si="18"/>
        <v>0</v>
      </c>
      <c r="AA83" s="71">
        <f t="shared" si="18"/>
        <v>0</v>
      </c>
      <c r="AB83" s="71">
        <f t="shared" si="18"/>
        <v>0</v>
      </c>
      <c r="AC83" s="71">
        <f t="shared" si="18"/>
        <v>0</v>
      </c>
      <c r="AD83" s="71">
        <f t="shared" si="18"/>
        <v>0</v>
      </c>
      <c r="AE83" s="71">
        <f t="shared" si="18"/>
        <v>0</v>
      </c>
      <c r="AF83" s="71">
        <f t="shared" si="18"/>
        <v>0</v>
      </c>
      <c r="AG83" s="144"/>
      <c r="AH83" s="54">
        <f t="shared" si="14"/>
        <v>0</v>
      </c>
      <c r="AI83" s="55">
        <f t="shared" si="16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>IF(B63&lt;0,B63*-1,0)</f>
        <v>305</v>
      </c>
      <c r="C84" s="71">
        <f t="shared" ref="C84:AF84" si="19">IF(C63&lt;0,C63*-1,0)</f>
        <v>358</v>
      </c>
      <c r="D84" s="71">
        <f t="shared" si="19"/>
        <v>355</v>
      </c>
      <c r="E84" s="71">
        <f t="shared" si="19"/>
        <v>386.1</v>
      </c>
      <c r="F84" s="71">
        <f t="shared" si="19"/>
        <v>395</v>
      </c>
      <c r="G84" s="71">
        <f t="shared" si="19"/>
        <v>376.1</v>
      </c>
      <c r="H84" s="71">
        <f t="shared" si="19"/>
        <v>420</v>
      </c>
      <c r="I84" s="71">
        <f t="shared" si="19"/>
        <v>368.4</v>
      </c>
      <c r="J84" s="71">
        <f t="shared" si="19"/>
        <v>445</v>
      </c>
      <c r="K84" s="71">
        <f t="shared" si="19"/>
        <v>423.5</v>
      </c>
      <c r="L84" s="71">
        <f t="shared" si="19"/>
        <v>376.6</v>
      </c>
      <c r="M84" s="71">
        <f t="shared" si="19"/>
        <v>390</v>
      </c>
      <c r="N84" s="71">
        <f t="shared" si="19"/>
        <v>383.4</v>
      </c>
      <c r="O84" s="71">
        <f t="shared" si="19"/>
        <v>340</v>
      </c>
      <c r="P84" s="71">
        <f t="shared" si="19"/>
        <v>200</v>
      </c>
      <c r="Q84" s="71">
        <f t="shared" si="19"/>
        <v>254</v>
      </c>
      <c r="R84" s="71">
        <f t="shared" si="19"/>
        <v>250.6</v>
      </c>
      <c r="S84" s="71">
        <f t="shared" si="19"/>
        <v>262</v>
      </c>
      <c r="T84" s="71">
        <f t="shared" si="19"/>
        <v>257</v>
      </c>
      <c r="U84" s="71">
        <f t="shared" si="19"/>
        <v>274</v>
      </c>
      <c r="V84" s="71">
        <f t="shared" si="19"/>
        <v>335</v>
      </c>
      <c r="W84" s="71">
        <f t="shared" si="19"/>
        <v>375</v>
      </c>
      <c r="X84" s="71">
        <f t="shared" si="19"/>
        <v>346</v>
      </c>
      <c r="Y84" s="71">
        <f t="shared" si="19"/>
        <v>325</v>
      </c>
      <c r="Z84" s="71">
        <f t="shared" si="19"/>
        <v>240</v>
      </c>
      <c r="AA84" s="71">
        <f t="shared" si="19"/>
        <v>254</v>
      </c>
      <c r="AB84" s="71">
        <f t="shared" si="19"/>
        <v>216</v>
      </c>
      <c r="AC84" s="71">
        <f t="shared" si="19"/>
        <v>247</v>
      </c>
      <c r="AD84" s="71">
        <f t="shared" si="19"/>
        <v>300</v>
      </c>
      <c r="AE84" s="71">
        <f t="shared" si="19"/>
        <v>339</v>
      </c>
      <c r="AF84" s="71">
        <f t="shared" si="19"/>
        <v>350</v>
      </c>
      <c r="AG84" s="144"/>
      <c r="AH84" s="54">
        <f t="shared" si="14"/>
        <v>445</v>
      </c>
      <c r="AI84" s="55">
        <f t="shared" si="16"/>
        <v>200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>IF(B61&lt;0,B61*-1,0)</f>
        <v>0</v>
      </c>
      <c r="C85" s="71">
        <f t="shared" ref="C85:AF85" si="20">IF(C61&lt;0,C61*-1,0)</f>
        <v>0</v>
      </c>
      <c r="D85" s="71">
        <f t="shared" si="20"/>
        <v>0</v>
      </c>
      <c r="E85" s="71">
        <f t="shared" si="20"/>
        <v>0</v>
      </c>
      <c r="F85" s="71">
        <f t="shared" si="20"/>
        <v>0</v>
      </c>
      <c r="G85" s="71">
        <f t="shared" si="20"/>
        <v>0</v>
      </c>
      <c r="H85" s="71">
        <f t="shared" si="20"/>
        <v>1.9</v>
      </c>
      <c r="I85" s="71">
        <f t="shared" si="20"/>
        <v>0</v>
      </c>
      <c r="J85" s="71">
        <f t="shared" si="20"/>
        <v>0</v>
      </c>
      <c r="K85" s="71">
        <f t="shared" si="20"/>
        <v>8.1</v>
      </c>
      <c r="L85" s="71">
        <f t="shared" si="20"/>
        <v>0</v>
      </c>
      <c r="M85" s="71">
        <f t="shared" si="20"/>
        <v>0</v>
      </c>
      <c r="N85" s="71">
        <f t="shared" si="20"/>
        <v>0</v>
      </c>
      <c r="O85" s="71">
        <f t="shared" si="20"/>
        <v>0</v>
      </c>
      <c r="P85" s="71">
        <f t="shared" si="20"/>
        <v>0</v>
      </c>
      <c r="Q85" s="71">
        <f t="shared" si="20"/>
        <v>0</v>
      </c>
      <c r="R85" s="71">
        <f t="shared" si="20"/>
        <v>0</v>
      </c>
      <c r="S85" s="71">
        <f t="shared" si="20"/>
        <v>0</v>
      </c>
      <c r="T85" s="71">
        <f t="shared" si="20"/>
        <v>0</v>
      </c>
      <c r="U85" s="71">
        <f t="shared" si="20"/>
        <v>0</v>
      </c>
      <c r="V85" s="71">
        <f t="shared" si="20"/>
        <v>0</v>
      </c>
      <c r="W85" s="71">
        <f t="shared" si="20"/>
        <v>0</v>
      </c>
      <c r="X85" s="71">
        <f t="shared" si="20"/>
        <v>0</v>
      </c>
      <c r="Y85" s="71">
        <f t="shared" si="20"/>
        <v>0</v>
      </c>
      <c r="Z85" s="71">
        <f t="shared" si="20"/>
        <v>0</v>
      </c>
      <c r="AA85" s="71">
        <f t="shared" si="20"/>
        <v>0</v>
      </c>
      <c r="AB85" s="71">
        <f t="shared" si="20"/>
        <v>0</v>
      </c>
      <c r="AC85" s="71">
        <f t="shared" si="20"/>
        <v>0</v>
      </c>
      <c r="AD85" s="71">
        <f t="shared" si="20"/>
        <v>0</v>
      </c>
      <c r="AE85" s="71">
        <f t="shared" si="20"/>
        <v>0</v>
      </c>
      <c r="AF85" s="71">
        <f t="shared" si="20"/>
        <v>0</v>
      </c>
      <c r="AG85" s="144"/>
      <c r="AH85" s="54">
        <f t="shared" si="14"/>
        <v>8.1</v>
      </c>
      <c r="AI85" s="55">
        <f t="shared" si="16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/>
      <c r="AD86" s="74"/>
      <c r="AE86" s="74"/>
      <c r="AF86" s="74"/>
      <c r="AG86" s="141"/>
      <c r="AH86" s="54">
        <f t="shared" si="14"/>
        <v>0</v>
      </c>
      <c r="AI86" s="55">
        <f t="shared" si="16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>SUM(B81:B86)</f>
        <v>305</v>
      </c>
      <c r="C87" s="66">
        <f t="shared" ref="C87:AF87" si="21">SUM(C81:C86)</f>
        <v>358</v>
      </c>
      <c r="D87" s="66">
        <f t="shared" si="21"/>
        <v>355</v>
      </c>
      <c r="E87" s="66">
        <f t="shared" si="21"/>
        <v>386.1</v>
      </c>
      <c r="F87" s="66">
        <f t="shared" si="21"/>
        <v>395</v>
      </c>
      <c r="G87" s="66">
        <f t="shared" si="21"/>
        <v>376.1</v>
      </c>
      <c r="H87" s="66">
        <f t="shared" si="21"/>
        <v>421.9</v>
      </c>
      <c r="I87" s="66">
        <f t="shared" si="21"/>
        <v>368.4</v>
      </c>
      <c r="J87" s="66">
        <f t="shared" si="21"/>
        <v>445</v>
      </c>
      <c r="K87" s="66">
        <f t="shared" si="21"/>
        <v>431.6</v>
      </c>
      <c r="L87" s="66">
        <f t="shared" si="21"/>
        <v>376.6</v>
      </c>
      <c r="M87" s="66">
        <f t="shared" si="21"/>
        <v>390</v>
      </c>
      <c r="N87" s="66">
        <f t="shared" si="21"/>
        <v>383.4</v>
      </c>
      <c r="O87" s="66">
        <f t="shared" si="21"/>
        <v>340</v>
      </c>
      <c r="P87" s="66">
        <f t="shared" si="21"/>
        <v>200</v>
      </c>
      <c r="Q87" s="66">
        <f t="shared" si="21"/>
        <v>254</v>
      </c>
      <c r="R87" s="66">
        <f t="shared" si="21"/>
        <v>250.6</v>
      </c>
      <c r="S87" s="66">
        <f t="shared" si="21"/>
        <v>262</v>
      </c>
      <c r="T87" s="66">
        <f t="shared" si="21"/>
        <v>257</v>
      </c>
      <c r="U87" s="66">
        <f t="shared" si="21"/>
        <v>274</v>
      </c>
      <c r="V87" s="66">
        <f t="shared" si="21"/>
        <v>335</v>
      </c>
      <c r="W87" s="66">
        <f t="shared" si="21"/>
        <v>375</v>
      </c>
      <c r="X87" s="66">
        <f t="shared" si="21"/>
        <v>346</v>
      </c>
      <c r="Y87" s="66">
        <f t="shared" si="21"/>
        <v>325</v>
      </c>
      <c r="Z87" s="66">
        <f t="shared" si="21"/>
        <v>240</v>
      </c>
      <c r="AA87" s="66">
        <f t="shared" si="21"/>
        <v>254</v>
      </c>
      <c r="AB87" s="66">
        <f t="shared" si="21"/>
        <v>216</v>
      </c>
      <c r="AC87" s="66">
        <f t="shared" si="21"/>
        <v>247</v>
      </c>
      <c r="AD87" s="66">
        <f t="shared" si="21"/>
        <v>300</v>
      </c>
      <c r="AE87" s="66">
        <f t="shared" si="21"/>
        <v>339</v>
      </c>
      <c r="AF87" s="66">
        <f t="shared" si="21"/>
        <v>350</v>
      </c>
      <c r="AG87" s="138"/>
      <c r="AH87" s="54">
        <f t="shared" si="14"/>
        <v>445</v>
      </c>
      <c r="AI87" s="55">
        <f t="shared" si="16"/>
        <v>200</v>
      </c>
      <c r="AK87" s="56"/>
    </row>
    <row r="88" spans="1:88" s="1" customFormat="1" ht="15.75" thickBot="1" x14ac:dyDescent="0.3">
      <c r="A88" s="65" t="s">
        <v>64</v>
      </c>
      <c r="B88" s="66">
        <f>B72-B87</f>
        <v>-275.89999999999998</v>
      </c>
      <c r="C88" s="66">
        <f t="shared" ref="C88:AF88" si="22">C72-C87</f>
        <v>-338</v>
      </c>
      <c r="D88" s="66">
        <f t="shared" si="22"/>
        <v>-333.6</v>
      </c>
      <c r="E88" s="66">
        <f t="shared" si="22"/>
        <v>-363.67</v>
      </c>
      <c r="F88" s="66">
        <f t="shared" si="22"/>
        <v>-378.66</v>
      </c>
      <c r="G88" s="66">
        <f t="shared" si="22"/>
        <v>-374.1</v>
      </c>
      <c r="H88" s="66">
        <f t="shared" si="22"/>
        <v>-421.9</v>
      </c>
      <c r="I88" s="66">
        <f t="shared" si="22"/>
        <v>-365.2</v>
      </c>
      <c r="J88" s="66">
        <f t="shared" si="22"/>
        <v>-425.9</v>
      </c>
      <c r="K88" s="66">
        <f t="shared" si="22"/>
        <v>-431.6</v>
      </c>
      <c r="L88" s="66">
        <f t="shared" si="22"/>
        <v>-362.20000000000005</v>
      </c>
      <c r="M88" s="66">
        <f t="shared" si="22"/>
        <v>-357.9</v>
      </c>
      <c r="N88" s="66">
        <f t="shared" si="22"/>
        <v>-342.7</v>
      </c>
      <c r="O88" s="66">
        <f t="shared" si="22"/>
        <v>-296.39999999999998</v>
      </c>
      <c r="P88" s="66">
        <f t="shared" si="22"/>
        <v>-132.6</v>
      </c>
      <c r="Q88" s="66">
        <f t="shared" si="22"/>
        <v>-169.3</v>
      </c>
      <c r="R88" s="66">
        <f t="shared" si="22"/>
        <v>-178.82</v>
      </c>
      <c r="S88" s="66">
        <f t="shared" si="22"/>
        <v>-241</v>
      </c>
      <c r="T88" s="66">
        <f t="shared" si="22"/>
        <v>-230</v>
      </c>
      <c r="U88" s="66">
        <f t="shared" si="22"/>
        <v>-229</v>
      </c>
      <c r="V88" s="66">
        <f t="shared" si="22"/>
        <v>-294</v>
      </c>
      <c r="W88" s="66">
        <f t="shared" si="22"/>
        <v>-335</v>
      </c>
      <c r="X88" s="66">
        <f t="shared" si="22"/>
        <v>-313</v>
      </c>
      <c r="Y88" s="66">
        <f t="shared" si="22"/>
        <v>-291</v>
      </c>
      <c r="Z88" s="66">
        <f t="shared" si="22"/>
        <v>-223</v>
      </c>
      <c r="AA88" s="66">
        <f t="shared" si="22"/>
        <v>-240</v>
      </c>
      <c r="AB88" s="66">
        <f t="shared" si="22"/>
        <v>-184.7</v>
      </c>
      <c r="AC88" s="66">
        <f t="shared" si="22"/>
        <v>-212</v>
      </c>
      <c r="AD88" s="66">
        <f t="shared" si="22"/>
        <v>-263</v>
      </c>
      <c r="AE88" s="66">
        <f t="shared" si="22"/>
        <v>-335</v>
      </c>
      <c r="AF88" s="66">
        <f t="shared" si="22"/>
        <v>-350</v>
      </c>
      <c r="AG88" s="138"/>
      <c r="AH88" s="54">
        <f t="shared" si="14"/>
        <v>-132.6</v>
      </c>
      <c r="AI88" s="55">
        <f t="shared" si="16"/>
        <v>-431.6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50.027999999999999</v>
      </c>
      <c r="C89" s="80">
        <v>50.057000000000002</v>
      </c>
      <c r="D89" s="80">
        <v>49.988</v>
      </c>
      <c r="E89" s="80">
        <v>50.064</v>
      </c>
      <c r="F89" s="80">
        <v>50.048000000000002</v>
      </c>
      <c r="G89" s="80">
        <v>50.042999999999999</v>
      </c>
      <c r="H89" s="80">
        <v>50.063000000000002</v>
      </c>
      <c r="I89" s="80">
        <v>50</v>
      </c>
      <c r="J89" s="80">
        <v>49.886000000000003</v>
      </c>
      <c r="K89" s="80">
        <v>50.04</v>
      </c>
      <c r="L89" s="80">
        <v>50.036999999999999</v>
      </c>
      <c r="M89" s="80">
        <v>50.018000000000001</v>
      </c>
      <c r="N89" s="80">
        <v>50.017000000000003</v>
      </c>
      <c r="O89" s="80">
        <v>50.054000000000002</v>
      </c>
      <c r="P89" s="80">
        <v>49.960999999999999</v>
      </c>
      <c r="Q89" s="80">
        <v>50.015000000000001</v>
      </c>
      <c r="R89" s="80">
        <v>50.014000000000003</v>
      </c>
      <c r="S89" s="80">
        <v>49.96</v>
      </c>
      <c r="T89" s="80">
        <v>49.87</v>
      </c>
      <c r="U89" s="80">
        <v>50.04</v>
      </c>
      <c r="V89" s="80">
        <v>50.02</v>
      </c>
      <c r="W89" s="80">
        <v>50.012999999999998</v>
      </c>
      <c r="X89" s="80">
        <v>50.012999999999998</v>
      </c>
      <c r="Y89" s="80">
        <v>50.012999999999998</v>
      </c>
      <c r="Z89" s="80">
        <v>50.048999999999999</v>
      </c>
      <c r="AA89" s="80">
        <v>49.987000000000002</v>
      </c>
      <c r="AB89" s="80">
        <v>49.95</v>
      </c>
      <c r="AC89" s="80">
        <v>50.067999999999998</v>
      </c>
      <c r="AD89" s="80">
        <v>50.033999999999999</v>
      </c>
      <c r="AE89" s="80">
        <v>50.045000000000002</v>
      </c>
      <c r="AF89" s="80">
        <v>49.976999999999997</v>
      </c>
      <c r="AG89" s="145"/>
      <c r="AH89" s="54">
        <f t="shared" si="14"/>
        <v>50.067999999999998</v>
      </c>
      <c r="AI89" s="55">
        <f t="shared" si="16"/>
        <v>49.87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125</v>
      </c>
      <c r="C90" s="48">
        <v>125.6</v>
      </c>
      <c r="D90" s="48">
        <v>122.8</v>
      </c>
      <c r="E90" s="48">
        <v>125.7</v>
      </c>
      <c r="F90" s="48">
        <v>126.1</v>
      </c>
      <c r="G90" s="48">
        <v>126.8</v>
      </c>
      <c r="H90" s="48">
        <v>126</v>
      </c>
      <c r="I90" s="48">
        <v>124.6</v>
      </c>
      <c r="J90" s="48">
        <v>122.7</v>
      </c>
      <c r="K90" s="48">
        <v>125.2</v>
      </c>
      <c r="L90" s="48">
        <v>123.7</v>
      </c>
      <c r="M90" s="48">
        <v>124.2</v>
      </c>
      <c r="N90" s="48">
        <v>124.6</v>
      </c>
      <c r="O90" s="48">
        <v>123.2</v>
      </c>
      <c r="P90" s="48">
        <v>123.5</v>
      </c>
      <c r="Q90" s="48">
        <v>123.8</v>
      </c>
      <c r="R90" s="48">
        <v>123.6</v>
      </c>
      <c r="S90" s="48">
        <v>122.5</v>
      </c>
      <c r="T90" s="48">
        <v>123</v>
      </c>
      <c r="U90" s="48">
        <v>124</v>
      </c>
      <c r="V90" s="48">
        <v>125</v>
      </c>
      <c r="W90" s="48">
        <v>125</v>
      </c>
      <c r="X90" s="48">
        <v>125</v>
      </c>
      <c r="Y90" s="48">
        <v>125</v>
      </c>
      <c r="Z90" s="48">
        <v>125</v>
      </c>
      <c r="AA90" s="48">
        <v>125</v>
      </c>
      <c r="AB90" s="48">
        <v>125</v>
      </c>
      <c r="AC90" s="48">
        <v>125</v>
      </c>
      <c r="AD90" s="48">
        <v>125</v>
      </c>
      <c r="AE90" s="48">
        <v>125</v>
      </c>
      <c r="AF90" s="48">
        <v>125.6</v>
      </c>
      <c r="AG90" s="146"/>
      <c r="AH90" s="54">
        <f t="shared" si="14"/>
        <v>126.8</v>
      </c>
      <c r="AI90" s="55">
        <f t="shared" si="16"/>
        <v>122.5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129.69999999999999</v>
      </c>
      <c r="C91" s="48">
        <v>130</v>
      </c>
      <c r="D91" s="48">
        <v>128.19999999999999</v>
      </c>
      <c r="E91" s="48">
        <v>130.19999999999999</v>
      </c>
      <c r="F91" s="48">
        <v>130.69999999999999</v>
      </c>
      <c r="G91" s="48">
        <v>131.19999999999999</v>
      </c>
      <c r="H91" s="48">
        <v>130</v>
      </c>
      <c r="I91" s="48">
        <v>128.5</v>
      </c>
      <c r="J91" s="48">
        <v>126.6</v>
      </c>
      <c r="K91" s="48">
        <v>128.6</v>
      </c>
      <c r="L91" s="48">
        <v>127.4</v>
      </c>
      <c r="M91" s="48">
        <v>127.7</v>
      </c>
      <c r="N91" s="48">
        <v>127.9</v>
      </c>
      <c r="O91" s="48">
        <v>126.88</v>
      </c>
      <c r="P91" s="48">
        <v>126.9</v>
      </c>
      <c r="Q91" s="48">
        <v>127.7</v>
      </c>
      <c r="R91" s="48">
        <v>127.1</v>
      </c>
      <c r="S91" s="48">
        <v>126.6</v>
      </c>
      <c r="T91" s="48">
        <v>127</v>
      </c>
      <c r="U91" s="48">
        <v>127</v>
      </c>
      <c r="V91" s="48">
        <v>128</v>
      </c>
      <c r="W91" s="48">
        <v>128</v>
      </c>
      <c r="X91" s="48">
        <v>128</v>
      </c>
      <c r="Y91" s="48">
        <v>128</v>
      </c>
      <c r="Z91" s="48">
        <v>128</v>
      </c>
      <c r="AA91" s="48">
        <v>128</v>
      </c>
      <c r="AB91" s="48">
        <v>128.30000000000001</v>
      </c>
      <c r="AC91" s="48">
        <v>129</v>
      </c>
      <c r="AD91" s="48">
        <v>129</v>
      </c>
      <c r="AE91" s="48">
        <v>129</v>
      </c>
      <c r="AF91" s="48">
        <v>129.80000000000001</v>
      </c>
      <c r="AG91" s="146"/>
      <c r="AH91" s="54">
        <f t="shared" si="14"/>
        <v>131.19999999999999</v>
      </c>
      <c r="AI91" s="55">
        <f t="shared" si="16"/>
        <v>126.6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126.8</v>
      </c>
      <c r="C92" s="48">
        <v>127.2</v>
      </c>
      <c r="D92" s="48">
        <v>128.1</v>
      </c>
      <c r="E92" s="48">
        <v>129.19999999999999</v>
      </c>
      <c r="F92" s="48">
        <v>128.4</v>
      </c>
      <c r="G92" s="48">
        <v>128.5</v>
      </c>
      <c r="H92" s="48">
        <v>129.6</v>
      </c>
      <c r="I92" s="48">
        <v>130.9</v>
      </c>
      <c r="J92" s="48">
        <v>127.9</v>
      </c>
      <c r="K92" s="48">
        <v>127.2</v>
      </c>
      <c r="L92" s="48">
        <v>127.7</v>
      </c>
      <c r="M92" s="48">
        <v>128.4</v>
      </c>
      <c r="N92" s="48">
        <v>129.5</v>
      </c>
      <c r="O92" s="48">
        <v>127.8</v>
      </c>
      <c r="P92" s="48">
        <v>129.19999999999999</v>
      </c>
      <c r="Q92" s="48">
        <v>129.6</v>
      </c>
      <c r="R92" s="48">
        <v>129.4</v>
      </c>
      <c r="S92" s="48">
        <v>128.1</v>
      </c>
      <c r="T92" s="48">
        <v>127</v>
      </c>
      <c r="U92" s="48">
        <v>130.69999999999999</v>
      </c>
      <c r="V92" s="48">
        <v>130</v>
      </c>
      <c r="W92" s="48">
        <v>130</v>
      </c>
      <c r="X92" s="48">
        <v>130</v>
      </c>
      <c r="Y92" s="48">
        <v>130</v>
      </c>
      <c r="Z92" s="48">
        <v>128</v>
      </c>
      <c r="AA92" s="48">
        <v>127</v>
      </c>
      <c r="AB92" s="48">
        <v>128.69999999999999</v>
      </c>
      <c r="AC92" s="48">
        <v>130</v>
      </c>
      <c r="AD92" s="48">
        <v>130</v>
      </c>
      <c r="AE92" s="48">
        <v>130</v>
      </c>
      <c r="AF92" s="48">
        <v>126.8</v>
      </c>
      <c r="AG92" s="146"/>
      <c r="AH92" s="54">
        <f t="shared" si="14"/>
        <v>130.9</v>
      </c>
      <c r="AI92" s="55">
        <f t="shared" si="16"/>
        <v>126.8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>
        <v>132.80000000000001</v>
      </c>
      <c r="C93" s="48">
        <v>132.1</v>
      </c>
      <c r="D93" s="48">
        <v>133.1</v>
      </c>
      <c r="E93" s="48">
        <v>132.9</v>
      </c>
      <c r="F93" s="48">
        <v>132.69999999999999</v>
      </c>
      <c r="G93" s="48">
        <v>132.80000000000001</v>
      </c>
      <c r="H93" s="48">
        <v>134.1</v>
      </c>
      <c r="I93" s="48">
        <v>135</v>
      </c>
      <c r="J93" s="48">
        <v>132.5</v>
      </c>
      <c r="K93" s="48">
        <v>131</v>
      </c>
      <c r="L93" s="48">
        <v>132.80000000000001</v>
      </c>
      <c r="M93" s="48">
        <v>133.4</v>
      </c>
      <c r="N93" s="48">
        <v>134.1</v>
      </c>
      <c r="O93" s="48">
        <v>131.9</v>
      </c>
      <c r="P93" s="48">
        <v>132.6</v>
      </c>
      <c r="Q93" s="48">
        <v>133.5</v>
      </c>
      <c r="R93" s="48">
        <v>133.6</v>
      </c>
      <c r="S93" s="48">
        <v>132</v>
      </c>
      <c r="T93" s="48">
        <v>132</v>
      </c>
      <c r="U93" s="48">
        <v>134</v>
      </c>
      <c r="V93" s="48">
        <v>134.69999999999999</v>
      </c>
      <c r="W93" s="48">
        <v>134.69999999999999</v>
      </c>
      <c r="X93" s="48">
        <v>134.69999999999999</v>
      </c>
      <c r="Y93" s="48">
        <v>134.69999999999999</v>
      </c>
      <c r="Z93" s="48">
        <v>131</v>
      </c>
      <c r="AA93" s="48">
        <v>133</v>
      </c>
      <c r="AB93" s="48">
        <v>134.1</v>
      </c>
      <c r="AC93" s="48">
        <v>135</v>
      </c>
      <c r="AD93" s="48">
        <v>135</v>
      </c>
      <c r="AE93" s="48">
        <v>135</v>
      </c>
      <c r="AF93" s="48">
        <v>131.80000000000001</v>
      </c>
      <c r="AG93" s="146"/>
      <c r="AH93" s="54">
        <f t="shared" si="14"/>
        <v>135</v>
      </c>
      <c r="AI93" s="55">
        <f t="shared" si="16"/>
        <v>131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135</v>
      </c>
      <c r="C94" s="82">
        <v>133.4</v>
      </c>
      <c r="D94" s="82">
        <v>131.5</v>
      </c>
      <c r="E94" s="82">
        <v>132.6</v>
      </c>
      <c r="F94" s="82">
        <v>133.4</v>
      </c>
      <c r="G94" s="82">
        <v>134.5</v>
      </c>
      <c r="H94" s="82">
        <v>134.1</v>
      </c>
      <c r="I94" s="82">
        <v>131.80000000000001</v>
      </c>
      <c r="J94" s="82">
        <v>130.19999999999999</v>
      </c>
      <c r="K94" s="82">
        <v>135</v>
      </c>
      <c r="L94" s="82">
        <v>134.9</v>
      </c>
      <c r="M94" s="82">
        <v>134.1</v>
      </c>
      <c r="N94" s="82">
        <v>134</v>
      </c>
      <c r="O94" s="82">
        <v>131.69999999999999</v>
      </c>
      <c r="P94" s="82">
        <v>130.19999999999999</v>
      </c>
      <c r="Q94" s="82">
        <v>132.6</v>
      </c>
      <c r="R94" s="82">
        <v>129.9</v>
      </c>
      <c r="S94" s="82">
        <v>135.5</v>
      </c>
      <c r="T94" s="82">
        <v>131</v>
      </c>
      <c r="U94" s="82">
        <v>132</v>
      </c>
      <c r="V94" s="82">
        <v>135.19999999999999</v>
      </c>
      <c r="W94" s="82">
        <v>135.19999999999999</v>
      </c>
      <c r="X94" s="82">
        <v>135.19999999999999</v>
      </c>
      <c r="Y94" s="82">
        <v>135.19999999999999</v>
      </c>
      <c r="Z94" s="82">
        <v>133</v>
      </c>
      <c r="AA94" s="82">
        <v>132</v>
      </c>
      <c r="AB94" s="82">
        <v>134.1</v>
      </c>
      <c r="AC94" s="82">
        <v>133</v>
      </c>
      <c r="AD94" s="82">
        <v>133</v>
      </c>
      <c r="AE94" s="82">
        <v>133</v>
      </c>
      <c r="AF94" s="82">
        <v>134.69999999999999</v>
      </c>
      <c r="AG94" s="147"/>
      <c r="AH94" s="54">
        <f t="shared" si="14"/>
        <v>135.5</v>
      </c>
      <c r="AI94" s="55">
        <f t="shared" si="16"/>
        <v>129.9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131.69999999999999</v>
      </c>
      <c r="C95" s="48">
        <v>131.30000000000001</v>
      </c>
      <c r="D95" s="48">
        <v>127.7</v>
      </c>
      <c r="E95" s="48">
        <v>128.5</v>
      </c>
      <c r="F95" s="48">
        <v>130.19999999999999</v>
      </c>
      <c r="G95" s="48">
        <v>131.4</v>
      </c>
      <c r="H95" s="48">
        <v>132.4</v>
      </c>
      <c r="I95" s="48">
        <v>126.2</v>
      </c>
      <c r="J95" s="48">
        <v>129.9</v>
      </c>
      <c r="K95" s="48">
        <v>132.1</v>
      </c>
      <c r="L95" s="48">
        <v>135.1</v>
      </c>
      <c r="M95" s="48">
        <v>129.9</v>
      </c>
      <c r="N95" s="48">
        <v>128</v>
      </c>
      <c r="O95" s="48">
        <v>129</v>
      </c>
      <c r="P95" s="48">
        <v>129.4</v>
      </c>
      <c r="Q95" s="48">
        <v>124.8</v>
      </c>
      <c r="R95" s="48">
        <v>128.4</v>
      </c>
      <c r="S95" s="48">
        <v>122</v>
      </c>
      <c r="T95" s="48">
        <v>127</v>
      </c>
      <c r="U95" s="48">
        <v>128</v>
      </c>
      <c r="V95" s="48">
        <v>133</v>
      </c>
      <c r="W95" s="48">
        <v>133</v>
      </c>
      <c r="X95" s="48">
        <v>133</v>
      </c>
      <c r="Y95" s="48">
        <v>133</v>
      </c>
      <c r="Z95" s="48">
        <v>131</v>
      </c>
      <c r="AA95" s="48">
        <v>128</v>
      </c>
      <c r="AB95" s="48">
        <v>131</v>
      </c>
      <c r="AC95" s="48">
        <v>131</v>
      </c>
      <c r="AD95" s="48">
        <v>131</v>
      </c>
      <c r="AE95" s="48">
        <v>131</v>
      </c>
      <c r="AF95" s="48">
        <v>133</v>
      </c>
      <c r="AG95" s="146"/>
      <c r="AH95" s="54">
        <f t="shared" si="14"/>
        <v>135.1</v>
      </c>
      <c r="AI95" s="55">
        <f t="shared" si="16"/>
        <v>122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65.7</v>
      </c>
      <c r="C96" s="83">
        <v>65.900000000000006</v>
      </c>
      <c r="D96" s="83">
        <v>65</v>
      </c>
      <c r="E96" s="83">
        <v>66</v>
      </c>
      <c r="F96" s="83">
        <v>66.2</v>
      </c>
      <c r="G96" s="83">
        <v>66.400000000000006</v>
      </c>
      <c r="H96" s="83">
        <v>65.8</v>
      </c>
      <c r="I96" s="83">
        <v>65.3</v>
      </c>
      <c r="J96" s="83">
        <v>64.2</v>
      </c>
      <c r="K96" s="83">
        <v>64.8</v>
      </c>
      <c r="L96" s="83">
        <v>64.5</v>
      </c>
      <c r="M96" s="83">
        <v>64.3</v>
      </c>
      <c r="N96" s="83">
        <v>64.3</v>
      </c>
      <c r="O96" s="83">
        <v>63.7</v>
      </c>
      <c r="P96" s="83">
        <v>64.2</v>
      </c>
      <c r="Q96" s="83">
        <v>64.2</v>
      </c>
      <c r="R96" s="83">
        <v>64.2</v>
      </c>
      <c r="S96" s="83">
        <v>63.6</v>
      </c>
      <c r="T96" s="83">
        <v>63.3</v>
      </c>
      <c r="U96" s="83">
        <v>64.3</v>
      </c>
      <c r="V96" s="83">
        <v>64.7</v>
      </c>
      <c r="W96" s="83">
        <v>64.7</v>
      </c>
      <c r="X96" s="83">
        <v>64.7</v>
      </c>
      <c r="Y96" s="83">
        <v>64.7</v>
      </c>
      <c r="Z96" s="83">
        <v>64</v>
      </c>
      <c r="AA96" s="83">
        <v>64.599999999999994</v>
      </c>
      <c r="AB96" s="83">
        <v>65.099999999999994</v>
      </c>
      <c r="AC96" s="83">
        <v>65.3</v>
      </c>
      <c r="AD96" s="83">
        <v>65.3</v>
      </c>
      <c r="AE96" s="83">
        <v>65.3</v>
      </c>
      <c r="AF96" s="83">
        <v>65.599999999999994</v>
      </c>
      <c r="AG96" s="148"/>
      <c r="AH96" s="54">
        <f t="shared" si="14"/>
        <v>66.400000000000006</v>
      </c>
      <c r="AI96" s="55">
        <f t="shared" si="16"/>
        <v>63.3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14"/>
        <v>0</v>
      </c>
      <c r="AI97" s="55">
        <f t="shared" si="16"/>
        <v>0</v>
      </c>
    </row>
    <row r="98" spans="1:37" ht="15.75" thickBot="1" x14ac:dyDescent="0.3">
      <c r="A98" s="85" t="s">
        <v>73</v>
      </c>
      <c r="B98" s="86">
        <f t="shared" ref="B98:AF98" si="23">SUM(B15,B18,B21:B22,B46,B48:B49,B51,B53,B99:B102,B123,B129,B135,B144,B146,B158,B165,B168:B169,B176,B178,B180,B184:B186,B188:B190,B195,B201:B202,B204:B206,B214,B219)</f>
        <v>50.999999999999993</v>
      </c>
      <c r="C98" s="86">
        <f t="shared" si="23"/>
        <v>45.84</v>
      </c>
      <c r="D98" s="86">
        <f t="shared" si="23"/>
        <v>42.240000000000045</v>
      </c>
      <c r="E98" s="86">
        <f t="shared" si="23"/>
        <v>37.739999999999959</v>
      </c>
      <c r="F98" s="86">
        <f t="shared" si="23"/>
        <v>22.340000000000042</v>
      </c>
      <c r="G98" s="86">
        <f t="shared" si="23"/>
        <v>35.140000000000022</v>
      </c>
      <c r="H98" s="86">
        <f t="shared" si="23"/>
        <v>46.039999999999992</v>
      </c>
      <c r="I98" s="86">
        <f t="shared" si="23"/>
        <v>72.389999999999972</v>
      </c>
      <c r="J98" s="86">
        <f t="shared" si="23"/>
        <v>104.49000000000001</v>
      </c>
      <c r="K98" s="86">
        <f t="shared" si="23"/>
        <v>123.38999999999999</v>
      </c>
      <c r="L98" s="86">
        <f t="shared" si="23"/>
        <v>153.19</v>
      </c>
      <c r="M98" s="86">
        <f t="shared" si="23"/>
        <v>186.14</v>
      </c>
      <c r="N98" s="86">
        <f t="shared" si="23"/>
        <v>146.84000000000003</v>
      </c>
      <c r="O98" s="86">
        <f t="shared" si="23"/>
        <v>160.24</v>
      </c>
      <c r="P98" s="86">
        <f t="shared" si="23"/>
        <v>187.34</v>
      </c>
      <c r="Q98" s="86">
        <f t="shared" si="23"/>
        <v>165</v>
      </c>
      <c r="R98" s="86">
        <f t="shared" si="23"/>
        <v>160.00000000000003</v>
      </c>
      <c r="S98" s="86">
        <f t="shared" si="23"/>
        <v>177.2</v>
      </c>
      <c r="T98" s="86">
        <f t="shared" si="23"/>
        <v>166.9</v>
      </c>
      <c r="U98" s="86">
        <f t="shared" si="23"/>
        <v>194.9</v>
      </c>
      <c r="V98" s="86">
        <f t="shared" si="23"/>
        <v>202.9</v>
      </c>
      <c r="W98" s="86">
        <f t="shared" si="23"/>
        <v>161.9</v>
      </c>
      <c r="X98" s="86">
        <f t="shared" si="23"/>
        <v>187.9</v>
      </c>
      <c r="Y98" s="86">
        <f t="shared" si="23"/>
        <v>199.9</v>
      </c>
      <c r="Z98" s="86">
        <f t="shared" si="23"/>
        <v>218.1</v>
      </c>
      <c r="AA98" s="86">
        <f t="shared" si="23"/>
        <v>299.5</v>
      </c>
      <c r="AB98" s="86">
        <f t="shared" si="23"/>
        <v>287.3</v>
      </c>
      <c r="AC98" s="86">
        <f t="shared" si="23"/>
        <v>168</v>
      </c>
      <c r="AD98" s="86">
        <f t="shared" si="23"/>
        <v>136.5</v>
      </c>
      <c r="AE98" s="86">
        <f t="shared" si="23"/>
        <v>65.599999999999994</v>
      </c>
      <c r="AF98" s="86">
        <f t="shared" si="23"/>
        <v>40.899999999999991</v>
      </c>
      <c r="AG98" s="150"/>
      <c r="AH98" s="54">
        <f>MAX(C98:AF98)</f>
        <v>299.5</v>
      </c>
      <c r="AI98" s="55">
        <f>MIN(C98:AF98)</f>
        <v>22.340000000000042</v>
      </c>
    </row>
    <row r="99" spans="1:37" x14ac:dyDescent="0.25">
      <c r="A99" s="170" t="s">
        <v>74</v>
      </c>
      <c r="B99" s="87">
        <v>22</v>
      </c>
      <c r="C99" s="87">
        <v>23.4</v>
      </c>
      <c r="D99" s="87">
        <v>22.8</v>
      </c>
      <c r="E99" s="87">
        <v>27.2</v>
      </c>
      <c r="F99" s="87">
        <v>21.4</v>
      </c>
      <c r="G99" s="87">
        <v>17.899999999999999</v>
      </c>
      <c r="H99" s="87">
        <v>21.7</v>
      </c>
      <c r="I99" s="87">
        <v>28.1</v>
      </c>
      <c r="J99" s="87">
        <v>35.1</v>
      </c>
      <c r="K99" s="87">
        <v>34.1</v>
      </c>
      <c r="L99" s="87">
        <v>30.2</v>
      </c>
      <c r="M99" s="87">
        <v>31.5</v>
      </c>
      <c r="N99" s="87">
        <v>33.9</v>
      </c>
      <c r="O99" s="87">
        <v>36.1</v>
      </c>
      <c r="P99" s="87">
        <v>7.5</v>
      </c>
      <c r="Q99" s="87">
        <v>13.7</v>
      </c>
      <c r="R99" s="87">
        <v>14.8</v>
      </c>
      <c r="S99" s="87">
        <v>28</v>
      </c>
      <c r="T99" s="87">
        <v>31</v>
      </c>
      <c r="U99" s="87">
        <v>15</v>
      </c>
      <c r="V99" s="87">
        <v>32</v>
      </c>
      <c r="W99" s="87">
        <v>18</v>
      </c>
      <c r="X99" s="87">
        <v>23</v>
      </c>
      <c r="Y99" s="87">
        <v>22</v>
      </c>
      <c r="Z99" s="87">
        <v>15</v>
      </c>
      <c r="AA99" s="87">
        <v>17</v>
      </c>
      <c r="AB99" s="87">
        <v>15.1</v>
      </c>
      <c r="AC99" s="87">
        <v>22.2</v>
      </c>
      <c r="AD99" s="87">
        <v>27</v>
      </c>
      <c r="AE99" s="87">
        <v>13.5</v>
      </c>
      <c r="AF99" s="87">
        <v>11.7</v>
      </c>
      <c r="AG99" s="151">
        <v>75</v>
      </c>
      <c r="AH99" s="54">
        <f t="shared" ref="AH99:AH105" si="24">IF(ABS(MAX(C99:AF99))&gt;ABS(MIN(C99:AF99)),MAX(C99:AF99),MIN(C99:AF99))</f>
        <v>36.1</v>
      </c>
      <c r="AI99" s="89">
        <f t="shared" ref="AI99:AI105" si="25">INDEX($C$9:$AF$9,1,MATCH(AH99,C99:AF99,0))</f>
        <v>0.41666666666666702</v>
      </c>
    </row>
    <row r="100" spans="1:37" x14ac:dyDescent="0.25">
      <c r="A100" s="163" t="s">
        <v>75</v>
      </c>
      <c r="B100" s="90">
        <f>-65.6-67.7</f>
        <v>-133.30000000000001</v>
      </c>
      <c r="C100" s="90">
        <f>-67.3-63</f>
        <v>-130.30000000000001</v>
      </c>
      <c r="D100" s="90">
        <f>-71.8-67.1</f>
        <v>-138.89999999999998</v>
      </c>
      <c r="E100" s="90">
        <f>-70.9-75.7</f>
        <v>-146.60000000000002</v>
      </c>
      <c r="F100" s="90">
        <f>-64.8-69.1</f>
        <v>-133.89999999999998</v>
      </c>
      <c r="G100" s="90">
        <f>-56.5-60.1</f>
        <v>-116.6</v>
      </c>
      <c r="H100" s="90">
        <f>-55.4-59.5</f>
        <v>-114.9</v>
      </c>
      <c r="I100" s="90">
        <f>-27.8-29.9</f>
        <v>-57.7</v>
      </c>
      <c r="J100" s="90">
        <f>-50.7-54.9</f>
        <v>-105.6</v>
      </c>
      <c r="K100" s="90">
        <f>-40.6-42.9</f>
        <v>-83.5</v>
      </c>
      <c r="L100" s="90">
        <f>-42.5-45.8</f>
        <v>-88.3</v>
      </c>
      <c r="M100" s="90">
        <v>-80.900000000000006</v>
      </c>
      <c r="N100" s="90">
        <v>-95.6</v>
      </c>
      <c r="O100" s="90">
        <v>-91.8</v>
      </c>
      <c r="P100" s="90">
        <f>-38-41</f>
        <v>-79</v>
      </c>
      <c r="Q100" s="90">
        <v>-121</v>
      </c>
      <c r="R100" s="90">
        <f>-79.2-47.8</f>
        <v>-127</v>
      </c>
      <c r="S100" s="90">
        <v>-102</v>
      </c>
      <c r="T100" s="90">
        <v>-104</v>
      </c>
      <c r="U100" s="90">
        <v>-88</v>
      </c>
      <c r="V100" s="90">
        <v>-85</v>
      </c>
      <c r="W100" s="90">
        <v>-84</v>
      </c>
      <c r="X100" s="90">
        <v>-78</v>
      </c>
      <c r="Y100" s="90">
        <v>-78</v>
      </c>
      <c r="Z100" s="90">
        <v>-72</v>
      </c>
      <c r="AA100" s="90"/>
      <c r="AB100" s="90"/>
      <c r="AC100" s="90">
        <v>-98</v>
      </c>
      <c r="AD100" s="90">
        <v>-110</v>
      </c>
      <c r="AE100" s="90">
        <v>-125</v>
      </c>
      <c r="AF100" s="90">
        <v>-128</v>
      </c>
      <c r="AG100" s="151">
        <v>240</v>
      </c>
      <c r="AH100" s="54">
        <f t="shared" si="24"/>
        <v>-146.60000000000002</v>
      </c>
      <c r="AI100" s="89">
        <f t="shared" si="25"/>
        <v>0.125</v>
      </c>
    </row>
    <row r="101" spans="1:37" x14ac:dyDescent="0.25">
      <c r="A101" s="163" t="s">
        <v>76</v>
      </c>
      <c r="B101" s="90">
        <v>-10.6</v>
      </c>
      <c r="C101" s="90">
        <v>-15</v>
      </c>
      <c r="D101" s="90">
        <v>-9.4</v>
      </c>
      <c r="E101" s="90">
        <v>-10.4</v>
      </c>
      <c r="F101" s="90">
        <v>-7.9</v>
      </c>
      <c r="G101" s="90">
        <v>-3.4</v>
      </c>
      <c r="H101" s="90">
        <v>-3</v>
      </c>
      <c r="I101" s="90">
        <v>4.5999999999999996</v>
      </c>
      <c r="J101" s="90">
        <v>0.6</v>
      </c>
      <c r="K101" s="90">
        <v>0</v>
      </c>
      <c r="L101" s="90">
        <v>4.2</v>
      </c>
      <c r="M101" s="90">
        <v>7.6</v>
      </c>
      <c r="N101" s="90">
        <v>4</v>
      </c>
      <c r="O101" s="90">
        <v>8.3000000000000007</v>
      </c>
      <c r="P101" s="90">
        <v>29.2</v>
      </c>
      <c r="Q101" s="90">
        <v>33.299999999999997</v>
      </c>
      <c r="R101" s="90">
        <v>40.4</v>
      </c>
      <c r="S101" s="90">
        <v>5.0999999999999996</v>
      </c>
      <c r="T101" s="90">
        <v>-4</v>
      </c>
      <c r="U101" s="90">
        <v>13</v>
      </c>
      <c r="V101" s="90">
        <v>11</v>
      </c>
      <c r="W101" s="90">
        <v>11</v>
      </c>
      <c r="X101" s="90">
        <v>14</v>
      </c>
      <c r="Y101" s="90">
        <v>12</v>
      </c>
      <c r="Z101" s="90">
        <v>11</v>
      </c>
      <c r="AA101" s="90">
        <v>27</v>
      </c>
      <c r="AB101" s="90">
        <v>10.4</v>
      </c>
      <c r="AC101" s="90">
        <v>6.1</v>
      </c>
      <c r="AD101" s="90">
        <v>2</v>
      </c>
      <c r="AE101" s="90">
        <v>-1.6</v>
      </c>
      <c r="AF101" s="90">
        <v>-0.3</v>
      </c>
      <c r="AG101" s="151">
        <v>60</v>
      </c>
      <c r="AH101" s="54">
        <f t="shared" si="24"/>
        <v>40.4</v>
      </c>
      <c r="AI101" s="89">
        <f t="shared" si="25"/>
        <v>0.54166666666666696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39.299999999999997</v>
      </c>
      <c r="M102" s="91">
        <v>45.7</v>
      </c>
      <c r="N102" s="91">
        <v>32.299999999999997</v>
      </c>
      <c r="O102" s="91">
        <v>35.4</v>
      </c>
      <c r="P102" s="91">
        <v>66.3</v>
      </c>
      <c r="Q102" s="91">
        <v>43.5</v>
      </c>
      <c r="R102" s="91">
        <v>35.9</v>
      </c>
      <c r="S102" s="91">
        <v>50.2</v>
      </c>
      <c r="T102" s="91">
        <v>48</v>
      </c>
      <c r="U102" s="91">
        <v>59</v>
      </c>
      <c r="V102" s="91">
        <v>49</v>
      </c>
      <c r="W102" s="91">
        <v>36</v>
      </c>
      <c r="X102" s="91">
        <v>48</v>
      </c>
      <c r="Y102" s="91">
        <v>63</v>
      </c>
      <c r="Z102" s="91">
        <v>77</v>
      </c>
      <c r="AA102" s="91">
        <v>68</v>
      </c>
      <c r="AB102" s="91">
        <v>74.3</v>
      </c>
      <c r="AC102" s="91">
        <v>50.2</v>
      </c>
      <c r="AD102" s="91">
        <v>30</v>
      </c>
      <c r="AE102" s="91">
        <v>21.2</v>
      </c>
      <c r="AF102" s="91">
        <v>0</v>
      </c>
      <c r="AG102" s="152">
        <v>120</v>
      </c>
      <c r="AH102" s="54">
        <f t="shared" si="24"/>
        <v>77</v>
      </c>
      <c r="AI102" s="89">
        <f t="shared" si="25"/>
        <v>0.79166666666666663</v>
      </c>
    </row>
    <row r="103" spans="1:37" x14ac:dyDescent="0.25">
      <c r="A103" s="164" t="s">
        <v>78</v>
      </c>
      <c r="B103" s="91">
        <v>38</v>
      </c>
      <c r="C103" s="91">
        <v>34.4</v>
      </c>
      <c r="D103" s="91">
        <v>41</v>
      </c>
      <c r="E103" s="91">
        <v>20.9</v>
      </c>
      <c r="F103" s="91">
        <v>27.2</v>
      </c>
      <c r="G103" s="91">
        <v>35.6</v>
      </c>
      <c r="H103" s="91">
        <v>28.8</v>
      </c>
      <c r="I103" s="91">
        <v>58.6</v>
      </c>
      <c r="J103" s="91">
        <v>25.3</v>
      </c>
      <c r="K103" s="91">
        <v>49.4</v>
      </c>
      <c r="L103" s="91">
        <v>39.1</v>
      </c>
      <c r="M103" s="91">
        <v>40.5</v>
      </c>
      <c r="N103" s="91">
        <v>28.6</v>
      </c>
      <c r="O103" s="91">
        <v>43.6</v>
      </c>
      <c r="P103" s="91">
        <v>67.5</v>
      </c>
      <c r="Q103" s="91">
        <v>45.1</v>
      </c>
      <c r="R103" s="91">
        <v>41.6</v>
      </c>
      <c r="S103" s="91">
        <v>56</v>
      </c>
      <c r="T103" s="91">
        <v>53</v>
      </c>
      <c r="U103" s="91">
        <v>62</v>
      </c>
      <c r="V103" s="91">
        <v>50</v>
      </c>
      <c r="W103" s="91">
        <v>29</v>
      </c>
      <c r="X103" s="91">
        <v>38</v>
      </c>
      <c r="Y103" s="91">
        <v>52</v>
      </c>
      <c r="Z103" s="91">
        <v>66</v>
      </c>
      <c r="AA103" s="91">
        <v>51</v>
      </c>
      <c r="AB103" s="91">
        <v>67.099999999999994</v>
      </c>
      <c r="AC103" s="91">
        <v>52.5</v>
      </c>
      <c r="AD103" s="91">
        <v>33.6</v>
      </c>
      <c r="AE103" s="91">
        <v>33.6</v>
      </c>
      <c r="AF103" s="91">
        <v>24.5</v>
      </c>
      <c r="AG103" s="152"/>
      <c r="AH103" s="54">
        <f t="shared" si="24"/>
        <v>67.5</v>
      </c>
      <c r="AI103" s="89">
        <f t="shared" si="25"/>
        <v>0.45833333333333298</v>
      </c>
    </row>
    <row r="104" spans="1:37" x14ac:dyDescent="0.25">
      <c r="A104" s="164" t="s">
        <v>105</v>
      </c>
      <c r="B104" s="91">
        <v>45</v>
      </c>
      <c r="C104" s="91">
        <v>35.4</v>
      </c>
      <c r="D104" s="91">
        <v>33.200000000000003</v>
      </c>
      <c r="E104" s="91" t="s">
        <v>242</v>
      </c>
      <c r="F104" s="91" t="s">
        <v>242</v>
      </c>
      <c r="G104" s="91">
        <v>19.600000000000001</v>
      </c>
      <c r="H104" s="91">
        <v>1.4</v>
      </c>
      <c r="I104" s="91">
        <v>-7.9</v>
      </c>
      <c r="J104" s="91">
        <v>-23</v>
      </c>
      <c r="K104" s="91">
        <v>-1</v>
      </c>
      <c r="L104" s="91">
        <v>-9.1999999999999993</v>
      </c>
      <c r="M104" s="91">
        <v>-26.1</v>
      </c>
      <c r="N104" s="91">
        <v>-26.3</v>
      </c>
      <c r="O104" s="91">
        <v>-40.4</v>
      </c>
      <c r="P104" s="91">
        <v>63.4</v>
      </c>
      <c r="Q104" s="91">
        <v>61.5</v>
      </c>
      <c r="R104" s="91">
        <v>0</v>
      </c>
      <c r="S104" s="91">
        <v>-3</v>
      </c>
      <c r="T104" s="91">
        <v>0</v>
      </c>
      <c r="U104" s="91">
        <v>40</v>
      </c>
      <c r="V104" s="91">
        <v>31</v>
      </c>
      <c r="W104" s="91">
        <v>35</v>
      </c>
      <c r="X104" s="91">
        <v>36</v>
      </c>
      <c r="Y104" s="91">
        <v>34</v>
      </c>
      <c r="Z104" s="91">
        <v>68</v>
      </c>
      <c r="AA104" s="91">
        <v>65</v>
      </c>
      <c r="AB104" s="91">
        <v>66.400000000000006</v>
      </c>
      <c r="AC104" s="91">
        <v>55</v>
      </c>
      <c r="AD104" s="91">
        <v>10</v>
      </c>
      <c r="AE104" s="91">
        <v>31.3</v>
      </c>
      <c r="AF104" s="91">
        <v>37.6</v>
      </c>
      <c r="AG104" s="153"/>
      <c r="AH104" s="54">
        <f t="shared" si="24"/>
        <v>68</v>
      </c>
      <c r="AI104" s="89">
        <f t="shared" si="25"/>
        <v>0.79166666666666663</v>
      </c>
    </row>
    <row r="105" spans="1:37" ht="15.75" thickBot="1" x14ac:dyDescent="0.3">
      <c r="A105" s="171" t="s">
        <v>106</v>
      </c>
      <c r="B105" s="82">
        <v>95</v>
      </c>
      <c r="C105" s="82">
        <v>101.6</v>
      </c>
      <c r="D105" s="82">
        <v>104.8</v>
      </c>
      <c r="E105" s="82">
        <v>105</v>
      </c>
      <c r="F105" s="82">
        <v>108.7</v>
      </c>
      <c r="G105" s="82">
        <v>111.9</v>
      </c>
      <c r="H105" s="82">
        <v>115.7</v>
      </c>
      <c r="I105" s="82">
        <v>116.1</v>
      </c>
      <c r="J105" s="82">
        <v>110.3</v>
      </c>
      <c r="K105" s="82">
        <v>108.1</v>
      </c>
      <c r="L105" s="82">
        <v>103.9</v>
      </c>
      <c r="M105" s="82">
        <v>99.7</v>
      </c>
      <c r="N105" s="82">
        <v>97</v>
      </c>
      <c r="O105" s="82">
        <v>93.4</v>
      </c>
      <c r="P105" s="82">
        <v>89.9</v>
      </c>
      <c r="Q105" s="82">
        <v>90.2</v>
      </c>
      <c r="R105" s="82">
        <v>88</v>
      </c>
      <c r="S105" s="82">
        <v>76</v>
      </c>
      <c r="T105" s="82">
        <v>67</v>
      </c>
      <c r="U105" s="82">
        <v>91</v>
      </c>
      <c r="V105" s="82">
        <v>97</v>
      </c>
      <c r="W105" s="82">
        <v>96</v>
      </c>
      <c r="X105" s="82">
        <v>97</v>
      </c>
      <c r="Y105" s="82">
        <v>91</v>
      </c>
      <c r="Z105" s="82">
        <v>94</v>
      </c>
      <c r="AA105" s="82">
        <v>94</v>
      </c>
      <c r="AB105" s="82">
        <v>93.8</v>
      </c>
      <c r="AC105" s="82">
        <v>91</v>
      </c>
      <c r="AD105" s="82">
        <v>94.5</v>
      </c>
      <c r="AE105" s="82">
        <v>98</v>
      </c>
      <c r="AF105" s="82">
        <v>101</v>
      </c>
      <c r="AG105" s="153"/>
      <c r="AH105" s="54">
        <f t="shared" si="24"/>
        <v>116.1</v>
      </c>
      <c r="AI105" s="89">
        <f t="shared" si="25"/>
        <v>0.25</v>
      </c>
    </row>
    <row r="106" spans="1:37" ht="15.75" thickBot="1" x14ac:dyDescent="0.3">
      <c r="A106" s="92" t="s">
        <v>79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154"/>
      <c r="AH106" s="94"/>
      <c r="AI106" s="55"/>
      <c r="AK106" s="56"/>
    </row>
    <row r="107" spans="1:37" x14ac:dyDescent="0.25">
      <c r="A107" s="162" t="s">
        <v>133</v>
      </c>
      <c r="B107" s="95"/>
      <c r="C107" s="53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6">
        <v>9.94</v>
      </c>
      <c r="AH107" s="54"/>
      <c r="AI107" s="55"/>
      <c r="AK107" s="56"/>
    </row>
    <row r="108" spans="1:37" x14ac:dyDescent="0.25">
      <c r="A108" s="163" t="s">
        <v>134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/>
      <c r="AH108" s="54"/>
      <c r="AI108" s="55"/>
      <c r="AK108" s="56"/>
    </row>
    <row r="109" spans="1:37" x14ac:dyDescent="0.25">
      <c r="A109" s="163" t="s">
        <v>135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136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137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138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139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140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141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142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143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144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145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146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147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148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149</v>
      </c>
      <c r="B123" s="97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9">
        <v>9.9</v>
      </c>
      <c r="AH123" s="54"/>
      <c r="AI123" s="55"/>
      <c r="AK123" s="56"/>
    </row>
    <row r="124" spans="1:37" x14ac:dyDescent="0.25">
      <c r="A124" s="164" t="s">
        <v>80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100">
        <v>9.6579999999999995</v>
      </c>
      <c r="AH124" s="54"/>
      <c r="AI124" s="55"/>
      <c r="AK124" s="56"/>
    </row>
    <row r="125" spans="1:37" x14ac:dyDescent="0.25">
      <c r="A125" s="164" t="s">
        <v>150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</v>
      </c>
      <c r="AH125" s="54"/>
      <c r="AI125" s="55"/>
      <c r="AK125" s="56"/>
    </row>
    <row r="126" spans="1:37" x14ac:dyDescent="0.25">
      <c r="A126" s="164" t="s">
        <v>151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9.51</v>
      </c>
      <c r="AH126" s="54"/>
      <c r="AI126" s="55"/>
      <c r="AK126" s="56"/>
    </row>
    <row r="127" spans="1:37" x14ac:dyDescent="0.25">
      <c r="A127" s="164" t="s">
        <v>152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9.4</v>
      </c>
      <c r="AH127" s="54"/>
      <c r="AI127" s="55"/>
      <c r="AK127" s="56"/>
    </row>
    <row r="128" spans="1:37" x14ac:dyDescent="0.25">
      <c r="A128" s="164" t="s">
        <v>153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8.8000000000000007</v>
      </c>
      <c r="AH128" s="54"/>
      <c r="AI128" s="55"/>
      <c r="AK128" s="56"/>
    </row>
    <row r="129" spans="1:37" x14ac:dyDescent="0.25">
      <c r="A129" s="164" t="s">
        <v>154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8.5</v>
      </c>
      <c r="AH129" s="54"/>
      <c r="AI129" s="55"/>
      <c r="AK129" s="56"/>
    </row>
    <row r="130" spans="1:37" x14ac:dyDescent="0.25">
      <c r="A130" s="164" t="s">
        <v>155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156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8.4</v>
      </c>
      <c r="AH131" s="54"/>
      <c r="AI131" s="55"/>
      <c r="AK131" s="56"/>
    </row>
    <row r="132" spans="1:37" ht="13.5" customHeight="1" x14ac:dyDescent="0.25">
      <c r="A132" s="164" t="s">
        <v>157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</v>
      </c>
      <c r="AH132" s="54"/>
      <c r="AI132" s="55"/>
      <c r="AK132" s="56"/>
    </row>
    <row r="133" spans="1:37" x14ac:dyDescent="0.25">
      <c r="A133" s="164" t="s">
        <v>158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159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160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7.8</v>
      </c>
      <c r="AH135" s="54"/>
      <c r="AI135" s="55"/>
      <c r="AK135" s="56"/>
    </row>
    <row r="136" spans="1:37" x14ac:dyDescent="0.25">
      <c r="A136" s="164" t="s">
        <v>161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7.6</v>
      </c>
      <c r="AH136" s="54"/>
      <c r="AI136" s="55"/>
      <c r="AK136" s="56"/>
    </row>
    <row r="137" spans="1:37" x14ac:dyDescent="0.25">
      <c r="A137" s="164" t="s">
        <v>162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7.5</v>
      </c>
      <c r="AH137" s="54"/>
      <c r="AI137" s="55"/>
      <c r="AK137" s="56"/>
    </row>
    <row r="138" spans="1:37" x14ac:dyDescent="0.25">
      <c r="A138" s="164" t="s">
        <v>163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164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</v>
      </c>
      <c r="AH139" s="54"/>
      <c r="AI139" s="55"/>
      <c r="AK139" s="56"/>
    </row>
    <row r="140" spans="1:37" x14ac:dyDescent="0.25">
      <c r="A140" s="164" t="s">
        <v>165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166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167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168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6.6</v>
      </c>
      <c r="AH143" s="54"/>
      <c r="AI143" s="55"/>
      <c r="AK143" s="56"/>
    </row>
    <row r="144" spans="1:37" x14ac:dyDescent="0.25">
      <c r="A144" s="164" t="s">
        <v>169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170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6.4</v>
      </c>
      <c r="AH145" s="54"/>
      <c r="AI145" s="55"/>
      <c r="AK145" s="56"/>
    </row>
    <row r="146" spans="1:37" x14ac:dyDescent="0.25">
      <c r="A146" s="164" t="s">
        <v>171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</v>
      </c>
      <c r="AH146" s="54"/>
      <c r="AI146" s="55"/>
      <c r="AK146" s="56"/>
    </row>
    <row r="147" spans="1:37" x14ac:dyDescent="0.25">
      <c r="A147" s="164" t="s">
        <v>172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5.0999999999999996</v>
      </c>
      <c r="AH147" s="54"/>
      <c r="AI147" s="55"/>
      <c r="AK147" s="56"/>
    </row>
    <row r="148" spans="1:37" x14ac:dyDescent="0.25">
      <c r="A148" s="164" t="s">
        <v>173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</v>
      </c>
      <c r="AH148" s="54"/>
      <c r="AI148" s="55"/>
      <c r="AK148" s="56"/>
    </row>
    <row r="149" spans="1:37" x14ac:dyDescent="0.25">
      <c r="A149" s="163" t="s">
        <v>174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9">
        <v>5</v>
      </c>
      <c r="AH149" s="54"/>
      <c r="AI149" s="55"/>
      <c r="AK149" s="56"/>
    </row>
    <row r="150" spans="1:37" x14ac:dyDescent="0.25">
      <c r="A150" s="164" t="s">
        <v>175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100">
        <v>5</v>
      </c>
      <c r="AH150" s="54"/>
      <c r="AI150" s="55"/>
      <c r="AK150" s="56"/>
    </row>
    <row r="151" spans="1:37" x14ac:dyDescent="0.25">
      <c r="A151" s="164" t="s">
        <v>176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177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178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179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180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4.9930000000000003</v>
      </c>
      <c r="AH155" s="54"/>
      <c r="AI155" s="55"/>
      <c r="AK155" s="56"/>
    </row>
    <row r="156" spans="1:37" x14ac:dyDescent="0.25">
      <c r="A156" s="164" t="s">
        <v>181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4.9800000000000004</v>
      </c>
      <c r="AH156" s="54"/>
      <c r="AI156" s="55"/>
      <c r="AK156" s="56"/>
    </row>
    <row r="157" spans="1:37" x14ac:dyDescent="0.25">
      <c r="A157" s="164" t="s">
        <v>182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4.95</v>
      </c>
      <c r="AH157" s="54"/>
      <c r="AI157" s="55"/>
      <c r="AK157" s="56"/>
    </row>
    <row r="158" spans="1:37" x14ac:dyDescent="0.25">
      <c r="A158" s="164" t="s">
        <v>81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183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4.8</v>
      </c>
      <c r="AH159" s="54"/>
      <c r="AI159" s="55"/>
      <c r="AK159" s="56"/>
    </row>
    <row r="160" spans="1:37" x14ac:dyDescent="0.25">
      <c r="A160" s="164" t="s">
        <v>184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185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186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4.5</v>
      </c>
      <c r="AH162" s="54"/>
      <c r="AI162" s="55"/>
      <c r="AK162" s="56"/>
    </row>
    <row r="163" spans="1:37" x14ac:dyDescent="0.25">
      <c r="A163" s="164" t="s">
        <v>187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188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4.4550000000000001</v>
      </c>
      <c r="AH164" s="54"/>
      <c r="AI164" s="55"/>
      <c r="AK164" s="56"/>
    </row>
    <row r="165" spans="1:37" x14ac:dyDescent="0.25">
      <c r="A165" s="164" t="s">
        <v>189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4.41</v>
      </c>
      <c r="AH165" s="54"/>
      <c r="AI165" s="55"/>
      <c r="AK165" s="56"/>
    </row>
    <row r="166" spans="1:37" x14ac:dyDescent="0.25">
      <c r="A166" s="164" t="s">
        <v>190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4.4000000000000004</v>
      </c>
      <c r="AH166" s="54"/>
      <c r="AI166" s="55"/>
      <c r="AK166" s="56"/>
    </row>
    <row r="167" spans="1:37" x14ac:dyDescent="0.25">
      <c r="A167" s="164" t="s">
        <v>191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4.3600000000000003</v>
      </c>
      <c r="AH167" s="54"/>
      <c r="AI167" s="55"/>
      <c r="AK167" s="56"/>
    </row>
    <row r="168" spans="1:37" x14ac:dyDescent="0.25">
      <c r="A168" s="164" t="s">
        <v>192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4.2</v>
      </c>
      <c r="AH168" s="54"/>
      <c r="AI168" s="55"/>
      <c r="AK168" s="56"/>
    </row>
    <row r="169" spans="1:37" x14ac:dyDescent="0.25">
      <c r="A169" s="164" t="s">
        <v>193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</v>
      </c>
      <c r="AH169" s="54"/>
      <c r="AI169" s="55"/>
      <c r="AK169" s="56"/>
    </row>
    <row r="170" spans="1:37" x14ac:dyDescent="0.25">
      <c r="A170" s="164" t="s">
        <v>194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195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196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197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198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199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200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201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3.75</v>
      </c>
      <c r="AH177" s="54"/>
      <c r="AI177" s="55"/>
      <c r="AK177" s="56"/>
    </row>
    <row r="178" spans="1:37" x14ac:dyDescent="0.25">
      <c r="A178" s="164" t="s">
        <v>202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3.52</v>
      </c>
      <c r="AH178" s="54"/>
      <c r="AI178" s="55"/>
      <c r="AK178" s="56"/>
    </row>
    <row r="179" spans="1:37" x14ac:dyDescent="0.25">
      <c r="A179" s="164" t="s">
        <v>203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3.33</v>
      </c>
      <c r="AH179" s="54"/>
      <c r="AI179" s="55"/>
      <c r="AK179" s="56"/>
    </row>
    <row r="180" spans="1:37" x14ac:dyDescent="0.25">
      <c r="A180" s="164" t="s">
        <v>204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3.2</v>
      </c>
      <c r="AH180" s="54"/>
      <c r="AI180" s="55"/>
      <c r="AK180" s="56"/>
    </row>
    <row r="181" spans="1:37" x14ac:dyDescent="0.25">
      <c r="A181" s="164" t="s">
        <v>205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</v>
      </c>
      <c r="AH181" s="54"/>
      <c r="AI181" s="55"/>
      <c r="AK181" s="56"/>
    </row>
    <row r="182" spans="1:37" x14ac:dyDescent="0.25">
      <c r="A182" s="164" t="s">
        <v>206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207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208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209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210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211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212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213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2.83</v>
      </c>
      <c r="AH189" s="54"/>
      <c r="AI189" s="55"/>
      <c r="AK189" s="56"/>
    </row>
    <row r="190" spans="1:37" x14ac:dyDescent="0.25">
      <c r="A190" s="164" t="s">
        <v>214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2.5</v>
      </c>
      <c r="AH190" s="54"/>
      <c r="AI190" s="55"/>
      <c r="AK190" s="56"/>
    </row>
    <row r="191" spans="1:37" x14ac:dyDescent="0.25">
      <c r="A191" s="164" t="s">
        <v>215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216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2.4</v>
      </c>
      <c r="AH192" s="54"/>
      <c r="AI192" s="55"/>
      <c r="AK192" s="56"/>
    </row>
    <row r="193" spans="1:37" x14ac:dyDescent="0.25">
      <c r="A193" s="164" t="s">
        <v>217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218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2.2000000000000002</v>
      </c>
      <c r="AH194" s="54"/>
      <c r="AI194" s="55"/>
      <c r="AK194" s="56"/>
    </row>
    <row r="195" spans="1:37" x14ac:dyDescent="0.25">
      <c r="A195" s="164" t="s">
        <v>219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</v>
      </c>
      <c r="AH195" s="54"/>
      <c r="AI195" s="55"/>
      <c r="AK195" s="56"/>
    </row>
    <row r="196" spans="1:37" x14ac:dyDescent="0.25">
      <c r="A196" s="164" t="s">
        <v>220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221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222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1.8</v>
      </c>
      <c r="AH198" s="54"/>
      <c r="AI198" s="55"/>
      <c r="AK198" s="56"/>
    </row>
    <row r="199" spans="1:37" x14ac:dyDescent="0.25">
      <c r="A199" s="164" t="s">
        <v>223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224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1.65</v>
      </c>
      <c r="AH200" s="54"/>
      <c r="AI200" s="55"/>
      <c r="AK200" s="56"/>
    </row>
    <row r="201" spans="1:37" x14ac:dyDescent="0.25">
      <c r="A201" s="164" t="s">
        <v>225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1.5</v>
      </c>
      <c r="AH201" s="54"/>
      <c r="AI201" s="55"/>
      <c r="AK201" s="56"/>
    </row>
    <row r="202" spans="1:37" x14ac:dyDescent="0.25">
      <c r="A202" s="164" t="s">
        <v>226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0.998</v>
      </c>
      <c r="AH202" s="54"/>
      <c r="AI202" s="55"/>
      <c r="AK202" s="56"/>
    </row>
    <row r="203" spans="1:37" x14ac:dyDescent="0.25">
      <c r="A203" s="164" t="s">
        <v>227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0.997</v>
      </c>
      <c r="AH203" s="54"/>
      <c r="AI203" s="55"/>
      <c r="AK203" s="56"/>
    </row>
    <row r="204" spans="1:37" x14ac:dyDescent="0.25">
      <c r="A204" s="164" t="s">
        <v>228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229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0.996</v>
      </c>
      <c r="AH205" s="54"/>
      <c r="AI205" s="55"/>
      <c r="AK205" s="56"/>
    </row>
    <row r="206" spans="1:37" x14ac:dyDescent="0.25">
      <c r="A206" s="164" t="s">
        <v>230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231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232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0.995</v>
      </c>
      <c r="AH208" s="54"/>
      <c r="AI208" s="55"/>
      <c r="AK208" s="56"/>
    </row>
    <row r="209" spans="1:37" x14ac:dyDescent="0.25">
      <c r="A209" s="164" t="s">
        <v>233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0.99299999999999999</v>
      </c>
      <c r="AH209" s="54"/>
      <c r="AI209" s="55"/>
      <c r="AK209" s="56"/>
    </row>
    <row r="210" spans="1:37" x14ac:dyDescent="0.25">
      <c r="A210" s="164" t="s">
        <v>234</v>
      </c>
      <c r="B210" s="97"/>
      <c r="C210" s="53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</v>
      </c>
      <c r="AH210" s="54"/>
      <c r="AI210" s="55"/>
      <c r="AK210" s="56"/>
    </row>
    <row r="211" spans="1:37" ht="15.75" thickBot="1" x14ac:dyDescent="0.3">
      <c r="A211" s="164" t="s">
        <v>235</v>
      </c>
      <c r="B211" s="102"/>
      <c r="C211" s="166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0">
        <v>0.97899999999999998</v>
      </c>
      <c r="AH211" s="54"/>
      <c r="AI211" s="55"/>
      <c r="AK211" s="56"/>
    </row>
    <row r="212" spans="1:37" ht="15.75" thickBot="1" x14ac:dyDescent="0.3">
      <c r="A212" s="165" t="s">
        <v>82</v>
      </c>
      <c r="B212" s="167">
        <f>SUM(B107:B211)</f>
        <v>0</v>
      </c>
      <c r="C212" s="103">
        <f t="shared" ref="C212:AG212" si="26">SUM(C107:C211)</f>
        <v>0</v>
      </c>
      <c r="D212" s="103">
        <f t="shared" si="26"/>
        <v>0</v>
      </c>
      <c r="E212" s="103">
        <f t="shared" si="26"/>
        <v>0</v>
      </c>
      <c r="F212" s="103">
        <f t="shared" si="26"/>
        <v>0</v>
      </c>
      <c r="G212" s="103">
        <f t="shared" si="26"/>
        <v>0</v>
      </c>
      <c r="H212" s="103">
        <f t="shared" si="26"/>
        <v>0</v>
      </c>
      <c r="I212" s="103">
        <f t="shared" si="26"/>
        <v>0</v>
      </c>
      <c r="J212" s="103">
        <f t="shared" si="26"/>
        <v>0</v>
      </c>
      <c r="K212" s="103">
        <f t="shared" si="26"/>
        <v>0</v>
      </c>
      <c r="L212" s="103">
        <f t="shared" si="26"/>
        <v>0</v>
      </c>
      <c r="M212" s="103">
        <f t="shared" si="26"/>
        <v>0</v>
      </c>
      <c r="N212" s="103">
        <f t="shared" si="26"/>
        <v>0</v>
      </c>
      <c r="O212" s="103">
        <f t="shared" si="26"/>
        <v>0</v>
      </c>
      <c r="P212" s="103">
        <f t="shared" si="26"/>
        <v>0</v>
      </c>
      <c r="Q212" s="103">
        <f t="shared" si="26"/>
        <v>0</v>
      </c>
      <c r="R212" s="103">
        <f t="shared" si="26"/>
        <v>0</v>
      </c>
      <c r="S212" s="103">
        <f t="shared" si="26"/>
        <v>0</v>
      </c>
      <c r="T212" s="103">
        <f t="shared" si="26"/>
        <v>0</v>
      </c>
      <c r="U212" s="103">
        <f t="shared" si="26"/>
        <v>0</v>
      </c>
      <c r="V212" s="103">
        <f t="shared" si="26"/>
        <v>0</v>
      </c>
      <c r="W212" s="103">
        <f t="shared" si="26"/>
        <v>0</v>
      </c>
      <c r="X212" s="103">
        <f t="shared" si="26"/>
        <v>0</v>
      </c>
      <c r="Y212" s="103">
        <f t="shared" si="26"/>
        <v>0</v>
      </c>
      <c r="Z212" s="103">
        <f t="shared" si="26"/>
        <v>0</v>
      </c>
      <c r="AA212" s="103">
        <f t="shared" si="26"/>
        <v>0</v>
      </c>
      <c r="AB212" s="103">
        <f t="shared" si="26"/>
        <v>0</v>
      </c>
      <c r="AC212" s="103">
        <f t="shared" si="26"/>
        <v>0</v>
      </c>
      <c r="AD212" s="103">
        <f t="shared" si="26"/>
        <v>0</v>
      </c>
      <c r="AE212" s="103">
        <f t="shared" si="26"/>
        <v>0</v>
      </c>
      <c r="AF212" s="168">
        <f t="shared" si="26"/>
        <v>0</v>
      </c>
      <c r="AG212" s="169">
        <f t="shared" si="26"/>
        <v>412.72299999999984</v>
      </c>
      <c r="AH212" s="54"/>
      <c r="AI212" s="55"/>
      <c r="AK212" s="56"/>
    </row>
    <row r="213" spans="1:37" ht="15.75" thickBot="1" x14ac:dyDescent="0.3">
      <c r="A213" s="28" t="s">
        <v>35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149"/>
      <c r="AH213" s="54"/>
      <c r="AI213" s="55"/>
      <c r="AK213" s="56"/>
    </row>
    <row r="214" spans="1:37" x14ac:dyDescent="0.25">
      <c r="A214" s="170" t="s">
        <v>83</v>
      </c>
      <c r="B214" s="101">
        <f t="shared" ref="B214:B219" si="27">AF214</f>
        <v>0</v>
      </c>
      <c r="C214" s="101">
        <v>0.3</v>
      </c>
      <c r="D214" s="101">
        <f t="shared" ref="D214:P219" si="28">C214</f>
        <v>0.3</v>
      </c>
      <c r="E214" s="101">
        <f t="shared" si="28"/>
        <v>0.3</v>
      </c>
      <c r="F214" s="101">
        <f t="shared" si="28"/>
        <v>0.3</v>
      </c>
      <c r="G214" s="101">
        <f t="shared" si="28"/>
        <v>0.3</v>
      </c>
      <c r="H214" s="101">
        <f t="shared" si="28"/>
        <v>0.3</v>
      </c>
      <c r="I214" s="101">
        <f t="shared" si="28"/>
        <v>0.3</v>
      </c>
      <c r="J214" s="101">
        <f t="shared" si="28"/>
        <v>0.3</v>
      </c>
      <c r="K214" s="101">
        <f t="shared" si="28"/>
        <v>0.3</v>
      </c>
      <c r="L214" s="101">
        <f t="shared" si="28"/>
        <v>0.3</v>
      </c>
      <c r="M214" s="101">
        <f t="shared" si="28"/>
        <v>0.3</v>
      </c>
      <c r="N214" s="101">
        <f t="shared" si="28"/>
        <v>0.3</v>
      </c>
      <c r="O214" s="101">
        <f t="shared" si="28"/>
        <v>0.3</v>
      </c>
      <c r="P214" s="101">
        <f t="shared" si="28"/>
        <v>0.3</v>
      </c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55">
        <v>2.4</v>
      </c>
      <c r="AH214" s="54"/>
      <c r="AI214" s="55"/>
      <c r="AK214" s="56"/>
    </row>
    <row r="215" spans="1:37" x14ac:dyDescent="0.25">
      <c r="A215" s="163" t="s">
        <v>84</v>
      </c>
      <c r="B215" s="97">
        <f t="shared" si="27"/>
        <v>0</v>
      </c>
      <c r="C215" s="97">
        <v>0.4</v>
      </c>
      <c r="D215" s="97">
        <f t="shared" si="28"/>
        <v>0.4</v>
      </c>
      <c r="E215" s="97">
        <f t="shared" si="28"/>
        <v>0.4</v>
      </c>
      <c r="F215" s="97">
        <f t="shared" si="28"/>
        <v>0.4</v>
      </c>
      <c r="G215" s="97">
        <f t="shared" si="28"/>
        <v>0.4</v>
      </c>
      <c r="H215" s="97">
        <f t="shared" si="28"/>
        <v>0.4</v>
      </c>
      <c r="I215" s="97">
        <f t="shared" si="28"/>
        <v>0.4</v>
      </c>
      <c r="J215" s="97">
        <f t="shared" si="28"/>
        <v>0.4</v>
      </c>
      <c r="K215" s="97">
        <f t="shared" si="28"/>
        <v>0.4</v>
      </c>
      <c r="L215" s="97">
        <f t="shared" si="28"/>
        <v>0.4</v>
      </c>
      <c r="M215" s="97">
        <f t="shared" si="28"/>
        <v>0.4</v>
      </c>
      <c r="N215" s="97">
        <f t="shared" si="28"/>
        <v>0.4</v>
      </c>
      <c r="O215" s="97">
        <f t="shared" si="28"/>
        <v>0.4</v>
      </c>
      <c r="P215" s="97">
        <f t="shared" si="28"/>
        <v>0.4</v>
      </c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56">
        <v>2</v>
      </c>
      <c r="AH215" s="54"/>
      <c r="AI215" s="55"/>
      <c r="AK215" s="56"/>
    </row>
    <row r="216" spans="1:37" x14ac:dyDescent="0.25">
      <c r="A216" s="163" t="s">
        <v>85</v>
      </c>
      <c r="B216" s="97">
        <f t="shared" si="27"/>
        <v>0</v>
      </c>
      <c r="C216" s="97">
        <v>1.5</v>
      </c>
      <c r="D216" s="97">
        <f t="shared" si="28"/>
        <v>1.5</v>
      </c>
      <c r="E216" s="97">
        <f t="shared" si="28"/>
        <v>1.5</v>
      </c>
      <c r="F216" s="97">
        <f t="shared" si="28"/>
        <v>1.5</v>
      </c>
      <c r="G216" s="97">
        <f t="shared" si="28"/>
        <v>1.5</v>
      </c>
      <c r="H216" s="97">
        <f t="shared" si="28"/>
        <v>1.5</v>
      </c>
      <c r="I216" s="97">
        <f t="shared" si="28"/>
        <v>1.5</v>
      </c>
      <c r="J216" s="97">
        <f t="shared" si="28"/>
        <v>1.5</v>
      </c>
      <c r="K216" s="97">
        <f t="shared" si="28"/>
        <v>1.5</v>
      </c>
      <c r="L216" s="97">
        <f t="shared" si="28"/>
        <v>1.5</v>
      </c>
      <c r="M216" s="97">
        <f t="shared" si="28"/>
        <v>1.5</v>
      </c>
      <c r="N216" s="97">
        <f t="shared" si="28"/>
        <v>1.5</v>
      </c>
      <c r="O216" s="97">
        <f t="shared" si="28"/>
        <v>1.5</v>
      </c>
      <c r="P216" s="97">
        <f t="shared" si="28"/>
        <v>1.5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1.5</v>
      </c>
      <c r="AH216" s="54"/>
      <c r="AI216" s="55"/>
      <c r="AK216" s="56"/>
    </row>
    <row r="217" spans="1:37" x14ac:dyDescent="0.25">
      <c r="A217" s="163" t="s">
        <v>86</v>
      </c>
      <c r="B217" s="97">
        <f t="shared" si="27"/>
        <v>0</v>
      </c>
      <c r="C217" s="97">
        <v>0.3</v>
      </c>
      <c r="D217" s="97">
        <f t="shared" si="28"/>
        <v>0.3</v>
      </c>
      <c r="E217" s="97">
        <f t="shared" si="28"/>
        <v>0.3</v>
      </c>
      <c r="F217" s="97">
        <f t="shared" si="28"/>
        <v>0.3</v>
      </c>
      <c r="G217" s="97">
        <f t="shared" si="28"/>
        <v>0.3</v>
      </c>
      <c r="H217" s="97">
        <f t="shared" si="28"/>
        <v>0.3</v>
      </c>
      <c r="I217" s="97">
        <f t="shared" si="28"/>
        <v>0.3</v>
      </c>
      <c r="J217" s="97">
        <f t="shared" si="28"/>
        <v>0.3</v>
      </c>
      <c r="K217" s="97">
        <f t="shared" si="28"/>
        <v>0.3</v>
      </c>
      <c r="L217" s="97">
        <f t="shared" si="28"/>
        <v>0.3</v>
      </c>
      <c r="M217" s="97">
        <f t="shared" si="28"/>
        <v>0.3</v>
      </c>
      <c r="N217" s="97">
        <f t="shared" si="28"/>
        <v>0.3</v>
      </c>
      <c r="O217" s="97">
        <f t="shared" si="28"/>
        <v>0.3</v>
      </c>
      <c r="P217" s="97">
        <f t="shared" si="28"/>
        <v>0.3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</v>
      </c>
      <c r="AH217" s="54"/>
      <c r="AI217" s="55"/>
      <c r="AK217" s="56"/>
    </row>
    <row r="218" spans="1:37" x14ac:dyDescent="0.25">
      <c r="A218" s="163" t="s">
        <v>87</v>
      </c>
      <c r="B218" s="97">
        <f t="shared" si="27"/>
        <v>0</v>
      </c>
      <c r="C218" s="97">
        <v>0.4</v>
      </c>
      <c r="D218" s="97">
        <f t="shared" si="28"/>
        <v>0.4</v>
      </c>
      <c r="E218" s="97">
        <f t="shared" si="28"/>
        <v>0.4</v>
      </c>
      <c r="F218" s="97">
        <f t="shared" si="28"/>
        <v>0.4</v>
      </c>
      <c r="G218" s="97">
        <f t="shared" si="28"/>
        <v>0.4</v>
      </c>
      <c r="H218" s="97">
        <f t="shared" si="28"/>
        <v>0.4</v>
      </c>
      <c r="I218" s="97">
        <f t="shared" si="28"/>
        <v>0.4</v>
      </c>
      <c r="J218" s="97">
        <f t="shared" si="28"/>
        <v>0.4</v>
      </c>
      <c r="K218" s="97">
        <f t="shared" si="28"/>
        <v>0.4</v>
      </c>
      <c r="L218" s="97">
        <f t="shared" si="28"/>
        <v>0.4</v>
      </c>
      <c r="M218" s="97">
        <f t="shared" si="28"/>
        <v>0.4</v>
      </c>
      <c r="N218" s="97">
        <f t="shared" si="28"/>
        <v>0.4</v>
      </c>
      <c r="O218" s="97">
        <f t="shared" si="28"/>
        <v>0.4</v>
      </c>
      <c r="P218" s="97">
        <f t="shared" si="28"/>
        <v>0.4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ht="15.75" thickBot="1" x14ac:dyDescent="0.3">
      <c r="A219" s="164" t="s">
        <v>88</v>
      </c>
      <c r="B219" s="102">
        <f t="shared" si="27"/>
        <v>0</v>
      </c>
      <c r="C219" s="102">
        <v>0.64</v>
      </c>
      <c r="D219" s="102">
        <f t="shared" si="28"/>
        <v>0.64</v>
      </c>
      <c r="E219" s="102">
        <f t="shared" si="28"/>
        <v>0.64</v>
      </c>
      <c r="F219" s="102">
        <f t="shared" si="28"/>
        <v>0.64</v>
      </c>
      <c r="G219" s="102">
        <f t="shared" si="28"/>
        <v>0.64</v>
      </c>
      <c r="H219" s="102">
        <f t="shared" si="28"/>
        <v>0.64</v>
      </c>
      <c r="I219" s="102">
        <f t="shared" si="28"/>
        <v>0.64</v>
      </c>
      <c r="J219" s="102">
        <f t="shared" si="28"/>
        <v>0.64</v>
      </c>
      <c r="K219" s="102">
        <f t="shared" si="28"/>
        <v>0.64</v>
      </c>
      <c r="L219" s="102">
        <f t="shared" si="28"/>
        <v>0.64</v>
      </c>
      <c r="M219" s="102">
        <f t="shared" si="28"/>
        <v>0.64</v>
      </c>
      <c r="N219" s="102">
        <f t="shared" si="28"/>
        <v>0.64</v>
      </c>
      <c r="O219" s="102">
        <f t="shared" si="28"/>
        <v>0.64</v>
      </c>
      <c r="P219" s="102">
        <f t="shared" si="28"/>
        <v>0.64</v>
      </c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57">
        <v>0.66</v>
      </c>
      <c r="AH219" s="54"/>
      <c r="AI219" s="55"/>
    </row>
    <row r="220" spans="1:37" ht="15.75" thickBot="1" x14ac:dyDescent="0.3">
      <c r="A220" s="173" t="s">
        <v>35</v>
      </c>
      <c r="B220" s="103">
        <f>SUM(B214:B219)</f>
        <v>0</v>
      </c>
      <c r="C220" s="103">
        <f>SUM(C214:C219)</f>
        <v>3.54</v>
      </c>
      <c r="D220" s="103">
        <f t="shared" ref="D220:L220" si="29">SUM(D214:D219)</f>
        <v>3.54</v>
      </c>
      <c r="E220" s="103">
        <f t="shared" si="29"/>
        <v>3.54</v>
      </c>
      <c r="F220" s="103">
        <f t="shared" si="29"/>
        <v>3.54</v>
      </c>
      <c r="G220" s="103">
        <f t="shared" si="29"/>
        <v>3.54</v>
      </c>
      <c r="H220" s="103">
        <f t="shared" si="29"/>
        <v>3.54</v>
      </c>
      <c r="I220" s="103">
        <f t="shared" si="29"/>
        <v>3.54</v>
      </c>
      <c r="J220" s="103">
        <f t="shared" si="29"/>
        <v>3.54</v>
      </c>
      <c r="K220" s="103">
        <f t="shared" si="29"/>
        <v>3.54</v>
      </c>
      <c r="L220" s="103">
        <f t="shared" si="29"/>
        <v>3.54</v>
      </c>
      <c r="M220" s="103">
        <f>SUM(M214:M219)</f>
        <v>3.54</v>
      </c>
      <c r="N220" s="103">
        <f t="shared" ref="N220:S220" si="30">SUM(N214:N219)</f>
        <v>3.54</v>
      </c>
      <c r="O220" s="103">
        <f t="shared" si="30"/>
        <v>3.54</v>
      </c>
      <c r="P220" s="103">
        <f t="shared" si="30"/>
        <v>3.54</v>
      </c>
      <c r="Q220" s="103">
        <f t="shared" si="30"/>
        <v>0</v>
      </c>
      <c r="R220" s="103">
        <f t="shared" si="30"/>
        <v>0</v>
      </c>
      <c r="S220" s="103">
        <f t="shared" si="30"/>
        <v>0</v>
      </c>
      <c r="T220" s="103">
        <f>SUM(T214:T219)</f>
        <v>0</v>
      </c>
      <c r="U220" s="103">
        <f t="shared" ref="U220:AG220" si="31">SUM(U214:U219)</f>
        <v>0</v>
      </c>
      <c r="V220" s="103">
        <f t="shared" si="31"/>
        <v>0</v>
      </c>
      <c r="W220" s="103">
        <f t="shared" si="31"/>
        <v>0</v>
      </c>
      <c r="X220" s="103">
        <f t="shared" si="31"/>
        <v>0</v>
      </c>
      <c r="Y220" s="103">
        <f t="shared" si="31"/>
        <v>0</v>
      </c>
      <c r="Z220" s="103">
        <f t="shared" si="31"/>
        <v>0</v>
      </c>
      <c r="AA220" s="103">
        <f t="shared" si="31"/>
        <v>0</v>
      </c>
      <c r="AB220" s="103">
        <f t="shared" si="31"/>
        <v>0</v>
      </c>
      <c r="AC220" s="103">
        <f t="shared" si="31"/>
        <v>0</v>
      </c>
      <c r="AD220" s="103">
        <f t="shared" si="31"/>
        <v>0</v>
      </c>
      <c r="AE220" s="103">
        <f t="shared" si="31"/>
        <v>0</v>
      </c>
      <c r="AF220" s="103">
        <f t="shared" si="31"/>
        <v>0</v>
      </c>
      <c r="AG220" s="158">
        <f t="shared" si="31"/>
        <v>8.56</v>
      </c>
      <c r="AH220" s="54"/>
      <c r="AI220" s="55"/>
    </row>
    <row r="221" spans="1:37" ht="15.75" thickBot="1" x14ac:dyDescent="0.3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84"/>
      <c r="AH221" s="47"/>
    </row>
    <row r="222" spans="1:37" x14ac:dyDescent="0.25">
      <c r="A222" s="79" t="s">
        <v>89</v>
      </c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5"/>
      <c r="AG222" s="47"/>
      <c r="AH222" s="54"/>
      <c r="AI222" s="55"/>
    </row>
    <row r="223" spans="1:37" x14ac:dyDescent="0.25">
      <c r="A223" s="106" t="s">
        <v>90</v>
      </c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8"/>
      <c r="AG223" s="109"/>
      <c r="AH223" s="54"/>
      <c r="AI223" s="55"/>
    </row>
    <row r="224" spans="1:37" x14ac:dyDescent="0.25">
      <c r="A224" s="81" t="s">
        <v>91</v>
      </c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1"/>
      <c r="AG224" s="109"/>
      <c r="AH224" s="54"/>
      <c r="AI224" s="55"/>
    </row>
    <row r="225" spans="1:50" x14ac:dyDescent="0.25">
      <c r="A225" s="81" t="s">
        <v>92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ht="15.75" thickBot="1" x14ac:dyDescent="0.3">
      <c r="A226" s="112" t="s">
        <v>93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4"/>
      <c r="AG226" s="109"/>
      <c r="AH226" s="54"/>
      <c r="AI226" s="55"/>
    </row>
    <row r="227" spans="1:50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50" x14ac:dyDescent="0.25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50" x14ac:dyDescent="0.25">
      <c r="A229" s="115" t="s">
        <v>94</v>
      </c>
      <c r="B229" s="116">
        <f>MAX(G79:N79)</f>
        <v>1784.7399999999998</v>
      </c>
      <c r="C229" s="117">
        <f>INDEX(G9:N9,1,MATCH(MAX(G79:N79),G79:N79,0))</f>
        <v>0.33333333333333331</v>
      </c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50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118" t="str">
        <f ca="1">MID(CELL("filename",C7),FIND("]",CELL("filename",C7))+1,600)</f>
        <v>5</v>
      </c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50" x14ac:dyDescent="0.25">
      <c r="A231" s="208" t="s">
        <v>95</v>
      </c>
      <c r="B231" s="208"/>
      <c r="C231" s="47"/>
      <c r="D231" s="118" t="str">
        <f ca="1">"Pie Chart of Daily Peak Demand(Inclusive of Export) of Nepal ("&amp;A4&amp;" "&amp;B4&amp;")"</f>
        <v>Pie Chart of Daily Peak Demand(Inclusive of Export) of Nepal (Nepali Date: 2079/02/5)</v>
      </c>
      <c r="E231" s="47"/>
      <c r="F231" s="47"/>
      <c r="G231" s="118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118" t="str">
        <f ca="1">"Daily Load Curve(Excluding of Export) of Nepal ("&amp;A4&amp;" "&amp;B4&amp;")"</f>
        <v>Daily Load Curve(Excluding of Export) of Nepal (Nepali Date: 2079/02/5)</v>
      </c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50" ht="12.75" customHeight="1" thickBot="1" x14ac:dyDescent="0.3">
      <c r="A232" s="119" t="s">
        <v>7</v>
      </c>
      <c r="B232" s="120"/>
      <c r="C232" s="47"/>
      <c r="D232" s="121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50" ht="15.75" thickTop="1" x14ac:dyDescent="0.25">
      <c r="A233" s="119" t="s">
        <v>96</v>
      </c>
      <c r="B233" s="120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122" t="s">
        <v>97</v>
      </c>
      <c r="T233" s="123">
        <v>0</v>
      </c>
      <c r="U233" s="124">
        <v>4.1666666666666664E-2</v>
      </c>
      <c r="V233" s="125">
        <v>8.3333333333333301E-2</v>
      </c>
      <c r="W233" s="125">
        <v>0.125</v>
      </c>
      <c r="X233" s="125">
        <v>0.16666666666666699</v>
      </c>
      <c r="Y233" s="125">
        <v>0.20833333333333301</v>
      </c>
      <c r="Z233" s="125">
        <v>0.22916666666666666</v>
      </c>
      <c r="AA233" s="125">
        <v>0.25</v>
      </c>
      <c r="AB233" s="125">
        <v>0.27083333333333331</v>
      </c>
      <c r="AC233" s="125">
        <v>0.29166666666666669</v>
      </c>
      <c r="AD233" s="125">
        <v>0.3125</v>
      </c>
      <c r="AE233" s="126">
        <v>0.33333333333333331</v>
      </c>
      <c r="AF233" s="126">
        <v>0.375</v>
      </c>
      <c r="AG233" s="126">
        <v>0.41666666666666702</v>
      </c>
      <c r="AH233" s="126">
        <v>0.45833333333333298</v>
      </c>
      <c r="AI233" s="126">
        <v>0.5</v>
      </c>
      <c r="AJ233" s="126">
        <v>0.54166666666666696</v>
      </c>
      <c r="AK233" s="126">
        <v>0.58333333333333304</v>
      </c>
      <c r="AL233" s="126">
        <v>0.625</v>
      </c>
      <c r="AM233" s="126">
        <v>0.66666666666666696</v>
      </c>
      <c r="AN233" s="126">
        <v>0.70833333333333304</v>
      </c>
      <c r="AO233" s="126">
        <v>0.72916666666666663</v>
      </c>
      <c r="AP233" s="126">
        <v>0.75</v>
      </c>
      <c r="AQ233" s="126">
        <v>0.77083333333333337</v>
      </c>
      <c r="AR233" s="126">
        <v>0.79166666666666663</v>
      </c>
      <c r="AS233" s="126">
        <v>0.8125</v>
      </c>
      <c r="AT233" s="125">
        <v>0.83333333333333337</v>
      </c>
      <c r="AU233" s="125">
        <v>0.85416666666666663</v>
      </c>
      <c r="AV233" s="125">
        <v>0.875</v>
      </c>
      <c r="AW233" s="125">
        <v>0.91666666666666696</v>
      </c>
      <c r="AX233" s="125">
        <v>0.95833333333333304</v>
      </c>
    </row>
    <row r="234" spans="1:50" x14ac:dyDescent="0.25">
      <c r="A234" s="119" t="s">
        <v>98</v>
      </c>
      <c r="B234" s="120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 t="s">
        <v>99</v>
      </c>
      <c r="T234" s="127">
        <f t="shared" ref="T234:AX234" si="32">B79</f>
        <v>1798.2399999999998</v>
      </c>
      <c r="U234" s="127">
        <f t="shared" si="32"/>
        <v>1761.04</v>
      </c>
      <c r="V234" s="127">
        <f t="shared" si="32"/>
        <v>1773.44</v>
      </c>
      <c r="W234" s="127">
        <f t="shared" si="32"/>
        <v>1775.17</v>
      </c>
      <c r="X234" s="127">
        <f t="shared" si="32"/>
        <v>1737.1799999999998</v>
      </c>
      <c r="Y234" s="127">
        <f t="shared" si="32"/>
        <v>1713.24</v>
      </c>
      <c r="Z234" s="127">
        <f t="shared" si="32"/>
        <v>1722.94</v>
      </c>
      <c r="AA234" s="127">
        <f t="shared" si="32"/>
        <v>1687.19</v>
      </c>
      <c r="AB234" s="127">
        <f t="shared" si="32"/>
        <v>1776.59</v>
      </c>
      <c r="AC234" s="127">
        <f t="shared" si="32"/>
        <v>1755.79</v>
      </c>
      <c r="AD234" s="127">
        <f t="shared" si="32"/>
        <v>1760.19</v>
      </c>
      <c r="AE234" s="127">
        <f t="shared" si="32"/>
        <v>1784.7399999999998</v>
      </c>
      <c r="AF234" s="127">
        <f t="shared" si="32"/>
        <v>1779.94</v>
      </c>
      <c r="AG234" s="127">
        <f t="shared" si="32"/>
        <v>1807.1399999999999</v>
      </c>
      <c r="AH234" s="127">
        <f t="shared" si="32"/>
        <v>1682.84</v>
      </c>
      <c r="AI234" s="127">
        <f t="shared" si="32"/>
        <v>1788.34</v>
      </c>
      <c r="AJ234" s="127">
        <f t="shared" si="32"/>
        <v>1784.22</v>
      </c>
      <c r="AK234" s="127">
        <f t="shared" si="32"/>
        <v>1810.2400000000002</v>
      </c>
      <c r="AL234" s="127">
        <f t="shared" si="32"/>
        <v>1816.2400000000002</v>
      </c>
      <c r="AM234" s="127">
        <f t="shared" si="32"/>
        <v>1846.7400000000002</v>
      </c>
      <c r="AN234" s="127">
        <f t="shared" si="32"/>
        <v>1815.0400000000002</v>
      </c>
      <c r="AO234" s="127">
        <f t="shared" si="32"/>
        <v>1800.5400000000002</v>
      </c>
      <c r="AP234" s="127">
        <f t="shared" si="32"/>
        <v>1793.5400000000002</v>
      </c>
      <c r="AQ234" s="127">
        <f t="shared" si="32"/>
        <v>1794.5400000000002</v>
      </c>
      <c r="AR234" s="127">
        <f t="shared" si="32"/>
        <v>1783.7400000000002</v>
      </c>
      <c r="AS234" s="127">
        <f t="shared" si="32"/>
        <v>1781.14</v>
      </c>
      <c r="AT234" s="127">
        <f t="shared" si="32"/>
        <v>1820.74</v>
      </c>
      <c r="AU234" s="127">
        <f t="shared" si="32"/>
        <v>1825.8400000000001</v>
      </c>
      <c r="AV234" s="127">
        <f t="shared" si="32"/>
        <v>1831.04</v>
      </c>
      <c r="AW234" s="127">
        <f t="shared" si="32"/>
        <v>1748.44</v>
      </c>
      <c r="AX234" s="127">
        <f t="shared" si="32"/>
        <v>1731.74</v>
      </c>
    </row>
    <row r="235" spans="1:50" x14ac:dyDescent="0.25">
      <c r="A235" s="119" t="s">
        <v>100</v>
      </c>
      <c r="B235" s="120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</row>
    <row r="236" spans="1:50" x14ac:dyDescent="0.25">
      <c r="A236" s="119" t="s">
        <v>101</v>
      </c>
      <c r="B236" s="120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</row>
    <row r="237" spans="1:50" x14ac:dyDescent="0.25">
      <c r="A237" s="119" t="s">
        <v>102</v>
      </c>
      <c r="B237" s="120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50" x14ac:dyDescent="0.25">
      <c r="A238" s="119" t="s">
        <v>103</v>
      </c>
      <c r="B238" s="128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50" x14ac:dyDescent="0.25">
      <c r="A239" s="119" t="s">
        <v>104</v>
      </c>
      <c r="B239" s="120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50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1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1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1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1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1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</row>
    <row r="246" spans="1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J246"/>
    </row>
    <row r="247" spans="1:36" x14ac:dyDescent="0.25"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J247"/>
    </row>
    <row r="248" spans="1:36" x14ac:dyDescent="0.25"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J248"/>
    </row>
    <row r="249" spans="1:36" x14ac:dyDescent="0.25"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J249"/>
    </row>
    <row r="250" spans="1:36" x14ac:dyDescent="0.25"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J250"/>
    </row>
    <row r="251" spans="1:36" x14ac:dyDescent="0.25"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J251"/>
    </row>
    <row r="252" spans="1:36" x14ac:dyDescent="0.25"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J252"/>
    </row>
    <row r="253" spans="1:36" x14ac:dyDescent="0.25"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J253"/>
    </row>
    <row r="254" spans="1:36" x14ac:dyDescent="0.25"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J254"/>
    </row>
    <row r="255" spans="1:36" x14ac:dyDescent="0.25">
      <c r="A255" s="129" t="s">
        <v>89</v>
      </c>
      <c r="B255" s="130">
        <f t="shared" ref="B255:AE255" si="33">C219</f>
        <v>0.64</v>
      </c>
      <c r="C255" s="130">
        <f t="shared" si="33"/>
        <v>0.64</v>
      </c>
      <c r="D255" s="130">
        <f t="shared" si="33"/>
        <v>0.64</v>
      </c>
      <c r="E255" s="130">
        <f t="shared" si="33"/>
        <v>0.64</v>
      </c>
      <c r="F255" s="130">
        <f t="shared" si="33"/>
        <v>0.64</v>
      </c>
      <c r="G255" s="130">
        <f t="shared" si="33"/>
        <v>0.64</v>
      </c>
      <c r="H255" s="130">
        <f t="shared" si="33"/>
        <v>0.64</v>
      </c>
      <c r="I255" s="130">
        <f t="shared" si="33"/>
        <v>0.64</v>
      </c>
      <c r="J255" s="130">
        <f t="shared" si="33"/>
        <v>0.64</v>
      </c>
      <c r="K255" s="130">
        <f t="shared" si="33"/>
        <v>0.64</v>
      </c>
      <c r="L255" s="130">
        <f t="shared" si="33"/>
        <v>0.64</v>
      </c>
      <c r="M255" s="130">
        <f t="shared" si="33"/>
        <v>0.64</v>
      </c>
      <c r="N255" s="130">
        <f t="shared" si="33"/>
        <v>0.64</v>
      </c>
      <c r="O255" s="130">
        <f t="shared" si="33"/>
        <v>0.64</v>
      </c>
      <c r="P255" s="130">
        <f t="shared" si="33"/>
        <v>0</v>
      </c>
      <c r="Q255" s="130">
        <f t="shared" si="33"/>
        <v>0</v>
      </c>
      <c r="R255" s="130">
        <f t="shared" si="33"/>
        <v>0</v>
      </c>
      <c r="S255" s="130">
        <f t="shared" si="33"/>
        <v>0</v>
      </c>
      <c r="T255" s="130">
        <f t="shared" si="33"/>
        <v>0</v>
      </c>
      <c r="U255" s="130">
        <f t="shared" si="33"/>
        <v>0</v>
      </c>
      <c r="V255" s="130">
        <f t="shared" si="33"/>
        <v>0</v>
      </c>
      <c r="W255" s="130">
        <f t="shared" si="33"/>
        <v>0</v>
      </c>
      <c r="X255" s="130">
        <f t="shared" si="33"/>
        <v>0</v>
      </c>
      <c r="Y255" s="130">
        <f t="shared" si="33"/>
        <v>0</v>
      </c>
      <c r="Z255" s="130">
        <f t="shared" si="33"/>
        <v>0</v>
      </c>
      <c r="AA255" s="130">
        <f t="shared" si="33"/>
        <v>0</v>
      </c>
      <c r="AB255" s="130">
        <f t="shared" si="33"/>
        <v>0</v>
      </c>
      <c r="AC255" s="130">
        <f t="shared" si="33"/>
        <v>0</v>
      </c>
      <c r="AD255" s="130">
        <f t="shared" si="33"/>
        <v>0</v>
      </c>
      <c r="AE255" s="130">
        <f t="shared" si="33"/>
        <v>0</v>
      </c>
      <c r="AF255" s="130">
        <f>B219</f>
        <v>0</v>
      </c>
      <c r="AG255" s="47"/>
      <c r="AH255" s="47"/>
      <c r="AJ255"/>
    </row>
    <row r="256" spans="1:36" x14ac:dyDescent="0.25">
      <c r="A256" s="88" t="str">
        <f>A223</f>
        <v>KGA</v>
      </c>
      <c r="B256" s="88" t="str">
        <f>IF(B223&lt;100,"",B223-520)</f>
        <v/>
      </c>
      <c r="C256" s="88" t="str">
        <f t="shared" ref="C256:AF256" si="34">IF(C223&lt;100,"",C223-520)</f>
        <v/>
      </c>
      <c r="D256" s="88" t="str">
        <f t="shared" si="34"/>
        <v/>
      </c>
      <c r="E256" s="88" t="str">
        <f t="shared" si="34"/>
        <v/>
      </c>
      <c r="F256" s="88" t="str">
        <f t="shared" si="34"/>
        <v/>
      </c>
      <c r="G256" s="88" t="str">
        <f t="shared" si="34"/>
        <v/>
      </c>
      <c r="H256" s="88" t="str">
        <f t="shared" si="34"/>
        <v/>
      </c>
      <c r="I256" s="88" t="str">
        <f t="shared" si="34"/>
        <v/>
      </c>
      <c r="J256" s="88" t="str">
        <f t="shared" si="34"/>
        <v/>
      </c>
      <c r="K256" s="88" t="str">
        <f t="shared" si="34"/>
        <v/>
      </c>
      <c r="L256" s="88" t="str">
        <f t="shared" si="34"/>
        <v/>
      </c>
      <c r="M256" s="88" t="str">
        <f t="shared" si="34"/>
        <v/>
      </c>
      <c r="N256" s="88" t="str">
        <f t="shared" si="34"/>
        <v/>
      </c>
      <c r="O256" s="88" t="str">
        <f t="shared" si="34"/>
        <v/>
      </c>
      <c r="P256" s="88" t="str">
        <f t="shared" si="34"/>
        <v/>
      </c>
      <c r="Q256" s="88" t="str">
        <f t="shared" si="34"/>
        <v/>
      </c>
      <c r="R256" s="88" t="str">
        <f t="shared" si="34"/>
        <v/>
      </c>
      <c r="S256" s="88" t="str">
        <f t="shared" si="34"/>
        <v/>
      </c>
      <c r="T256" s="88" t="str">
        <f t="shared" si="34"/>
        <v/>
      </c>
      <c r="U256" s="88" t="str">
        <f t="shared" si="34"/>
        <v/>
      </c>
      <c r="V256" s="88" t="str">
        <f t="shared" si="34"/>
        <v/>
      </c>
      <c r="W256" s="88" t="str">
        <f t="shared" si="34"/>
        <v/>
      </c>
      <c r="X256" s="88" t="str">
        <f t="shared" si="34"/>
        <v/>
      </c>
      <c r="Y256" s="88" t="str">
        <f t="shared" si="34"/>
        <v/>
      </c>
      <c r="Z256" s="88" t="str">
        <f t="shared" si="34"/>
        <v/>
      </c>
      <c r="AA256" s="88" t="str">
        <f t="shared" si="34"/>
        <v/>
      </c>
      <c r="AB256" s="88" t="str">
        <f t="shared" si="34"/>
        <v/>
      </c>
      <c r="AC256" s="88" t="str">
        <f t="shared" si="34"/>
        <v/>
      </c>
      <c r="AD256" s="88" t="str">
        <f t="shared" si="34"/>
        <v/>
      </c>
      <c r="AE256" s="88" t="str">
        <f t="shared" si="34"/>
        <v/>
      </c>
      <c r="AF256" s="88" t="str">
        <f t="shared" si="34"/>
        <v/>
      </c>
      <c r="AG256" s="47"/>
      <c r="AH256" s="47"/>
      <c r="AJ256"/>
    </row>
    <row r="257" spans="1:36" x14ac:dyDescent="0.25">
      <c r="A257" s="88" t="str">
        <f>A224</f>
        <v>MMRS</v>
      </c>
      <c r="B257" s="88" t="str">
        <f t="shared" ref="B257:AF257" si="35">IF(B224&lt;100,"",B224-620)</f>
        <v/>
      </c>
      <c r="C257" s="88" t="str">
        <f t="shared" si="35"/>
        <v/>
      </c>
      <c r="D257" s="88" t="str">
        <f t="shared" si="35"/>
        <v/>
      </c>
      <c r="E257" s="88" t="str">
        <f t="shared" si="35"/>
        <v/>
      </c>
      <c r="F257" s="88" t="str">
        <f t="shared" si="35"/>
        <v/>
      </c>
      <c r="G257" s="88" t="str">
        <f t="shared" si="35"/>
        <v/>
      </c>
      <c r="H257" s="88" t="str">
        <f t="shared" si="35"/>
        <v/>
      </c>
      <c r="I257" s="88" t="str">
        <f t="shared" si="35"/>
        <v/>
      </c>
      <c r="J257" s="88" t="str">
        <f t="shared" si="35"/>
        <v/>
      </c>
      <c r="K257" s="88" t="str">
        <f t="shared" si="35"/>
        <v/>
      </c>
      <c r="L257" s="88" t="str">
        <f t="shared" si="35"/>
        <v/>
      </c>
      <c r="M257" s="88" t="str">
        <f t="shared" si="35"/>
        <v/>
      </c>
      <c r="N257" s="88" t="str">
        <f t="shared" si="35"/>
        <v/>
      </c>
      <c r="O257" s="88" t="str">
        <f t="shared" si="35"/>
        <v/>
      </c>
      <c r="P257" s="88" t="str">
        <f t="shared" si="35"/>
        <v/>
      </c>
      <c r="Q257" s="88" t="str">
        <f t="shared" si="35"/>
        <v/>
      </c>
      <c r="R257" s="88" t="str">
        <f t="shared" si="35"/>
        <v/>
      </c>
      <c r="S257" s="88" t="str">
        <f t="shared" si="35"/>
        <v/>
      </c>
      <c r="T257" s="88" t="str">
        <f t="shared" si="35"/>
        <v/>
      </c>
      <c r="U257" s="88" t="str">
        <f t="shared" si="35"/>
        <v/>
      </c>
      <c r="V257" s="88" t="str">
        <f t="shared" si="35"/>
        <v/>
      </c>
      <c r="W257" s="88" t="str">
        <f t="shared" si="35"/>
        <v/>
      </c>
      <c r="X257" s="88" t="str">
        <f t="shared" si="35"/>
        <v/>
      </c>
      <c r="Y257" s="88" t="str">
        <f t="shared" si="35"/>
        <v/>
      </c>
      <c r="Z257" s="88" t="str">
        <f t="shared" si="35"/>
        <v/>
      </c>
      <c r="AA257" s="88" t="str">
        <f t="shared" si="35"/>
        <v/>
      </c>
      <c r="AB257" s="88" t="str">
        <f t="shared" si="35"/>
        <v/>
      </c>
      <c r="AC257" s="88" t="str">
        <f t="shared" si="35"/>
        <v/>
      </c>
      <c r="AD257" s="88" t="str">
        <f t="shared" si="35"/>
        <v/>
      </c>
      <c r="AE257" s="88" t="str">
        <f t="shared" si="35"/>
        <v/>
      </c>
      <c r="AF257" s="88" t="str">
        <f t="shared" si="35"/>
        <v/>
      </c>
      <c r="AG257" s="47"/>
      <c r="AH257" s="47"/>
      <c r="AJ257"/>
    </row>
    <row r="258" spans="1:36" x14ac:dyDescent="0.25">
      <c r="A258" s="88" t="str">
        <f>A225</f>
        <v>MRS</v>
      </c>
      <c r="B258" s="88" t="str">
        <f t="shared" ref="B258:AF258" si="36">IF(B225&lt;100,"",B225-330)</f>
        <v/>
      </c>
      <c r="C258" s="88" t="str">
        <f t="shared" si="36"/>
        <v/>
      </c>
      <c r="D258" s="88" t="str">
        <f t="shared" si="36"/>
        <v/>
      </c>
      <c r="E258" s="88" t="str">
        <f t="shared" si="36"/>
        <v/>
      </c>
      <c r="F258" s="88" t="str">
        <f t="shared" si="36"/>
        <v/>
      </c>
      <c r="G258" s="88" t="str">
        <f t="shared" si="36"/>
        <v/>
      </c>
      <c r="H258" s="88" t="str">
        <f t="shared" si="36"/>
        <v/>
      </c>
      <c r="I258" s="88" t="str">
        <f t="shared" si="36"/>
        <v/>
      </c>
      <c r="J258" s="88" t="str">
        <f t="shared" si="36"/>
        <v/>
      </c>
      <c r="K258" s="88" t="str">
        <f t="shared" si="36"/>
        <v/>
      </c>
      <c r="L258" s="88" t="str">
        <f t="shared" si="36"/>
        <v/>
      </c>
      <c r="M258" s="88" t="str">
        <f t="shared" si="36"/>
        <v/>
      </c>
      <c r="N258" s="88" t="str">
        <f t="shared" si="36"/>
        <v/>
      </c>
      <c r="O258" s="88" t="str">
        <f t="shared" si="36"/>
        <v/>
      </c>
      <c r="P258" s="88" t="str">
        <f t="shared" si="36"/>
        <v/>
      </c>
      <c r="Q258" s="88" t="str">
        <f t="shared" si="36"/>
        <v/>
      </c>
      <c r="R258" s="88" t="str">
        <f t="shared" si="36"/>
        <v/>
      </c>
      <c r="S258" s="88" t="str">
        <f t="shared" si="36"/>
        <v/>
      </c>
      <c r="T258" s="88" t="str">
        <f t="shared" si="36"/>
        <v/>
      </c>
      <c r="U258" s="88" t="str">
        <f t="shared" si="36"/>
        <v/>
      </c>
      <c r="V258" s="88" t="str">
        <f t="shared" si="36"/>
        <v/>
      </c>
      <c r="W258" s="88" t="str">
        <f t="shared" si="36"/>
        <v/>
      </c>
      <c r="X258" s="88" t="str">
        <f t="shared" si="36"/>
        <v/>
      </c>
      <c r="Y258" s="88" t="str">
        <f t="shared" si="36"/>
        <v/>
      </c>
      <c r="Z258" s="88" t="str">
        <f t="shared" si="36"/>
        <v/>
      </c>
      <c r="AA258" s="88" t="str">
        <f t="shared" si="36"/>
        <v/>
      </c>
      <c r="AB258" s="88" t="str">
        <f t="shared" si="36"/>
        <v/>
      </c>
      <c r="AC258" s="88" t="str">
        <f t="shared" si="36"/>
        <v/>
      </c>
      <c r="AD258" s="88" t="str">
        <f t="shared" si="36"/>
        <v/>
      </c>
      <c r="AE258" s="88" t="str">
        <f t="shared" si="36"/>
        <v/>
      </c>
      <c r="AF258" s="88" t="str">
        <f t="shared" si="36"/>
        <v/>
      </c>
      <c r="AG258" s="47"/>
      <c r="AH258" s="47"/>
      <c r="AJ258"/>
    </row>
    <row r="259" spans="1:36" x14ac:dyDescent="0.25">
      <c r="A259" s="88" t="str">
        <f>A226</f>
        <v>KL 1</v>
      </c>
      <c r="B259" s="88" t="str">
        <f>IF(B226&lt;100,"",B226-1500)</f>
        <v/>
      </c>
      <c r="C259" s="88" t="str">
        <f t="shared" ref="C259:AF259" si="37">IF(C226&lt;100,"",C226-1500)</f>
        <v/>
      </c>
      <c r="D259" s="88" t="str">
        <f t="shared" si="37"/>
        <v/>
      </c>
      <c r="E259" s="88" t="str">
        <f t="shared" si="37"/>
        <v/>
      </c>
      <c r="F259" s="88" t="str">
        <f t="shared" si="37"/>
        <v/>
      </c>
      <c r="G259" s="88" t="str">
        <f t="shared" si="37"/>
        <v/>
      </c>
      <c r="H259" s="88" t="str">
        <f t="shared" si="37"/>
        <v/>
      </c>
      <c r="I259" s="88" t="str">
        <f t="shared" si="37"/>
        <v/>
      </c>
      <c r="J259" s="88" t="str">
        <f t="shared" si="37"/>
        <v/>
      </c>
      <c r="K259" s="88" t="str">
        <f t="shared" si="37"/>
        <v/>
      </c>
      <c r="L259" s="88" t="str">
        <f t="shared" si="37"/>
        <v/>
      </c>
      <c r="M259" s="88" t="str">
        <f t="shared" si="37"/>
        <v/>
      </c>
      <c r="N259" s="88" t="str">
        <f t="shared" si="37"/>
        <v/>
      </c>
      <c r="O259" s="88" t="str">
        <f t="shared" si="37"/>
        <v/>
      </c>
      <c r="P259" s="88" t="str">
        <f t="shared" si="37"/>
        <v/>
      </c>
      <c r="Q259" s="88" t="str">
        <f t="shared" si="37"/>
        <v/>
      </c>
      <c r="R259" s="88" t="str">
        <f t="shared" si="37"/>
        <v/>
      </c>
      <c r="S259" s="88" t="str">
        <f t="shared" si="37"/>
        <v/>
      </c>
      <c r="T259" s="88" t="str">
        <f t="shared" si="37"/>
        <v/>
      </c>
      <c r="U259" s="88" t="str">
        <f t="shared" si="37"/>
        <v/>
      </c>
      <c r="V259" s="88" t="str">
        <f t="shared" si="37"/>
        <v/>
      </c>
      <c r="W259" s="88" t="str">
        <f t="shared" si="37"/>
        <v/>
      </c>
      <c r="X259" s="88" t="str">
        <f t="shared" si="37"/>
        <v/>
      </c>
      <c r="Y259" s="88" t="str">
        <f t="shared" si="37"/>
        <v/>
      </c>
      <c r="Z259" s="88" t="str">
        <f t="shared" si="37"/>
        <v/>
      </c>
      <c r="AA259" s="88" t="str">
        <f t="shared" si="37"/>
        <v/>
      </c>
      <c r="AB259" s="88" t="str">
        <f t="shared" si="37"/>
        <v/>
      </c>
      <c r="AC259" s="88" t="str">
        <f t="shared" si="37"/>
        <v/>
      </c>
      <c r="AD259" s="88" t="str">
        <f t="shared" si="37"/>
        <v/>
      </c>
      <c r="AE259" s="88" t="str">
        <f t="shared" si="37"/>
        <v/>
      </c>
      <c r="AF259" s="88" t="str">
        <f t="shared" si="37"/>
        <v/>
      </c>
      <c r="AG259" s="47"/>
      <c r="AH259" s="47"/>
      <c r="AJ259"/>
    </row>
    <row r="260" spans="1:36" x14ac:dyDescent="0.25"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J260"/>
    </row>
    <row r="261" spans="1:36" x14ac:dyDescent="0.25"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J261"/>
    </row>
    <row r="262" spans="1:36" x14ac:dyDescent="0.25"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J262"/>
    </row>
    <row r="263" spans="1:36" x14ac:dyDescent="0.25"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J263"/>
    </row>
    <row r="264" spans="1:36" x14ac:dyDescent="0.25"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J264"/>
    </row>
    <row r="265" spans="1:36" x14ac:dyDescent="0.25"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J265"/>
    </row>
    <row r="266" spans="1:36" x14ac:dyDescent="0.25"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J266"/>
    </row>
    <row r="490" spans="36:38" x14ac:dyDescent="0.25">
      <c r="AK490" s="1"/>
    </row>
    <row r="491" spans="36:38" x14ac:dyDescent="0.25">
      <c r="AK491" s="1"/>
      <c r="AL491" s="1"/>
    </row>
    <row r="492" spans="36:38" x14ac:dyDescent="0.25">
      <c r="AJ492"/>
    </row>
  </sheetData>
  <mergeCells count="48">
    <mergeCell ref="A231:B23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D214:AF220 B214:B220 B212:AF212 U233:AF233 B9:AF10 C99:AF105 AC11:AF11">
    <cfRule type="expression" dxfId="6176" priority="228">
      <formula>B$9&gt;=20/24</formula>
    </cfRule>
    <cfRule type="expression" dxfId="6175" priority="229">
      <formula>AND(B$9&gt;=14/24,B$9&lt;20/24)</formula>
    </cfRule>
    <cfRule type="expression" dxfId="6174" priority="230">
      <formula>AND(B$9&gt;=8/24,B$9&lt;14/24)</formula>
    </cfRule>
    <cfRule type="expression" dxfId="6173" priority="231">
      <formula>B$9&lt;8/24</formula>
    </cfRule>
  </conditionalFormatting>
  <conditionalFormatting sqref="AL4:AL6">
    <cfRule type="iconSet" priority="227">
      <iconSet iconSet="3TrafficLights2" reverse="1">
        <cfvo type="percent" val="0"/>
        <cfvo type="num" val="1"/>
        <cfvo type="num" val="1"/>
      </iconSet>
    </cfRule>
  </conditionalFormatting>
  <conditionalFormatting sqref="AG55 M11:S11 M16:N16 B12:L16 O12:S16 B35:AF35 T11:AF16">
    <cfRule type="expression" dxfId="6172" priority="222">
      <formula>B11&gt;$AG11</formula>
    </cfRule>
  </conditionalFormatting>
  <conditionalFormatting sqref="A89:A102 A11:A14 A49:A76 A85:A87 A190:A220 A16:A30 A36:A47 A106:A177 A32:A33 A81:A83 A78:A79">
    <cfRule type="expression" dxfId="6171" priority="221">
      <formula>$AH11=0</formula>
    </cfRule>
  </conditionalFormatting>
  <conditionalFormatting sqref="A103">
    <cfRule type="expression" dxfId="6170" priority="220">
      <formula>$AH103=0</formula>
    </cfRule>
  </conditionalFormatting>
  <conditionalFormatting sqref="AL33">
    <cfRule type="iconSet" priority="219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6169" priority="218">
      <formula>$AH35=0</formula>
    </cfRule>
  </conditionalFormatting>
  <conditionalFormatting sqref="A88">
    <cfRule type="expression" dxfId="6168" priority="217">
      <formula>$AH88=0</formula>
    </cfRule>
  </conditionalFormatting>
  <conditionalFormatting sqref="A15">
    <cfRule type="expression" dxfId="6167" priority="216">
      <formula>$AH15=0</formula>
    </cfRule>
  </conditionalFormatting>
  <conditionalFormatting sqref="A184:A189">
    <cfRule type="expression" dxfId="6166" priority="215">
      <formula>$AH184=0</formula>
    </cfRule>
  </conditionalFormatting>
  <conditionalFormatting sqref="A178:A183">
    <cfRule type="expression" dxfId="6165" priority="214">
      <formula>$AH178=0</formula>
    </cfRule>
  </conditionalFormatting>
  <conditionalFormatting sqref="A48">
    <cfRule type="expression" dxfId="6164" priority="213">
      <formula>$AH48=0</formula>
    </cfRule>
  </conditionalFormatting>
  <conditionalFormatting sqref="A84">
    <cfRule type="expression" dxfId="6163" priority="212">
      <formula>$AH84=0</formula>
    </cfRule>
  </conditionalFormatting>
  <conditionalFormatting sqref="C89:AF89">
    <cfRule type="expression" dxfId="6162" priority="208">
      <formula>C$9&gt;=20/24</formula>
    </cfRule>
    <cfRule type="expression" dxfId="6161" priority="209">
      <formula>AND(C$9&gt;=14/24,C$9&lt;20/24)</formula>
    </cfRule>
    <cfRule type="expression" dxfId="6160" priority="210">
      <formula>AND(C$9&gt;=8/24,C$9&lt;14/24)</formula>
    </cfRule>
    <cfRule type="expression" dxfId="6159" priority="211">
      <formula>C$9&lt;8/24</formula>
    </cfRule>
  </conditionalFormatting>
  <conditionalFormatting sqref="AL34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158" priority="234">
      <formula>C$9&gt;=20/24</formula>
    </cfRule>
    <cfRule type="expression" dxfId="6157" priority="235">
      <formula>AND(C$9&gt;=14/24,C$9&lt;20/24)</formula>
    </cfRule>
    <cfRule type="expression" dxfId="6156" priority="236">
      <formula>AND(C$9&gt;=8/24,C$9&lt;14/24)</formula>
    </cfRule>
    <cfRule type="expression" dxfId="6155" priority="237">
      <formula>C$9&lt;8/24</formula>
    </cfRule>
  </conditionalFormatting>
  <conditionalFormatting sqref="A221">
    <cfRule type="expression" dxfId="6154" priority="238">
      <formula>$AH221=0</formula>
    </cfRule>
  </conditionalFormatting>
  <conditionalFormatting sqref="AG233">
    <cfRule type="expression" dxfId="6153" priority="239">
      <formula>B$9&gt;=20/24</formula>
    </cfRule>
    <cfRule type="expression" dxfId="6152" priority="240">
      <formula>AND(B$9&gt;=14/24,B$9&lt;20/24)</formula>
    </cfRule>
    <cfRule type="expression" dxfId="6151" priority="241">
      <formula>AND(B$9&gt;=8/24,B$9&lt;14/24)</formula>
    </cfRule>
    <cfRule type="expression" dxfId="6150" priority="242">
      <formula>B$9&lt;8/24</formula>
    </cfRule>
  </conditionalFormatting>
  <conditionalFormatting sqref="S8">
    <cfRule type="expression" dxfId="6149" priority="203">
      <formula>U$9&gt;=20/24</formula>
    </cfRule>
    <cfRule type="expression" dxfId="6148" priority="204">
      <formula>AND(U$9&gt;=14/24,U$9&lt;20/24)</formula>
    </cfRule>
    <cfRule type="expression" dxfId="6147" priority="205">
      <formula>AND(U$9&gt;=8/24,U$9&lt;14/24)</formula>
    </cfRule>
    <cfRule type="expression" dxfId="6146" priority="206">
      <formula>U$9&lt;8/24</formula>
    </cfRule>
  </conditionalFormatting>
  <conditionalFormatting sqref="AB8">
    <cfRule type="expression" dxfId="6145" priority="199">
      <formula>AD$9&gt;=20/24</formula>
    </cfRule>
    <cfRule type="expression" dxfId="6144" priority="200">
      <formula>AND(AD$9&gt;=14/24,AD$9&lt;20/24)</formula>
    </cfRule>
    <cfRule type="expression" dxfId="6143" priority="201">
      <formula>AND(AD$9&gt;=8/24,AD$9&lt;14/24)</formula>
    </cfRule>
    <cfRule type="expression" dxfId="6142" priority="202">
      <formula>AD$9&lt;8/24</formula>
    </cfRule>
  </conditionalFormatting>
  <conditionalFormatting sqref="AH233:AX233">
    <cfRule type="expression" dxfId="6141" priority="243">
      <formula>AG$9&gt;=20/24</formula>
    </cfRule>
    <cfRule type="expression" dxfId="6140" priority="244">
      <formula>AND(AG$9&gt;=14/24,AG$9&lt;20/24)</formula>
    </cfRule>
    <cfRule type="expression" dxfId="6139" priority="245">
      <formula>AND(AG$9&gt;=8/24,AG$9&lt;14/24)</formula>
    </cfRule>
    <cfRule type="expression" dxfId="6138" priority="246">
      <formula>AG$9&lt;8/24</formula>
    </cfRule>
  </conditionalFormatting>
  <conditionalFormatting sqref="T233">
    <cfRule type="expression" dxfId="6137" priority="247">
      <formula>AX$9&gt;=20/24</formula>
    </cfRule>
    <cfRule type="expression" dxfId="6136" priority="248">
      <formula>AND(AX$9&gt;=14/24,AX$9&lt;20/24)</formula>
    </cfRule>
    <cfRule type="expression" dxfId="6135" priority="249">
      <formula>AND(AX$9&gt;=8/24,AX$9&lt;14/24)</formula>
    </cfRule>
    <cfRule type="expression" dxfId="6134" priority="250">
      <formula>AX$9&lt;8/24</formula>
    </cfRule>
  </conditionalFormatting>
  <conditionalFormatting sqref="A104:A105">
    <cfRule type="expression" dxfId="6133" priority="198">
      <formula>$AH104=0</formula>
    </cfRule>
  </conditionalFormatting>
  <conditionalFormatting sqref="E61:AF61 E44:L45 AB44:AF45">
    <cfRule type="expression" dxfId="6132" priority="194">
      <formula>E$9&gt;=20/24</formula>
    </cfRule>
    <cfRule type="expression" dxfId="6131" priority="195">
      <formula>AND(E$9&gt;=14/24,E$9&lt;20/24)</formula>
    </cfRule>
    <cfRule type="expression" dxfId="6130" priority="196">
      <formula>AND(E$9&gt;=8/24,E$9&lt;14/24)</formula>
    </cfRule>
    <cfRule type="expression" dxfId="6129" priority="197">
      <formula>E$9&lt;8/24</formula>
    </cfRule>
  </conditionalFormatting>
  <conditionalFormatting sqref="E43:L43 S43:AF43">
    <cfRule type="expression" dxfId="6128" priority="190">
      <formula>E$9&gt;=20/24</formula>
    </cfRule>
    <cfRule type="expression" dxfId="6127" priority="191">
      <formula>AND(E$9&gt;=14/24,E$9&lt;20/24)</formula>
    </cfRule>
    <cfRule type="expression" dxfId="6126" priority="192">
      <formula>AND(E$9&gt;=8/24,E$9&lt;14/24)</formula>
    </cfRule>
    <cfRule type="expression" dxfId="6125" priority="193">
      <formula>E$9&lt;8/24</formula>
    </cfRule>
  </conditionalFormatting>
  <conditionalFormatting sqref="E43:L45 S43:AF43 AB44:AF45">
    <cfRule type="expression" dxfId="6124" priority="189">
      <formula>E43&gt;$AG43</formula>
    </cfRule>
  </conditionalFormatting>
  <conditionalFormatting sqref="M11:R11 C86:AF86 O25:P25 M37:R37 P26 P24:R24 M18:AC21 N36:R36 Q25:R26 B22:AC22 E62:AF65 C73:AF76 D57:AF59 C90:AF96 M16:AF16 M12:AF14 AD18:AF22 S36:AF37 P28:AF30 P32:AF32 S24:AF26">
    <cfRule type="expression" dxfId="6123" priority="185">
      <formula>B$9&gt;=20/24</formula>
    </cfRule>
    <cfRule type="expression" dxfId="6122" priority="186">
      <formula>AND(B$9&gt;=14/24,B$9&lt;20/24)</formula>
    </cfRule>
    <cfRule type="expression" dxfId="6121" priority="187">
      <formula>AND(B$9&gt;=8/24,B$9&lt;14/24)</formula>
    </cfRule>
    <cfRule type="expression" dxfId="6120" priority="188">
      <formula>B$9&lt;8/24</formula>
    </cfRule>
  </conditionalFormatting>
  <conditionalFormatting sqref="P33:AF33">
    <cfRule type="expression" dxfId="6119" priority="181">
      <formula>P$9&gt;=20/24</formula>
    </cfRule>
    <cfRule type="expression" dxfId="6118" priority="182">
      <formula>AND(P$9&gt;=14/24,P$9&lt;20/24)</formula>
    </cfRule>
    <cfRule type="expression" dxfId="6117" priority="183">
      <formula>AND(P$9&gt;=8/24,P$9&lt;14/24)</formula>
    </cfRule>
    <cfRule type="expression" dxfId="6116" priority="184">
      <formula>P$9&lt;8/24</formula>
    </cfRule>
  </conditionalFormatting>
  <conditionalFormatting sqref="M11:R11 M12:N15 O25:P25 C55:AF55 E37:R37 E46:L46 P26:P30 P24:R24 M18:AC21 N36:R36 Q25:R30 B22:AC22 D57:AF59 AD18:AF22 S36:AF37 P32:AF33 S24:AF30 AB46:AF47">
    <cfRule type="expression" dxfId="6115" priority="180">
      <formula>B11&gt;$AG11</formula>
    </cfRule>
  </conditionalFormatting>
  <conditionalFormatting sqref="P35:AF35">
    <cfRule type="expression" dxfId="6114" priority="176">
      <formula>P$9&gt;=20/24</formula>
    </cfRule>
    <cfRule type="expression" dxfId="6113" priority="177">
      <formula>AND(P$9&gt;=14/24,P$9&lt;20/24)</formula>
    </cfRule>
    <cfRule type="expression" dxfId="6112" priority="178">
      <formula>AND(P$9&gt;=8/24,P$9&lt;14/24)</formula>
    </cfRule>
    <cfRule type="expression" dxfId="6111" priority="179">
      <formula>P$9&lt;8/24</formula>
    </cfRule>
  </conditionalFormatting>
  <conditionalFormatting sqref="M15:AF15">
    <cfRule type="expression" dxfId="6110" priority="172">
      <formula>M$9&gt;=20/24</formula>
    </cfRule>
    <cfRule type="expression" dxfId="6109" priority="173">
      <formula>AND(M$9&gt;=14/24,M$9&lt;20/24)</formula>
    </cfRule>
    <cfRule type="expression" dxfId="6108" priority="174">
      <formula>AND(M$9&gt;=8/24,M$9&lt;14/24)</formula>
    </cfRule>
    <cfRule type="expression" dxfId="6107" priority="175">
      <formula>M$9&lt;8/24</formula>
    </cfRule>
  </conditionalFormatting>
  <conditionalFormatting sqref="P34:AF34">
    <cfRule type="expression" dxfId="6106" priority="168">
      <formula>P$9&gt;=20/24</formula>
    </cfRule>
    <cfRule type="expression" dxfId="6105" priority="169">
      <formula>AND(P$9&gt;=14/24,P$9&lt;20/24)</formula>
    </cfRule>
    <cfRule type="expression" dxfId="6104" priority="170">
      <formula>AND(P$9&gt;=8/24,P$9&lt;14/24)</formula>
    </cfRule>
    <cfRule type="expression" dxfId="6103" priority="171">
      <formula>P$9&lt;8/24</formula>
    </cfRule>
  </conditionalFormatting>
  <conditionalFormatting sqref="P34:AF34">
    <cfRule type="expression" dxfId="6102" priority="167">
      <formula>P34&gt;$AG34</formula>
    </cfRule>
  </conditionalFormatting>
  <conditionalFormatting sqref="S11:AF11">
    <cfRule type="expression" dxfId="6101" priority="163">
      <formula>S$9&gt;=20/24</formula>
    </cfRule>
    <cfRule type="expression" dxfId="6100" priority="164">
      <formula>AND(S$9&gt;=14/24,S$9&lt;20/24)</formula>
    </cfRule>
    <cfRule type="expression" dxfId="6099" priority="165">
      <formula>AND(S$9&gt;=8/24,S$9&lt;14/24)</formula>
    </cfRule>
    <cfRule type="expression" dxfId="6098" priority="166">
      <formula>S$9&lt;8/24</formula>
    </cfRule>
  </conditionalFormatting>
  <conditionalFormatting sqref="AB48:AF54">
    <cfRule type="expression" dxfId="6097" priority="159">
      <formula>AB$9&gt;=20/24</formula>
    </cfRule>
    <cfRule type="expression" dxfId="6096" priority="160">
      <formula>AND(AB$9&gt;=14/24,AB$9&lt;20/24)</formula>
    </cfRule>
    <cfRule type="expression" dxfId="6095" priority="161">
      <formula>AND(AB$9&gt;=8/24,AB$9&lt;14/24)</formula>
    </cfRule>
    <cfRule type="expression" dxfId="6094" priority="162">
      <formula>AB$9&lt;8/24</formula>
    </cfRule>
  </conditionalFormatting>
  <conditionalFormatting sqref="AB48:AF54">
    <cfRule type="expression" dxfId="6093" priority="158">
      <formula>AB48&gt;$AG48</formula>
    </cfRule>
  </conditionalFormatting>
  <conditionalFormatting sqref="M43:R43 M44:O52 P44:AA54">
    <cfRule type="expression" dxfId="6092" priority="154">
      <formula>M$9&gt;=20/24</formula>
    </cfRule>
    <cfRule type="expression" dxfId="6091" priority="155">
      <formula>AND(M$9&gt;=14/24,M$9&lt;20/24)</formula>
    </cfRule>
    <cfRule type="expression" dxfId="6090" priority="156">
      <formula>AND(M$9&gt;=8/24,M$9&lt;14/24)</formula>
    </cfRule>
    <cfRule type="expression" dxfId="6089" priority="157">
      <formula>M$9&lt;8/24</formula>
    </cfRule>
  </conditionalFormatting>
  <conditionalFormatting sqref="M43:R43 M44:O52 P44:AA54">
    <cfRule type="expression" dxfId="6088" priority="153">
      <formula>M43&gt;$AG43</formula>
    </cfRule>
  </conditionalFormatting>
  <conditionalFormatting sqref="P27:AF27">
    <cfRule type="expression" dxfId="6087" priority="149">
      <formula>P$9&gt;=20/24</formula>
    </cfRule>
    <cfRule type="expression" dxfId="6086" priority="150">
      <formula>AND(P$9&gt;=14/24,P$9&lt;20/24)</formula>
    </cfRule>
    <cfRule type="expression" dxfId="6085" priority="151">
      <formula>AND(P$9&gt;=8/24,P$9&lt;14/24)</formula>
    </cfRule>
    <cfRule type="expression" dxfId="6084" priority="152">
      <formula>P$9&lt;8/24</formula>
    </cfRule>
  </conditionalFormatting>
  <conditionalFormatting sqref="H21:L21 C24:O24 M17:AF17 P23:AF23">
    <cfRule type="expression" dxfId="6083" priority="145">
      <formula>C$9&gt;=20/24</formula>
    </cfRule>
    <cfRule type="expression" dxfId="6082" priority="146">
      <formula>AND(C$9&gt;=14/24,C$9&lt;20/24)</formula>
    </cfRule>
    <cfRule type="expression" dxfId="6081" priority="147">
      <formula>AND(C$9&gt;=8/24,C$9&lt;14/24)</formula>
    </cfRule>
    <cfRule type="expression" dxfId="6080" priority="148">
      <formula>C$9&lt;8/24</formula>
    </cfRule>
  </conditionalFormatting>
  <conditionalFormatting sqref="H21:L21 C24:O24 M17:AF17 P23:AF23">
    <cfRule type="expression" dxfId="6079" priority="140">
      <formula>C17&gt;$AG17</formula>
    </cfRule>
  </conditionalFormatting>
  <conditionalFormatting sqref="C53:O53">
    <cfRule type="expression" dxfId="6078" priority="109">
      <formula>C$9&gt;=20/24</formula>
    </cfRule>
    <cfRule type="expression" dxfId="6077" priority="110">
      <formula>AND(C$9&gt;=14/24,C$9&lt;20/24)</formula>
    </cfRule>
    <cfRule type="expression" dxfId="6076" priority="111">
      <formula>AND(C$9&gt;=8/24,C$9&lt;14/24)</formula>
    </cfRule>
    <cfRule type="expression" dxfId="6075" priority="112">
      <formula>C$9&lt;8/24</formula>
    </cfRule>
  </conditionalFormatting>
  <conditionalFormatting sqref="C53:O53">
    <cfRule type="expression" dxfId="6074" priority="108">
      <formula>C53&gt;$AG53</formula>
    </cfRule>
  </conditionalFormatting>
  <conditionalFormatting sqref="B99:B105 B78:AF78 B87:AF87 B11:L11">
    <cfRule type="expression" dxfId="6073" priority="95">
      <formula>B$9&gt;=20/24</formula>
    </cfRule>
    <cfRule type="expression" dxfId="6072" priority="96">
      <formula>AND(B$9&gt;=14/24,B$9&lt;20/24)</formula>
    </cfRule>
    <cfRule type="expression" dxfId="6071" priority="97">
      <formula>AND(B$9&gt;=8/24,B$9&lt;14/24)</formula>
    </cfRule>
    <cfRule type="expression" dxfId="6070" priority="98">
      <formula>B$9&lt;8/24</formula>
    </cfRule>
  </conditionalFormatting>
  <conditionalFormatting sqref="B37:D37">
    <cfRule type="expression" dxfId="6069" priority="91">
      <formula>B$9&gt;=20/24</formula>
    </cfRule>
    <cfRule type="expression" dxfId="6068" priority="92">
      <formula>AND(B$9&gt;=14/24,B$9&lt;20/24)</formula>
    </cfRule>
    <cfRule type="expression" dxfId="6067" priority="93">
      <formula>AND(B$9&gt;=8/24,B$9&lt;14/24)</formula>
    </cfRule>
    <cfRule type="expression" dxfId="6066" priority="94">
      <formula>B$9&lt;8/24</formula>
    </cfRule>
  </conditionalFormatting>
  <conditionalFormatting sqref="B37:D37 B11:L11">
    <cfRule type="expression" dxfId="6065" priority="90">
      <formula>B11&gt;$AG11</formula>
    </cfRule>
  </conditionalFormatting>
  <conditionalFormatting sqref="B89">
    <cfRule type="expression" dxfId="6064" priority="86">
      <formula>B$9&gt;=20/24</formula>
    </cfRule>
    <cfRule type="expression" dxfId="6063" priority="87">
      <formula>AND(B$9&gt;=14/24,B$9&lt;20/24)</formula>
    </cfRule>
    <cfRule type="expression" dxfId="6062" priority="88">
      <formula>AND(B$9&gt;=8/24,B$9&lt;14/24)</formula>
    </cfRule>
    <cfRule type="expression" dxfId="6061" priority="89">
      <formula>B$9&lt;8/24</formula>
    </cfRule>
  </conditionalFormatting>
  <conditionalFormatting sqref="B44:D45 B61:D61 B36:M36">
    <cfRule type="expression" dxfId="6060" priority="82">
      <formula>B$9&gt;=20/24</formula>
    </cfRule>
    <cfRule type="expression" dxfId="6059" priority="83">
      <formula>AND(B$9&gt;=14/24,B$9&lt;20/24)</formula>
    </cfRule>
    <cfRule type="expression" dxfId="6058" priority="84">
      <formula>AND(B$9&gt;=8/24,B$9&lt;14/24)</formula>
    </cfRule>
    <cfRule type="expression" dxfId="6057" priority="85">
      <formula>B$9&lt;8/24</formula>
    </cfRule>
  </conditionalFormatting>
  <conditionalFormatting sqref="B43:D43">
    <cfRule type="expression" dxfId="6056" priority="78">
      <formula>B$9&gt;=20/24</formula>
    </cfRule>
    <cfRule type="expression" dxfId="6055" priority="79">
      <formula>AND(B$9&gt;=14/24,B$9&lt;20/24)</formula>
    </cfRule>
    <cfRule type="expression" dxfId="6054" priority="80">
      <formula>AND(B$9&gt;=8/24,B$9&lt;14/24)</formula>
    </cfRule>
    <cfRule type="expression" dxfId="6053" priority="81">
      <formula>B$9&lt;8/24</formula>
    </cfRule>
  </conditionalFormatting>
  <conditionalFormatting sqref="B43:D45 B36:M36">
    <cfRule type="expression" dxfId="6052" priority="77">
      <formula>B36&gt;$AG36</formula>
    </cfRule>
  </conditionalFormatting>
  <conditionalFormatting sqref="B90:B96 B24:B26 B57:B60 B73:B77 B79:AF79 B86 C60:AG60 C77:AG77 B88:AF88 C57:C59 B62:D71 B18:G21 B12:L14 B16:L16 H18:L20 C25:N26 B28:O30 B32:O32 O26 E66:AF71">
    <cfRule type="expression" dxfId="6051" priority="73">
      <formula>B$9&gt;=20/24</formula>
    </cfRule>
    <cfRule type="expression" dxfId="6050" priority="74">
      <formula>AND(B$9&gt;=14/24,B$9&lt;20/24)</formula>
    </cfRule>
    <cfRule type="expression" dxfId="6049" priority="75">
      <formula>AND(B$9&gt;=8/24,B$9&lt;14/24)</formula>
    </cfRule>
    <cfRule type="expression" dxfId="6048" priority="76">
      <formula>B$9&lt;8/24</formula>
    </cfRule>
  </conditionalFormatting>
  <conditionalFormatting sqref="B33:O33">
    <cfRule type="expression" dxfId="6047" priority="69">
      <formula>B$9&gt;=20/24</formula>
    </cfRule>
    <cfRule type="expression" dxfId="6046" priority="70">
      <formula>AND(B$9&gt;=14/24,B$9&lt;20/24)</formula>
    </cfRule>
    <cfRule type="expression" dxfId="6045" priority="71">
      <formula>AND(B$9&gt;=8/24,B$9&lt;14/24)</formula>
    </cfRule>
    <cfRule type="expression" dxfId="6044" priority="72">
      <formula>B$9&lt;8/24</formula>
    </cfRule>
  </conditionalFormatting>
  <conditionalFormatting sqref="B24:B30 B55:B60 B38:AG38 C56:AG56 C60:AG60 C57:C59 B46:D47 B18:G21 H18:L20 E47:L47 C25:N30 B32:O33 O26:O30">
    <cfRule type="expression" dxfId="6043" priority="68">
      <formula>B18&gt;$AG18</formula>
    </cfRule>
  </conditionalFormatting>
  <conditionalFormatting sqref="B35:O35">
    <cfRule type="expression" dxfId="6042" priority="64">
      <formula>B$9&gt;=20/24</formula>
    </cfRule>
    <cfRule type="expression" dxfId="6041" priority="65">
      <formula>AND(B$9&gt;=14/24,B$9&lt;20/24)</formula>
    </cfRule>
    <cfRule type="expression" dxfId="6040" priority="66">
      <formula>AND(B$9&gt;=8/24,B$9&lt;14/24)</formula>
    </cfRule>
    <cfRule type="expression" dxfId="6039" priority="67">
      <formula>B$9&lt;8/24</formula>
    </cfRule>
  </conditionalFormatting>
  <conditionalFormatting sqref="B15:L15">
    <cfRule type="expression" dxfId="6038" priority="60">
      <formula>B$9&gt;=20/24</formula>
    </cfRule>
    <cfRule type="expression" dxfId="6037" priority="61">
      <formula>AND(B$9&gt;=14/24,B$9&lt;20/24)</formula>
    </cfRule>
    <cfRule type="expression" dxfId="6036" priority="62">
      <formula>AND(B$9&gt;=8/24,B$9&lt;14/24)</formula>
    </cfRule>
    <cfRule type="expression" dxfId="6035" priority="63">
      <formula>B$9&lt;8/24</formula>
    </cfRule>
  </conditionalFormatting>
  <conditionalFormatting sqref="B34:O34">
    <cfRule type="expression" dxfId="6034" priority="56">
      <formula>B$9&gt;=20/24</formula>
    </cfRule>
    <cfRule type="expression" dxfId="6033" priority="57">
      <formula>AND(B$9&gt;=14/24,B$9&lt;20/24)</formula>
    </cfRule>
    <cfRule type="expression" dxfId="6032" priority="58">
      <formula>AND(B$9&gt;=8/24,B$9&lt;14/24)</formula>
    </cfRule>
    <cfRule type="expression" dxfId="6031" priority="59">
      <formula>B$9&lt;8/24</formula>
    </cfRule>
  </conditionalFormatting>
  <conditionalFormatting sqref="B34:O34">
    <cfRule type="expression" dxfId="6030" priority="55">
      <formula>B34&gt;$AG34</formula>
    </cfRule>
  </conditionalFormatting>
  <conditionalFormatting sqref="B48:B54 C48:L52 C54:O54">
    <cfRule type="expression" dxfId="6029" priority="51">
      <formula>B$9&gt;=20/24</formula>
    </cfRule>
    <cfRule type="expression" dxfId="6028" priority="52">
      <formula>AND(B$9&gt;=14/24,B$9&lt;20/24)</formula>
    </cfRule>
    <cfRule type="expression" dxfId="6027" priority="53">
      <formula>AND(B$9&gt;=8/24,B$9&lt;14/24)</formula>
    </cfRule>
    <cfRule type="expression" dxfId="6026" priority="54">
      <formula>B$9&lt;8/24</formula>
    </cfRule>
  </conditionalFormatting>
  <conditionalFormatting sqref="B48:B54 C48:L52 C54:O54">
    <cfRule type="expression" dxfId="6025" priority="50">
      <formula>B48&gt;$AG48</formula>
    </cfRule>
  </conditionalFormatting>
  <conditionalFormatting sqref="B27:O27">
    <cfRule type="expression" dxfId="6024" priority="46">
      <formula>B$9&gt;=20/24</formula>
    </cfRule>
    <cfRule type="expression" dxfId="6023" priority="47">
      <formula>AND(B$9&gt;=14/24,B$9&lt;20/24)</formula>
    </cfRule>
    <cfRule type="expression" dxfId="6022" priority="48">
      <formula>AND(B$9&gt;=8/24,B$9&lt;14/24)</formula>
    </cfRule>
    <cfRule type="expression" dxfId="6021" priority="49">
      <formula>B$9&lt;8/24</formula>
    </cfRule>
  </conditionalFormatting>
  <conditionalFormatting sqref="B17:L17 B23:O23">
    <cfRule type="expression" dxfId="6020" priority="42">
      <formula>B$9&gt;=20/24</formula>
    </cfRule>
    <cfRule type="expression" dxfId="6019" priority="43">
      <formula>AND(B$9&gt;=14/24,B$9&lt;20/24)</formula>
    </cfRule>
    <cfRule type="expression" dxfId="6018" priority="44">
      <formula>AND(B$9&gt;=8/24,B$9&lt;14/24)</formula>
    </cfRule>
    <cfRule type="expression" dxfId="6017" priority="45">
      <formula>B$9&lt;8/24</formula>
    </cfRule>
  </conditionalFormatting>
  <conditionalFormatting sqref="B17:L17 B23:O23">
    <cfRule type="expression" dxfId="6016" priority="41">
      <formula>B17&gt;$AG17</formula>
    </cfRule>
  </conditionalFormatting>
  <conditionalFormatting sqref="A34">
    <cfRule type="expression" dxfId="6015" priority="40">
      <formula>$AH34=0</formula>
    </cfRule>
  </conditionalFormatting>
  <conditionalFormatting sqref="B72:AF72">
    <cfRule type="expression" dxfId="6014" priority="36">
      <formula>B$9&gt;=20/24</formula>
    </cfRule>
    <cfRule type="expression" dxfId="6013" priority="37">
      <formula>AND(B$9&gt;=14/24,B$9&lt;20/24)</formula>
    </cfRule>
    <cfRule type="expression" dxfId="6012" priority="38">
      <formula>AND(B$9&gt;=8/24,B$9&lt;14/24)</formula>
    </cfRule>
    <cfRule type="expression" dxfId="6011" priority="39">
      <formula>B$9&lt;8/24</formula>
    </cfRule>
  </conditionalFormatting>
  <conditionalFormatting sqref="B81:AF85">
    <cfRule type="expression" dxfId="6010" priority="32">
      <formula>B$9&gt;=20/24</formula>
    </cfRule>
    <cfRule type="expression" dxfId="6009" priority="33">
      <formula>AND(B$9&gt;=14/24,B$9&lt;20/24)</formula>
    </cfRule>
    <cfRule type="expression" dxfId="6008" priority="34">
      <formula>AND(B$9&gt;=8/24,B$9&lt;14/24)</formula>
    </cfRule>
    <cfRule type="expression" dxfId="6007" priority="35">
      <formula>B$9&lt;8/24</formula>
    </cfRule>
  </conditionalFormatting>
  <conditionalFormatting sqref="AL35 AL7:AL30 AL32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E39:AF41">
    <cfRule type="expression" dxfId="6006" priority="28">
      <formula>E$9&gt;=20/24</formula>
    </cfRule>
    <cfRule type="expression" dxfId="6005" priority="29">
      <formula>AND(E$9&gt;=14/24,E$9&lt;20/24)</formula>
    </cfRule>
    <cfRule type="expression" dxfId="6004" priority="30">
      <formula>AND(E$9&gt;=8/24,E$9&lt;14/24)</formula>
    </cfRule>
    <cfRule type="expression" dxfId="6003" priority="31">
      <formula>E$9&lt;8/24</formula>
    </cfRule>
  </conditionalFormatting>
  <conditionalFormatting sqref="E39:AF41">
    <cfRule type="expression" dxfId="6002" priority="27">
      <formula>E39&gt;$AG39</formula>
    </cfRule>
  </conditionalFormatting>
  <conditionalFormatting sqref="B39:B42 C42:AG42 C39:D41">
    <cfRule type="expression" dxfId="6001" priority="23">
      <formula>B$9&gt;=20/24</formula>
    </cfRule>
    <cfRule type="expression" dxfId="6000" priority="24">
      <formula>AND(B$9&gt;=14/24,B$9&lt;20/24)</formula>
    </cfRule>
    <cfRule type="expression" dxfId="5999" priority="25">
      <formula>AND(B$9&gt;=8/24,B$9&lt;14/24)</formula>
    </cfRule>
    <cfRule type="expression" dxfId="5998" priority="26">
      <formula>B$9&lt;8/24</formula>
    </cfRule>
  </conditionalFormatting>
  <conditionalFormatting sqref="B39:B42 C42:AG42 C39:D41">
    <cfRule type="expression" dxfId="5997" priority="22">
      <formula>B39&gt;$AG39</formula>
    </cfRule>
  </conditionalFormatting>
  <conditionalFormatting sqref="C97:AF97">
    <cfRule type="expression" dxfId="5996" priority="18">
      <formula>C$9&gt;=20/24</formula>
    </cfRule>
    <cfRule type="expression" dxfId="5995" priority="19">
      <formula>AND(C$9&gt;=14/24,C$9&lt;20/24)</formula>
    </cfRule>
    <cfRule type="expression" dxfId="5994" priority="20">
      <formula>AND(C$9&gt;=8/24,C$9&lt;14/24)</formula>
    </cfRule>
    <cfRule type="expression" dxfId="5993" priority="21">
      <formula>C$9&lt;8/24</formula>
    </cfRule>
  </conditionalFormatting>
  <conditionalFormatting sqref="B97">
    <cfRule type="expression" dxfId="5992" priority="14">
      <formula>B$9&gt;=20/24</formula>
    </cfRule>
    <cfRule type="expression" dxfId="5991" priority="15">
      <formula>AND(B$9&gt;=14/24,B$9&lt;20/24)</formula>
    </cfRule>
    <cfRule type="expression" dxfId="5990" priority="16">
      <formula>AND(B$9&gt;=8/24,B$9&lt;14/24)</formula>
    </cfRule>
    <cfRule type="expression" dxfId="5989" priority="17">
      <formula>B$9&lt;8/24</formula>
    </cfRule>
  </conditionalFormatting>
  <conditionalFormatting sqref="AL31">
    <cfRule type="iconSet" priority="13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5988" priority="7">
      <formula>$AH31=0</formula>
    </cfRule>
  </conditionalFormatting>
  <conditionalFormatting sqref="A77">
    <cfRule type="expression" dxfId="5987" priority="2">
      <formula>$AH77=0</formula>
    </cfRule>
  </conditionalFormatting>
  <conditionalFormatting sqref="A80">
    <cfRule type="expression" dxfId="5986" priority="1">
      <formula>$AH80=0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A6B78721-ACBF-424E-9491-32363AA0AB8C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" id="{00FD6C35-F764-4017-B602-822EEC1DCF70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1" id="{F684B819-9B2B-4D46-A260-4630B79D41EE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2" id="{B3C5D97C-3D98-4854-9F69-6A0DD543CB23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B31:AF31 B80:AF80</xm:sqref>
        </x14:conditionalFormatting>
        <x14:conditionalFormatting xmlns:xm="http://schemas.microsoft.com/office/excel/2006/main">
          <x14:cfRule type="expression" priority="8" id="{DBBFE20F-CF2B-4392-8D2A-711363EF4BFB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2"/>
  <sheetViews>
    <sheetView zoomScale="90" zoomScaleNormal="90" workbookViewId="0">
      <pane xSplit="1" ySplit="10" topLeftCell="B41" activePane="bottomRight" state="frozen"/>
      <selection activeCell="AF88" sqref="AF88"/>
      <selection pane="topRight" activeCell="AF88" sqref="AF88"/>
      <selection pane="bottomLeft" activeCell="AF88" sqref="AF88"/>
      <selection pane="bottomRight" activeCell="A7" sqref="A7:XFD10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4" width="6.28515625" bestFit="1" customWidth="1"/>
    <col min="15" max="15" width="8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2079/02/6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("&amp;ROUND(B237,0)&amp;" MW)"&amp;"    IPP   = "&amp;ROUND(B232,0)&amp;" MW     NEA RoR = "&amp;ROUND(B233,0)&amp;" MWImport   = "&amp;ROUND(B235,0)&amp;" MW      KL1+KL2+K3 = "&amp;ROUND(B234,0) &amp;" MW    EXPORT = "&amp;ROUND(B236,0)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3</v>
      </c>
      <c r="C5" s="32">
        <f t="shared" si="0"/>
        <v>2.2000000000000002</v>
      </c>
      <c r="D5" s="32">
        <f t="shared" si="0"/>
        <v>8.1999999999999993</v>
      </c>
      <c r="E5" s="32">
        <f t="shared" si="0"/>
        <v>2.2000000000000002</v>
      </c>
      <c r="F5" s="32">
        <f t="shared" si="0"/>
        <v>2.2000000000000002</v>
      </c>
      <c r="G5" s="32">
        <f t="shared" si="0"/>
        <v>12</v>
      </c>
      <c r="H5" s="32">
        <f t="shared" si="0"/>
        <v>6.8</v>
      </c>
      <c r="I5" s="32">
        <f t="shared" si="0"/>
        <v>6.8</v>
      </c>
      <c r="J5" s="32">
        <f t="shared" si="0"/>
        <v>12</v>
      </c>
      <c r="K5" s="32">
        <f t="shared" si="0"/>
        <v>8.1</v>
      </c>
      <c r="L5" s="32">
        <f t="shared" si="0"/>
        <v>20</v>
      </c>
      <c r="M5" s="32">
        <f t="shared" si="0"/>
        <v>50.4</v>
      </c>
      <c r="N5" s="32">
        <f t="shared" si="0"/>
        <v>40.299999999999997</v>
      </c>
      <c r="O5" s="32">
        <f t="shared" si="0"/>
        <v>42</v>
      </c>
      <c r="P5" s="32">
        <f t="shared" si="0"/>
        <v>46.4</v>
      </c>
      <c r="Q5" s="32">
        <f t="shared" si="0"/>
        <v>36.200000000000003</v>
      </c>
      <c r="R5" s="32">
        <f t="shared" si="0"/>
        <v>50</v>
      </c>
      <c r="S5" s="32">
        <f t="shared" si="0"/>
        <v>45</v>
      </c>
      <c r="T5" s="32">
        <f t="shared" si="0"/>
        <v>42</v>
      </c>
      <c r="U5" s="32">
        <f t="shared" si="0"/>
        <v>33</v>
      </c>
      <c r="V5" s="32">
        <f t="shared" si="0"/>
        <v>40</v>
      </c>
      <c r="W5" s="32">
        <f t="shared" si="0"/>
        <v>50</v>
      </c>
      <c r="X5" s="32">
        <f t="shared" si="0"/>
        <v>20</v>
      </c>
      <c r="Y5" s="32">
        <f t="shared" si="0"/>
        <v>17</v>
      </c>
      <c r="Z5" s="32">
        <f t="shared" si="0"/>
        <v>15</v>
      </c>
      <c r="AA5" s="32">
        <f t="shared" si="0"/>
        <v>31.3</v>
      </c>
      <c r="AB5" s="32">
        <f t="shared" si="0"/>
        <v>38.1</v>
      </c>
      <c r="AC5" s="32">
        <f t="shared" si="0"/>
        <v>40.4</v>
      </c>
      <c r="AD5" s="32">
        <f t="shared" si="0"/>
        <v>37.6</v>
      </c>
      <c r="AE5" s="32">
        <f t="shared" si="0"/>
        <v>27</v>
      </c>
      <c r="AF5" s="32">
        <f>B72</f>
        <v>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"&amp;ROUND(B237,0)&amp;"MW at "&amp;TRUNC(B238*24,0)&amp;":"&amp;ROUND((B238*24-TRUNC(B238*24,0))*60,0)&amp;"hr at "&amp;ROUND(B239,1)&amp;"Hz     "&amp;A229&amp;" "&amp;ROUND(B229,0)&amp;"MW at "&amp;TRUNC(C229*24,0)&amp;":"&amp;ROUND((C229*24-TRUNC(C229*24,0))*6,0)&amp;"0hr"</f>
        <v>Evening Peak 0MW at 0:0hr at 0Hz     Morning Peak 1834MW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Load=1652</v>
      </c>
      <c r="B7" s="37">
        <f>B79</f>
        <v>1738.04</v>
      </c>
      <c r="C7" s="37">
        <f>C79</f>
        <v>1741.04</v>
      </c>
      <c r="D7" s="37">
        <f t="shared" ref="D7:AF7" si="1">D79</f>
        <v>1740.24</v>
      </c>
      <c r="E7" s="37">
        <f t="shared" si="1"/>
        <v>1746.24</v>
      </c>
      <c r="F7" s="37">
        <f t="shared" si="1"/>
        <v>1652.0400000000002</v>
      </c>
      <c r="G7" s="37">
        <f t="shared" si="1"/>
        <v>1652.0400000000002</v>
      </c>
      <c r="H7" s="37">
        <f t="shared" si="1"/>
        <v>1661.8400000000001</v>
      </c>
      <c r="I7" s="37">
        <f t="shared" si="1"/>
        <v>1656.64</v>
      </c>
      <c r="J7" s="37">
        <f t="shared" si="1"/>
        <v>1732.64</v>
      </c>
      <c r="K7" s="37">
        <f t="shared" si="1"/>
        <v>1737.8400000000001</v>
      </c>
      <c r="L7" s="37">
        <f t="shared" si="1"/>
        <v>1733.94</v>
      </c>
      <c r="M7" s="37">
        <f t="shared" si="1"/>
        <v>1784.04</v>
      </c>
      <c r="N7" s="37">
        <f t="shared" si="1"/>
        <v>1833.8400000000001</v>
      </c>
      <c r="O7" s="37">
        <f t="shared" si="1"/>
        <v>1748.54</v>
      </c>
      <c r="P7" s="37">
        <f t="shared" si="1"/>
        <v>1775.24</v>
      </c>
      <c r="Q7" s="37">
        <f t="shared" si="1"/>
        <v>1768.7400000000002</v>
      </c>
      <c r="R7" s="37">
        <f t="shared" si="1"/>
        <v>1782.5400000000002</v>
      </c>
      <c r="S7" s="37">
        <f t="shared" si="1"/>
        <v>1773.7400000000002</v>
      </c>
      <c r="T7" s="37">
        <f t="shared" si="1"/>
        <v>1768.7400000000002</v>
      </c>
      <c r="U7" s="37">
        <f t="shared" si="1"/>
        <v>1679.1399999999999</v>
      </c>
      <c r="V7" s="37">
        <f t="shared" si="1"/>
        <v>1704.1399999999999</v>
      </c>
      <c r="W7" s="37">
        <f t="shared" si="1"/>
        <v>1799.1399999999999</v>
      </c>
      <c r="X7" s="37">
        <f t="shared" si="1"/>
        <v>1809.7400000000002</v>
      </c>
      <c r="Y7" s="37">
        <f t="shared" si="1"/>
        <v>1779.7400000000002</v>
      </c>
      <c r="Z7" s="37">
        <f t="shared" si="1"/>
        <v>1808.8400000000001</v>
      </c>
      <c r="AA7" s="37">
        <f t="shared" si="1"/>
        <v>1781.8400000000001</v>
      </c>
      <c r="AB7" s="37">
        <f t="shared" si="1"/>
        <v>1873.1399999999999</v>
      </c>
      <c r="AC7" s="37">
        <f t="shared" si="1"/>
        <v>1840.3400000000001</v>
      </c>
      <c r="AD7" s="37">
        <f t="shared" si="1"/>
        <v>1867.94</v>
      </c>
      <c r="AE7" s="37">
        <f t="shared" si="1"/>
        <v>1822.04</v>
      </c>
      <c r="AF7" s="37">
        <f t="shared" si="1"/>
        <v>1786.74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0">
        <v>54</v>
      </c>
      <c r="C11" s="50">
        <v>54</v>
      </c>
      <c r="D11" s="50">
        <v>54</v>
      </c>
      <c r="E11" s="50">
        <v>54</v>
      </c>
      <c r="F11" s="50">
        <v>54.2</v>
      </c>
      <c r="G11" s="50">
        <v>54.2</v>
      </c>
      <c r="H11" s="50">
        <v>54.2</v>
      </c>
      <c r="I11" s="50">
        <v>54.2</v>
      </c>
      <c r="J11" s="50">
        <v>54.2</v>
      </c>
      <c r="K11" s="50">
        <v>54.2</v>
      </c>
      <c r="L11" s="50">
        <v>54.2</v>
      </c>
      <c r="M11" s="50">
        <v>54.2</v>
      </c>
      <c r="N11" s="50">
        <v>54.2</v>
      </c>
      <c r="O11" s="50">
        <v>54.2</v>
      </c>
      <c r="P11" s="50">
        <v>54.2</v>
      </c>
      <c r="Q11" s="50">
        <v>54.2</v>
      </c>
      <c r="R11" s="50">
        <v>54.2</v>
      </c>
      <c r="S11" s="50">
        <v>54.2</v>
      </c>
      <c r="T11" s="50">
        <v>54.2</v>
      </c>
      <c r="U11" s="50">
        <v>54.2</v>
      </c>
      <c r="V11" s="50">
        <v>54.2</v>
      </c>
      <c r="W11" s="50">
        <v>54.2</v>
      </c>
      <c r="X11" s="50">
        <v>54.2</v>
      </c>
      <c r="Y11" s="50">
        <v>54.2</v>
      </c>
      <c r="Z11" s="50">
        <v>54.2</v>
      </c>
      <c r="AA11" s="50">
        <v>54.2</v>
      </c>
      <c r="AB11" s="52">
        <v>54</v>
      </c>
      <c r="AC11" s="52">
        <v>54</v>
      </c>
      <c r="AD11" s="52">
        <v>54</v>
      </c>
      <c r="AE11" s="52">
        <v>54</v>
      </c>
      <c r="AF11" s="52">
        <v>54</v>
      </c>
      <c r="AG11" s="133">
        <v>52.4</v>
      </c>
      <c r="AH11" s="54">
        <f>MAX(B11:AF11)</f>
        <v>54.2</v>
      </c>
      <c r="AI11" s="55">
        <f>MIN(B11:AF11)</f>
        <v>54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50.6</v>
      </c>
      <c r="C12" s="50">
        <v>50.6</v>
      </c>
      <c r="D12" s="50">
        <v>50.6</v>
      </c>
      <c r="E12" s="50">
        <v>50.6</v>
      </c>
      <c r="F12" s="50">
        <v>50.6</v>
      </c>
      <c r="G12" s="50">
        <v>50.6</v>
      </c>
      <c r="H12" s="50">
        <v>50.6</v>
      </c>
      <c r="I12" s="50">
        <v>50.6</v>
      </c>
      <c r="J12" s="50">
        <v>50.6</v>
      </c>
      <c r="K12" s="50">
        <v>50.6</v>
      </c>
      <c r="L12" s="50">
        <v>50.6</v>
      </c>
      <c r="M12" s="50">
        <v>50.6</v>
      </c>
      <c r="N12" s="50">
        <v>50.6</v>
      </c>
      <c r="O12" s="50">
        <v>50.6</v>
      </c>
      <c r="P12" s="50">
        <v>50.6</v>
      </c>
      <c r="Q12" s="50">
        <v>50.6</v>
      </c>
      <c r="R12" s="50">
        <v>50.6</v>
      </c>
      <c r="S12" s="50">
        <v>50.6</v>
      </c>
      <c r="T12" s="50">
        <v>50.6</v>
      </c>
      <c r="U12" s="50">
        <v>50.6</v>
      </c>
      <c r="V12" s="50">
        <v>50.6</v>
      </c>
      <c r="W12" s="50">
        <v>50.6</v>
      </c>
      <c r="X12" s="50">
        <v>50.6</v>
      </c>
      <c r="Y12" s="50">
        <v>50.6</v>
      </c>
      <c r="Z12" s="50">
        <v>50.6</v>
      </c>
      <c r="AA12" s="50">
        <v>50.6</v>
      </c>
      <c r="AB12" s="50">
        <v>50.4</v>
      </c>
      <c r="AC12" s="50">
        <v>50.4</v>
      </c>
      <c r="AD12" s="50">
        <v>50.4</v>
      </c>
      <c r="AE12" s="50">
        <v>50.4</v>
      </c>
      <c r="AF12" s="50">
        <v>50.4</v>
      </c>
      <c r="AG12" s="134">
        <v>50</v>
      </c>
      <c r="AH12" s="54">
        <f t="shared" ref="AH12:AH79" si="2">MAX(B12:AF12)</f>
        <v>50.6</v>
      </c>
      <c r="AI12" s="55">
        <f t="shared" ref="AI12:AI79" si="3">MIN(B12:AF12)</f>
        <v>50.4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45.9</v>
      </c>
      <c r="C13" s="50">
        <v>45.9</v>
      </c>
      <c r="D13" s="50">
        <v>45.9</v>
      </c>
      <c r="E13" s="50">
        <v>45.9</v>
      </c>
      <c r="F13" s="50">
        <v>45.9</v>
      </c>
      <c r="G13" s="50">
        <v>45.9</v>
      </c>
      <c r="H13" s="50">
        <v>45.9</v>
      </c>
      <c r="I13" s="50">
        <v>45.9</v>
      </c>
      <c r="J13" s="50">
        <v>45.9</v>
      </c>
      <c r="K13" s="50">
        <v>45.9</v>
      </c>
      <c r="L13" s="50">
        <v>45.9</v>
      </c>
      <c r="M13" s="50">
        <v>45.9</v>
      </c>
      <c r="N13" s="50">
        <v>45.9</v>
      </c>
      <c r="O13" s="50">
        <v>45.9</v>
      </c>
      <c r="P13" s="50">
        <v>45.9</v>
      </c>
      <c r="Q13" s="50">
        <v>45.9</v>
      </c>
      <c r="R13" s="50">
        <v>45.9</v>
      </c>
      <c r="S13" s="50">
        <v>45.9</v>
      </c>
      <c r="T13" s="50">
        <v>45.9</v>
      </c>
      <c r="U13" s="50">
        <v>45.9</v>
      </c>
      <c r="V13" s="50">
        <v>45.9</v>
      </c>
      <c r="W13" s="50">
        <v>45.9</v>
      </c>
      <c r="X13" s="50">
        <v>45.9</v>
      </c>
      <c r="Y13" s="50">
        <v>45.9</v>
      </c>
      <c r="Z13" s="50">
        <v>45.9</v>
      </c>
      <c r="AA13" s="50">
        <v>45.9</v>
      </c>
      <c r="AB13" s="50">
        <v>45.8</v>
      </c>
      <c r="AC13" s="50">
        <v>45.8</v>
      </c>
      <c r="AD13" s="50">
        <v>45.8</v>
      </c>
      <c r="AE13" s="50">
        <v>45.8</v>
      </c>
      <c r="AF13" s="50">
        <v>45.8</v>
      </c>
      <c r="AG13" s="134">
        <v>45</v>
      </c>
      <c r="AH13" s="54">
        <f t="shared" si="2"/>
        <v>45.9</v>
      </c>
      <c r="AI13" s="55">
        <f t="shared" si="3"/>
        <v>45.8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25.5</v>
      </c>
      <c r="C14" s="50">
        <v>25.5</v>
      </c>
      <c r="D14" s="50">
        <v>25.5</v>
      </c>
      <c r="E14" s="50">
        <v>25.5</v>
      </c>
      <c r="F14" s="50">
        <v>25.5</v>
      </c>
      <c r="G14" s="50">
        <v>25.5</v>
      </c>
      <c r="H14" s="50">
        <v>25.5</v>
      </c>
      <c r="I14" s="50">
        <v>25.5</v>
      </c>
      <c r="J14" s="50">
        <v>25.5</v>
      </c>
      <c r="K14" s="50">
        <v>25.5</v>
      </c>
      <c r="L14" s="50">
        <v>25.5</v>
      </c>
      <c r="M14" s="50">
        <v>25.5</v>
      </c>
      <c r="N14" s="50">
        <v>25.5</v>
      </c>
      <c r="O14" s="50">
        <v>25.5</v>
      </c>
      <c r="P14" s="50">
        <v>25.5</v>
      </c>
      <c r="Q14" s="50">
        <v>25.5</v>
      </c>
      <c r="R14" s="50">
        <v>25.5</v>
      </c>
      <c r="S14" s="50">
        <v>25.5</v>
      </c>
      <c r="T14" s="50">
        <v>25.5</v>
      </c>
      <c r="U14" s="50">
        <v>25.5</v>
      </c>
      <c r="V14" s="50">
        <v>25.5</v>
      </c>
      <c r="W14" s="50">
        <v>25.5</v>
      </c>
      <c r="X14" s="50">
        <v>25.5</v>
      </c>
      <c r="Y14" s="50">
        <v>25.5</v>
      </c>
      <c r="Z14" s="50">
        <v>25.5</v>
      </c>
      <c r="AA14" s="50">
        <v>25.5</v>
      </c>
      <c r="AB14" s="50">
        <v>25.5</v>
      </c>
      <c r="AC14" s="50">
        <v>25.5</v>
      </c>
      <c r="AD14" s="50">
        <v>25.5</v>
      </c>
      <c r="AE14" s="50">
        <v>25.5</v>
      </c>
      <c r="AF14" s="50">
        <v>25.5</v>
      </c>
      <c r="AG14" s="134">
        <v>42</v>
      </c>
      <c r="AH14" s="54">
        <f t="shared" si="2"/>
        <v>25.5</v>
      </c>
      <c r="AI14" s="55">
        <f t="shared" si="3"/>
        <v>25.5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0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20</v>
      </c>
      <c r="O15" s="50">
        <v>10</v>
      </c>
      <c r="P15" s="50">
        <v>30</v>
      </c>
      <c r="Q15" s="50">
        <v>20</v>
      </c>
      <c r="R15" s="50">
        <v>20</v>
      </c>
      <c r="S15" s="50">
        <v>20</v>
      </c>
      <c r="T15" s="50">
        <v>20</v>
      </c>
      <c r="U15" s="50">
        <v>30</v>
      </c>
      <c r="V15" s="50">
        <v>30</v>
      </c>
      <c r="W15" s="50">
        <v>30</v>
      </c>
      <c r="X15" s="50">
        <v>10</v>
      </c>
      <c r="Y15" s="50">
        <v>10</v>
      </c>
      <c r="Z15" s="50">
        <v>30</v>
      </c>
      <c r="AA15" s="50">
        <v>30</v>
      </c>
      <c r="AB15" s="50">
        <v>30</v>
      </c>
      <c r="AC15" s="50">
        <v>30</v>
      </c>
      <c r="AD15" s="50">
        <v>30</v>
      </c>
      <c r="AE15" s="50">
        <v>30</v>
      </c>
      <c r="AF15" s="50">
        <v>30</v>
      </c>
      <c r="AG15" s="135">
        <v>30</v>
      </c>
      <c r="AH15" s="54">
        <f t="shared" si="2"/>
        <v>30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26.3</v>
      </c>
      <c r="C16" s="50">
        <v>26.3</v>
      </c>
      <c r="D16" s="50">
        <v>26.3</v>
      </c>
      <c r="E16" s="50">
        <v>26.3</v>
      </c>
      <c r="F16" s="50">
        <v>26.3</v>
      </c>
      <c r="G16" s="50">
        <v>26.3</v>
      </c>
      <c r="H16" s="50">
        <v>26.3</v>
      </c>
      <c r="I16" s="50">
        <v>26.3</v>
      </c>
      <c r="J16" s="50">
        <v>26.3</v>
      </c>
      <c r="K16" s="50">
        <v>26.3</v>
      </c>
      <c r="L16" s="50">
        <v>26.3</v>
      </c>
      <c r="M16" s="50">
        <v>26.3</v>
      </c>
      <c r="N16" s="50">
        <v>26.3</v>
      </c>
      <c r="O16" s="50">
        <v>26.3</v>
      </c>
      <c r="P16" s="50">
        <v>26.3</v>
      </c>
      <c r="Q16" s="50">
        <v>26.3</v>
      </c>
      <c r="R16" s="50">
        <v>26.3</v>
      </c>
      <c r="S16" s="50">
        <v>26.3</v>
      </c>
      <c r="T16" s="50">
        <v>26.3</v>
      </c>
      <c r="U16" s="50">
        <v>26.3</v>
      </c>
      <c r="V16" s="50">
        <v>26.3</v>
      </c>
      <c r="W16" s="50">
        <v>26.3</v>
      </c>
      <c r="X16" s="50">
        <v>26.3</v>
      </c>
      <c r="Y16" s="50">
        <v>26.3</v>
      </c>
      <c r="Z16" s="50">
        <v>26.3</v>
      </c>
      <c r="AA16" s="50">
        <v>26.3</v>
      </c>
      <c r="AB16" s="50">
        <v>26.3</v>
      </c>
      <c r="AC16" s="50">
        <v>26.3</v>
      </c>
      <c r="AD16" s="50">
        <v>26.3</v>
      </c>
      <c r="AE16" s="50">
        <v>26.3</v>
      </c>
      <c r="AF16" s="50">
        <v>26.3</v>
      </c>
      <c r="AG16" s="134">
        <v>25</v>
      </c>
      <c r="AH16" s="54">
        <f t="shared" si="2"/>
        <v>26.3</v>
      </c>
      <c r="AI16" s="55">
        <f t="shared" si="3"/>
        <v>26.3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25</v>
      </c>
      <c r="D18" s="50">
        <v>25</v>
      </c>
      <c r="E18" s="50">
        <v>25</v>
      </c>
      <c r="F18" s="50">
        <v>25</v>
      </c>
      <c r="G18" s="50">
        <v>25</v>
      </c>
      <c r="H18" s="50">
        <v>25</v>
      </c>
      <c r="I18" s="50">
        <v>25</v>
      </c>
      <c r="J18" s="50">
        <v>25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134">
        <v>25</v>
      </c>
      <c r="AH18" s="54">
        <f t="shared" si="2"/>
        <v>25</v>
      </c>
      <c r="AI18" s="55">
        <f t="shared" si="3"/>
        <v>0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24</v>
      </c>
      <c r="C19" s="50">
        <v>24</v>
      </c>
      <c r="D19" s="50">
        <v>24</v>
      </c>
      <c r="E19" s="50">
        <v>24</v>
      </c>
      <c r="F19" s="50">
        <v>32.9</v>
      </c>
      <c r="G19" s="50">
        <v>32.9</v>
      </c>
      <c r="H19" s="50">
        <v>32.9</v>
      </c>
      <c r="I19" s="50">
        <v>32.9</v>
      </c>
      <c r="J19" s="50">
        <v>32.9</v>
      </c>
      <c r="K19" s="50">
        <v>32.9</v>
      </c>
      <c r="L19" s="50">
        <v>32.9</v>
      </c>
      <c r="M19" s="50">
        <v>32.9</v>
      </c>
      <c r="N19" s="50">
        <v>32.9</v>
      </c>
      <c r="O19" s="50">
        <v>32.9</v>
      </c>
      <c r="P19" s="50">
        <v>32.9</v>
      </c>
      <c r="Q19" s="50">
        <v>32.9</v>
      </c>
      <c r="R19" s="50">
        <v>32.9</v>
      </c>
      <c r="S19" s="50">
        <v>25.8</v>
      </c>
      <c r="T19" s="50">
        <v>25.8</v>
      </c>
      <c r="U19" s="50">
        <v>25.8</v>
      </c>
      <c r="V19" s="50">
        <v>25.8</v>
      </c>
      <c r="W19" s="50">
        <v>25.8</v>
      </c>
      <c r="X19" s="50">
        <v>25.8</v>
      </c>
      <c r="Y19" s="50">
        <v>25.8</v>
      </c>
      <c r="Z19" s="50">
        <v>32.9</v>
      </c>
      <c r="AA19" s="50">
        <v>32.9</v>
      </c>
      <c r="AB19" s="50">
        <v>32.9</v>
      </c>
      <c r="AC19" s="50">
        <v>32.9</v>
      </c>
      <c r="AD19" s="50">
        <v>32.9</v>
      </c>
      <c r="AE19" s="50">
        <v>33</v>
      </c>
      <c r="AF19" s="50">
        <v>33</v>
      </c>
      <c r="AG19" s="134">
        <v>24.2</v>
      </c>
      <c r="AH19" s="54">
        <f t="shared" si="2"/>
        <v>33</v>
      </c>
      <c r="AI19" s="55">
        <f t="shared" si="3"/>
        <v>24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23</v>
      </c>
      <c r="C20" s="50">
        <v>23</v>
      </c>
      <c r="D20" s="50">
        <v>23</v>
      </c>
      <c r="E20" s="50">
        <v>23</v>
      </c>
      <c r="F20" s="50">
        <v>23</v>
      </c>
      <c r="G20" s="50">
        <v>23</v>
      </c>
      <c r="H20" s="50">
        <v>23</v>
      </c>
      <c r="I20" s="50">
        <v>23</v>
      </c>
      <c r="J20" s="50">
        <v>23</v>
      </c>
      <c r="K20" s="50">
        <v>23</v>
      </c>
      <c r="L20" s="50">
        <v>23</v>
      </c>
      <c r="M20" s="50">
        <v>23</v>
      </c>
      <c r="N20" s="50">
        <v>23</v>
      </c>
      <c r="O20" s="50">
        <v>23</v>
      </c>
      <c r="P20" s="50">
        <v>23</v>
      </c>
      <c r="Q20" s="50">
        <v>23</v>
      </c>
      <c r="R20" s="50">
        <v>23</v>
      </c>
      <c r="S20" s="50">
        <v>23</v>
      </c>
      <c r="T20" s="50">
        <v>23</v>
      </c>
      <c r="U20" s="50">
        <v>23</v>
      </c>
      <c r="V20" s="50">
        <v>23</v>
      </c>
      <c r="W20" s="50">
        <v>23</v>
      </c>
      <c r="X20" s="50">
        <v>23</v>
      </c>
      <c r="Y20" s="50">
        <v>23</v>
      </c>
      <c r="Z20" s="50">
        <v>23</v>
      </c>
      <c r="AA20" s="50">
        <v>23</v>
      </c>
      <c r="AB20" s="50">
        <v>23</v>
      </c>
      <c r="AC20" s="50">
        <v>23</v>
      </c>
      <c r="AD20" s="50">
        <v>23</v>
      </c>
      <c r="AE20" s="50">
        <v>23</v>
      </c>
      <c r="AF20" s="50">
        <v>23</v>
      </c>
      <c r="AG20" s="134">
        <v>23.5</v>
      </c>
      <c r="AH20" s="54">
        <f t="shared" si="2"/>
        <v>23</v>
      </c>
      <c r="AI20" s="55">
        <f t="shared" si="3"/>
        <v>23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20.6</v>
      </c>
      <c r="C21" s="50">
        <v>20.6</v>
      </c>
      <c r="D21" s="50">
        <v>20.6</v>
      </c>
      <c r="E21" s="50">
        <v>20.6</v>
      </c>
      <c r="F21" s="50">
        <v>20.6</v>
      </c>
      <c r="G21" s="50">
        <v>20.6</v>
      </c>
      <c r="H21" s="50">
        <v>20.6</v>
      </c>
      <c r="I21" s="50">
        <v>20.6</v>
      </c>
      <c r="J21" s="50">
        <v>20.6</v>
      </c>
      <c r="K21" s="50">
        <v>20.6</v>
      </c>
      <c r="L21" s="50">
        <v>20.6</v>
      </c>
      <c r="M21" s="50">
        <v>20.6</v>
      </c>
      <c r="N21" s="50">
        <v>20.6</v>
      </c>
      <c r="O21" s="50">
        <v>20.6</v>
      </c>
      <c r="P21" s="50">
        <v>20.6</v>
      </c>
      <c r="Q21" s="50">
        <v>20.6</v>
      </c>
      <c r="R21" s="50">
        <v>20.6</v>
      </c>
      <c r="S21" s="50">
        <v>20.6</v>
      </c>
      <c r="T21" s="50">
        <v>20.6</v>
      </c>
      <c r="U21" s="50">
        <v>0</v>
      </c>
      <c r="V21" s="50">
        <v>0</v>
      </c>
      <c r="W21" s="50">
        <v>0</v>
      </c>
      <c r="X21" s="50">
        <v>20.6</v>
      </c>
      <c r="Y21" s="50">
        <v>20.6</v>
      </c>
      <c r="Z21" s="50">
        <v>20.6</v>
      </c>
      <c r="AA21" s="50">
        <v>20.6</v>
      </c>
      <c r="AB21" s="50">
        <v>20.6</v>
      </c>
      <c r="AC21" s="50">
        <v>20.6</v>
      </c>
      <c r="AD21" s="50">
        <v>20.6</v>
      </c>
      <c r="AE21" s="50">
        <v>20.6</v>
      </c>
      <c r="AF21" s="50">
        <v>20.6</v>
      </c>
      <c r="AG21" s="134">
        <v>22.2</v>
      </c>
      <c r="AH21" s="54">
        <f t="shared" si="2"/>
        <v>20.6</v>
      </c>
      <c r="AI21" s="55">
        <f t="shared" si="3"/>
        <v>0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134">
        <v>22.1</v>
      </c>
      <c r="AH22" s="54">
        <f t="shared" si="2"/>
        <v>22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22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17</v>
      </c>
      <c r="AG24" s="134">
        <v>22</v>
      </c>
      <c r="AH24" s="54">
        <f t="shared" si="2"/>
        <v>22</v>
      </c>
      <c r="AI24" s="55">
        <f t="shared" si="3"/>
        <v>17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0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5</v>
      </c>
      <c r="P25" s="50">
        <v>10</v>
      </c>
      <c r="Q25" s="50">
        <v>5</v>
      </c>
      <c r="R25" s="50">
        <v>5</v>
      </c>
      <c r="S25" s="50">
        <v>5</v>
      </c>
      <c r="T25" s="50">
        <v>5</v>
      </c>
      <c r="U25" s="50">
        <v>5</v>
      </c>
      <c r="V25" s="50">
        <v>5</v>
      </c>
      <c r="W25" s="50">
        <v>5</v>
      </c>
      <c r="X25" s="50">
        <v>5</v>
      </c>
      <c r="Y25" s="50">
        <v>5</v>
      </c>
      <c r="Z25" s="50">
        <v>10</v>
      </c>
      <c r="AA25" s="50">
        <v>10</v>
      </c>
      <c r="AB25" s="50">
        <v>10</v>
      </c>
      <c r="AC25" s="50">
        <v>10</v>
      </c>
      <c r="AD25" s="50">
        <v>10</v>
      </c>
      <c r="AE25" s="50">
        <v>10</v>
      </c>
      <c r="AF25" s="50">
        <v>10</v>
      </c>
      <c r="AG25" s="134">
        <v>20</v>
      </c>
      <c r="AH25" s="54">
        <f t="shared" si="2"/>
        <v>10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14</v>
      </c>
      <c r="C26" s="50">
        <v>14</v>
      </c>
      <c r="D26" s="50">
        <v>14</v>
      </c>
      <c r="E26" s="50">
        <v>14</v>
      </c>
      <c r="F26" s="50">
        <v>14</v>
      </c>
      <c r="G26" s="50">
        <v>14</v>
      </c>
      <c r="H26" s="50">
        <v>14</v>
      </c>
      <c r="I26" s="50">
        <v>14</v>
      </c>
      <c r="J26" s="50">
        <v>14</v>
      </c>
      <c r="K26" s="50">
        <v>14</v>
      </c>
      <c r="L26" s="50">
        <v>14</v>
      </c>
      <c r="M26" s="50">
        <v>14</v>
      </c>
      <c r="N26" s="50">
        <v>14</v>
      </c>
      <c r="O26" s="50">
        <v>14</v>
      </c>
      <c r="P26" s="50">
        <v>14</v>
      </c>
      <c r="Q26" s="50">
        <v>14</v>
      </c>
      <c r="R26" s="50">
        <v>14</v>
      </c>
      <c r="S26" s="50">
        <v>14</v>
      </c>
      <c r="T26" s="50">
        <v>14</v>
      </c>
      <c r="U26" s="50">
        <v>14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14</v>
      </c>
      <c r="AC26" s="50">
        <v>14</v>
      </c>
      <c r="AD26" s="50">
        <v>14</v>
      </c>
      <c r="AE26" s="50">
        <v>14</v>
      </c>
      <c r="AF26" s="50">
        <v>14</v>
      </c>
      <c r="AG26" s="134">
        <v>14.9</v>
      </c>
      <c r="AH26" s="54">
        <f t="shared" si="2"/>
        <v>14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13</v>
      </c>
      <c r="C27" s="50">
        <v>13</v>
      </c>
      <c r="D27" s="50">
        <v>13</v>
      </c>
      <c r="E27" s="50">
        <v>13</v>
      </c>
      <c r="F27" s="50">
        <v>13</v>
      </c>
      <c r="G27" s="50">
        <v>13</v>
      </c>
      <c r="H27" s="50">
        <v>13</v>
      </c>
      <c r="I27" s="50">
        <v>13</v>
      </c>
      <c r="J27" s="50">
        <v>13</v>
      </c>
      <c r="K27" s="50">
        <v>13</v>
      </c>
      <c r="L27" s="50">
        <v>13</v>
      </c>
      <c r="M27" s="50">
        <v>13</v>
      </c>
      <c r="N27" s="50">
        <v>13</v>
      </c>
      <c r="O27" s="50">
        <v>13</v>
      </c>
      <c r="P27" s="50">
        <v>13</v>
      </c>
      <c r="Q27" s="50">
        <v>13</v>
      </c>
      <c r="R27" s="50">
        <v>13</v>
      </c>
      <c r="S27" s="50">
        <v>13</v>
      </c>
      <c r="T27" s="50">
        <v>13</v>
      </c>
      <c r="U27" s="50">
        <v>13</v>
      </c>
      <c r="V27" s="50">
        <v>13</v>
      </c>
      <c r="W27" s="50">
        <v>13</v>
      </c>
      <c r="X27" s="50">
        <v>13</v>
      </c>
      <c r="Y27" s="50">
        <v>13</v>
      </c>
      <c r="Z27" s="50">
        <v>13</v>
      </c>
      <c r="AA27" s="50">
        <v>13</v>
      </c>
      <c r="AB27" s="50">
        <v>13</v>
      </c>
      <c r="AC27" s="50">
        <v>13</v>
      </c>
      <c r="AD27" s="50">
        <v>13</v>
      </c>
      <c r="AE27" s="50">
        <v>13</v>
      </c>
      <c r="AF27" s="50">
        <v>13</v>
      </c>
      <c r="AG27" s="134">
        <v>13.6</v>
      </c>
      <c r="AH27" s="54">
        <f t="shared" si="2"/>
        <v>13</v>
      </c>
      <c r="AI27" s="55">
        <f t="shared" si="3"/>
        <v>13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13</v>
      </c>
      <c r="C28" s="50">
        <v>13</v>
      </c>
      <c r="D28" s="50">
        <v>13</v>
      </c>
      <c r="E28" s="50">
        <v>13</v>
      </c>
      <c r="F28" s="50">
        <v>13</v>
      </c>
      <c r="G28" s="50">
        <v>13</v>
      </c>
      <c r="H28" s="50">
        <v>13</v>
      </c>
      <c r="I28" s="50">
        <v>13</v>
      </c>
      <c r="J28" s="50">
        <v>13</v>
      </c>
      <c r="K28" s="50">
        <v>13</v>
      </c>
      <c r="L28" s="50">
        <v>13</v>
      </c>
      <c r="M28" s="50">
        <v>13</v>
      </c>
      <c r="N28" s="50">
        <v>13</v>
      </c>
      <c r="O28" s="50">
        <v>13</v>
      </c>
      <c r="P28" s="50">
        <v>13</v>
      </c>
      <c r="Q28" s="50">
        <v>13</v>
      </c>
      <c r="R28" s="50">
        <v>13</v>
      </c>
      <c r="S28" s="50">
        <v>13</v>
      </c>
      <c r="T28" s="50">
        <v>13</v>
      </c>
      <c r="U28" s="50">
        <v>13</v>
      </c>
      <c r="V28" s="50">
        <v>13</v>
      </c>
      <c r="W28" s="50">
        <v>13</v>
      </c>
      <c r="X28" s="50">
        <v>13</v>
      </c>
      <c r="Y28" s="50">
        <v>13</v>
      </c>
      <c r="Z28" s="50">
        <v>13</v>
      </c>
      <c r="AA28" s="50">
        <v>13</v>
      </c>
      <c r="AB28" s="50">
        <v>13</v>
      </c>
      <c r="AC28" s="50">
        <v>13</v>
      </c>
      <c r="AD28" s="50">
        <v>13</v>
      </c>
      <c r="AE28" s="50">
        <v>13</v>
      </c>
      <c r="AF28" s="50">
        <v>13</v>
      </c>
      <c r="AG28" s="134">
        <v>13</v>
      </c>
      <c r="AH28" s="54">
        <f t="shared" si="2"/>
        <v>13</v>
      </c>
      <c r="AI28" s="55">
        <f t="shared" si="3"/>
        <v>13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12</v>
      </c>
      <c r="C29" s="50">
        <v>12</v>
      </c>
      <c r="D29" s="50">
        <v>12</v>
      </c>
      <c r="E29" s="50">
        <v>12</v>
      </c>
      <c r="F29" s="50">
        <v>12</v>
      </c>
      <c r="G29" s="50">
        <v>12</v>
      </c>
      <c r="H29" s="50">
        <v>12</v>
      </c>
      <c r="I29" s="50">
        <v>12</v>
      </c>
      <c r="J29" s="50">
        <v>12</v>
      </c>
      <c r="K29" s="50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134">
        <v>12</v>
      </c>
      <c r="AH29" s="54">
        <f t="shared" si="2"/>
        <v>12</v>
      </c>
      <c r="AI29" s="55">
        <f t="shared" si="3"/>
        <v>12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8</v>
      </c>
      <c r="C30" s="50">
        <v>8</v>
      </c>
      <c r="D30" s="50">
        <v>8</v>
      </c>
      <c r="E30" s="50">
        <v>8</v>
      </c>
      <c r="F30" s="50">
        <v>8</v>
      </c>
      <c r="G30" s="50">
        <v>8</v>
      </c>
      <c r="H30" s="50">
        <v>8</v>
      </c>
      <c r="I30" s="50">
        <v>8</v>
      </c>
      <c r="J30" s="50">
        <v>8</v>
      </c>
      <c r="K30" s="50">
        <v>8</v>
      </c>
      <c r="L30" s="50">
        <v>8</v>
      </c>
      <c r="M30" s="50">
        <v>7</v>
      </c>
      <c r="N30" s="50">
        <v>7</v>
      </c>
      <c r="O30" s="50">
        <v>7</v>
      </c>
      <c r="P30" s="50">
        <v>7</v>
      </c>
      <c r="Q30" s="50">
        <v>7</v>
      </c>
      <c r="R30" s="50">
        <v>7</v>
      </c>
      <c r="S30" s="50">
        <v>7</v>
      </c>
      <c r="T30" s="50">
        <v>7</v>
      </c>
      <c r="U30" s="50">
        <v>7</v>
      </c>
      <c r="V30" s="50">
        <v>7</v>
      </c>
      <c r="W30" s="50">
        <v>7</v>
      </c>
      <c r="X30" s="50">
        <v>7</v>
      </c>
      <c r="Y30" s="50">
        <v>7</v>
      </c>
      <c r="Z30" s="50">
        <v>7</v>
      </c>
      <c r="AA30" s="50">
        <v>7</v>
      </c>
      <c r="AB30" s="50">
        <v>7</v>
      </c>
      <c r="AC30" s="50">
        <v>7</v>
      </c>
      <c r="AD30" s="50">
        <v>7</v>
      </c>
      <c r="AE30" s="50">
        <v>7</v>
      </c>
      <c r="AF30" s="50">
        <v>7</v>
      </c>
      <c r="AG30" s="134">
        <v>12</v>
      </c>
      <c r="AH30" s="54">
        <f t="shared" si="2"/>
        <v>8</v>
      </c>
      <c r="AI30" s="55">
        <f t="shared" si="3"/>
        <v>7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9</v>
      </c>
      <c r="C31" s="50">
        <v>9</v>
      </c>
      <c r="D31" s="50">
        <v>9</v>
      </c>
      <c r="E31" s="50">
        <v>9</v>
      </c>
      <c r="F31" s="50">
        <v>9</v>
      </c>
      <c r="G31" s="50">
        <v>9</v>
      </c>
      <c r="H31" s="50">
        <v>9</v>
      </c>
      <c r="I31" s="50">
        <v>9</v>
      </c>
      <c r="J31" s="50">
        <v>9</v>
      </c>
      <c r="K31" s="50">
        <v>9</v>
      </c>
      <c r="L31" s="50">
        <v>9</v>
      </c>
      <c r="M31" s="50">
        <v>9</v>
      </c>
      <c r="N31" s="50">
        <v>9</v>
      </c>
      <c r="O31" s="50">
        <v>9</v>
      </c>
      <c r="P31" s="50">
        <v>9</v>
      </c>
      <c r="Q31" s="50">
        <v>9</v>
      </c>
      <c r="R31" s="50">
        <v>9</v>
      </c>
      <c r="S31" s="50">
        <v>9</v>
      </c>
      <c r="T31" s="50">
        <v>9</v>
      </c>
      <c r="U31" s="50">
        <v>9</v>
      </c>
      <c r="V31" s="50">
        <v>9</v>
      </c>
      <c r="W31" s="50">
        <v>9</v>
      </c>
      <c r="X31" s="50">
        <v>9</v>
      </c>
      <c r="Y31" s="50">
        <v>9</v>
      </c>
      <c r="Z31" s="50">
        <v>9</v>
      </c>
      <c r="AA31" s="50">
        <v>9</v>
      </c>
      <c r="AB31" s="50">
        <v>9</v>
      </c>
      <c r="AC31" s="50">
        <v>9</v>
      </c>
      <c r="AD31" s="50">
        <v>9</v>
      </c>
      <c r="AE31" s="50">
        <v>9</v>
      </c>
      <c r="AF31" s="50">
        <v>9</v>
      </c>
      <c r="AG31" s="178">
        <v>22</v>
      </c>
      <c r="AH31" s="54">
        <f>MAX(B31:AF31)</f>
        <v>9</v>
      </c>
      <c r="AI31" s="55">
        <f>MIN(B31:AF31)</f>
        <v>9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5</v>
      </c>
      <c r="C32" s="50">
        <v>5</v>
      </c>
      <c r="D32" s="50">
        <v>5</v>
      </c>
      <c r="E32" s="50">
        <v>5</v>
      </c>
      <c r="F32" s="50">
        <v>5</v>
      </c>
      <c r="G32" s="50">
        <v>5</v>
      </c>
      <c r="H32" s="50">
        <v>5</v>
      </c>
      <c r="I32" s="50">
        <v>5</v>
      </c>
      <c r="J32" s="50">
        <v>5</v>
      </c>
      <c r="K32" s="50">
        <v>5</v>
      </c>
      <c r="L32" s="50">
        <v>5</v>
      </c>
      <c r="M32" s="50">
        <v>5</v>
      </c>
      <c r="N32" s="50">
        <v>5</v>
      </c>
      <c r="O32" s="50">
        <v>5</v>
      </c>
      <c r="P32" s="50">
        <v>5</v>
      </c>
      <c r="Q32" s="50">
        <v>5</v>
      </c>
      <c r="R32" s="50">
        <v>5</v>
      </c>
      <c r="S32" s="50">
        <v>5</v>
      </c>
      <c r="T32" s="50">
        <v>5</v>
      </c>
      <c r="U32" s="50">
        <v>5</v>
      </c>
      <c r="V32" s="50">
        <v>5</v>
      </c>
      <c r="W32" s="50">
        <v>5</v>
      </c>
      <c r="X32" s="50">
        <v>5</v>
      </c>
      <c r="Y32" s="50">
        <v>5</v>
      </c>
      <c r="Z32" s="50">
        <v>5</v>
      </c>
      <c r="AA32" s="50">
        <v>5</v>
      </c>
      <c r="AB32" s="50">
        <v>5</v>
      </c>
      <c r="AC32" s="50">
        <v>5</v>
      </c>
      <c r="AD32" s="50">
        <v>5</v>
      </c>
      <c r="AE32" s="50">
        <v>5</v>
      </c>
      <c r="AF32" s="50">
        <v>5</v>
      </c>
      <c r="AG32" s="135">
        <v>11.88</v>
      </c>
      <c r="AH32" s="54">
        <f t="shared" si="2"/>
        <v>5</v>
      </c>
      <c r="AI32" s="55">
        <f t="shared" si="3"/>
        <v>5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11</v>
      </c>
      <c r="D33" s="50">
        <v>11</v>
      </c>
      <c r="E33" s="50">
        <v>11</v>
      </c>
      <c r="F33" s="50">
        <v>11</v>
      </c>
      <c r="G33" s="50">
        <v>11</v>
      </c>
      <c r="H33" s="50">
        <v>11</v>
      </c>
      <c r="I33" s="50">
        <v>11</v>
      </c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136">
        <v>11</v>
      </c>
      <c r="AH33" s="54">
        <f t="shared" si="2"/>
        <v>11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9</v>
      </c>
      <c r="C34" s="50">
        <v>9</v>
      </c>
      <c r="D34" s="50">
        <v>9</v>
      </c>
      <c r="E34" s="50">
        <v>9</v>
      </c>
      <c r="F34" s="50">
        <v>9</v>
      </c>
      <c r="G34" s="50">
        <v>9</v>
      </c>
      <c r="H34" s="50">
        <v>9</v>
      </c>
      <c r="I34" s="50">
        <v>9</v>
      </c>
      <c r="J34" s="50">
        <v>9</v>
      </c>
      <c r="K34" s="50">
        <v>9</v>
      </c>
      <c r="L34" s="50">
        <v>9</v>
      </c>
      <c r="M34" s="50">
        <v>9</v>
      </c>
      <c r="N34" s="50">
        <v>9</v>
      </c>
      <c r="O34" s="50">
        <v>9</v>
      </c>
      <c r="P34" s="50">
        <v>9</v>
      </c>
      <c r="Q34" s="50">
        <v>9</v>
      </c>
      <c r="R34" s="50">
        <v>9</v>
      </c>
      <c r="S34" s="50">
        <v>9</v>
      </c>
      <c r="T34" s="50">
        <v>9</v>
      </c>
      <c r="U34" s="50">
        <v>9</v>
      </c>
      <c r="V34" s="50">
        <v>9</v>
      </c>
      <c r="W34" s="50">
        <v>9</v>
      </c>
      <c r="X34" s="50">
        <v>9</v>
      </c>
      <c r="Y34" s="50">
        <v>9</v>
      </c>
      <c r="Z34" s="50">
        <v>9</v>
      </c>
      <c r="AA34" s="50">
        <v>9</v>
      </c>
      <c r="AB34" s="50">
        <v>9</v>
      </c>
      <c r="AC34" s="50">
        <v>9</v>
      </c>
      <c r="AD34" s="50">
        <v>9</v>
      </c>
      <c r="AE34" s="50">
        <v>9</v>
      </c>
      <c r="AF34" s="50">
        <v>9</v>
      </c>
      <c r="AG34" s="136">
        <v>10</v>
      </c>
      <c r="AH34" s="54">
        <f t="shared" si="2"/>
        <v>9</v>
      </c>
      <c r="AI34" s="55">
        <f t="shared" si="3"/>
        <v>9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8</v>
      </c>
      <c r="N35" s="50">
        <v>8</v>
      </c>
      <c r="O35" s="50">
        <v>8</v>
      </c>
      <c r="P35" s="50">
        <v>8</v>
      </c>
      <c r="Q35" s="50">
        <v>8</v>
      </c>
      <c r="R35" s="50">
        <v>8</v>
      </c>
      <c r="S35" s="50">
        <v>8</v>
      </c>
      <c r="T35" s="50">
        <v>8</v>
      </c>
      <c r="U35" s="50">
        <v>8</v>
      </c>
      <c r="V35" s="50">
        <v>8</v>
      </c>
      <c r="W35" s="50">
        <v>8</v>
      </c>
      <c r="X35" s="50">
        <v>8</v>
      </c>
      <c r="Y35" s="50">
        <v>8</v>
      </c>
      <c r="Z35" s="50">
        <v>8</v>
      </c>
      <c r="AA35" s="50">
        <v>8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136">
        <v>10</v>
      </c>
      <c r="AH35" s="54">
        <f t="shared" si="2"/>
        <v>8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303</v>
      </c>
      <c r="C36" s="62">
        <v>302</v>
      </c>
      <c r="D36" s="62">
        <v>302</v>
      </c>
      <c r="E36" s="62">
        <v>302</v>
      </c>
      <c r="F36" s="62">
        <v>302</v>
      </c>
      <c r="G36" s="62">
        <v>302</v>
      </c>
      <c r="H36" s="62">
        <v>302</v>
      </c>
      <c r="I36" s="62">
        <v>302</v>
      </c>
      <c r="J36" s="62">
        <v>302</v>
      </c>
      <c r="K36" s="62">
        <v>302</v>
      </c>
      <c r="L36" s="62">
        <v>302</v>
      </c>
      <c r="M36" s="62">
        <v>302</v>
      </c>
      <c r="N36" s="62">
        <v>302</v>
      </c>
      <c r="O36" s="62">
        <v>302</v>
      </c>
      <c r="P36" s="62">
        <v>302</v>
      </c>
      <c r="Q36" s="62">
        <v>302</v>
      </c>
      <c r="R36" s="62">
        <v>302</v>
      </c>
      <c r="S36" s="62">
        <v>302</v>
      </c>
      <c r="T36" s="62">
        <v>302</v>
      </c>
      <c r="U36" s="62">
        <v>302</v>
      </c>
      <c r="V36" s="62">
        <v>302</v>
      </c>
      <c r="W36" s="62">
        <v>302</v>
      </c>
      <c r="X36" s="62">
        <v>302</v>
      </c>
      <c r="Y36" s="62">
        <v>302</v>
      </c>
      <c r="Z36" s="62">
        <v>302</v>
      </c>
      <c r="AA36" s="62">
        <v>302</v>
      </c>
      <c r="AB36" s="62">
        <v>302</v>
      </c>
      <c r="AC36" s="62">
        <v>302</v>
      </c>
      <c r="AD36" s="62">
        <v>302</v>
      </c>
      <c r="AE36" s="62">
        <v>302</v>
      </c>
      <c r="AF36" s="62">
        <v>302</v>
      </c>
      <c r="AG36" s="136">
        <v>85</v>
      </c>
      <c r="AH36" s="54">
        <f t="shared" si="2"/>
        <v>303</v>
      </c>
      <c r="AI36" s="55">
        <f t="shared" si="3"/>
        <v>302</v>
      </c>
      <c r="AK36" s="56"/>
    </row>
    <row r="37" spans="1:88" ht="15.75" thickBot="1" x14ac:dyDescent="0.3">
      <c r="A37" s="63" t="s">
        <v>21</v>
      </c>
      <c r="B37" s="64">
        <v>170</v>
      </c>
      <c r="C37" s="64">
        <v>171</v>
      </c>
      <c r="D37" s="64">
        <v>171</v>
      </c>
      <c r="E37" s="64">
        <v>171</v>
      </c>
      <c r="F37" s="64">
        <f>72.5+98.4</f>
        <v>170.9</v>
      </c>
      <c r="G37" s="64">
        <f>70.8+98.3</f>
        <v>169.1</v>
      </c>
      <c r="H37" s="64">
        <f t="shared" ref="H37:L37" si="4">70.8+98.3</f>
        <v>169.1</v>
      </c>
      <c r="I37" s="64">
        <f t="shared" si="4"/>
        <v>169.1</v>
      </c>
      <c r="J37" s="64">
        <f t="shared" si="4"/>
        <v>169.1</v>
      </c>
      <c r="K37" s="64">
        <f t="shared" si="4"/>
        <v>169.1</v>
      </c>
      <c r="L37" s="64">
        <f t="shared" si="4"/>
        <v>169.1</v>
      </c>
      <c r="M37" s="62">
        <f>52.8+95.4</f>
        <v>148.19999999999999</v>
      </c>
      <c r="N37" s="62">
        <f>52+97.5</f>
        <v>149.5</v>
      </c>
      <c r="O37" s="62">
        <f>69.4+97.9</f>
        <v>167.3</v>
      </c>
      <c r="P37" s="62">
        <f>64.3+99.3</f>
        <v>163.6</v>
      </c>
      <c r="Q37" s="62">
        <f>65.5+100</f>
        <v>165.5</v>
      </c>
      <c r="R37" s="62">
        <f>57.8+97</f>
        <v>154.80000000000001</v>
      </c>
      <c r="S37" s="62">
        <f>57.8+97</f>
        <v>154.80000000000001</v>
      </c>
      <c r="T37" s="62">
        <f t="shared" ref="T37:W37" si="5">57.8+97</f>
        <v>154.80000000000001</v>
      </c>
      <c r="U37" s="62">
        <f t="shared" si="5"/>
        <v>154.80000000000001</v>
      </c>
      <c r="V37" s="62">
        <f t="shared" si="5"/>
        <v>154.80000000000001</v>
      </c>
      <c r="W37" s="62">
        <f t="shared" si="5"/>
        <v>154.80000000000001</v>
      </c>
      <c r="X37" s="62">
        <v>164</v>
      </c>
      <c r="Y37" s="62">
        <v>164</v>
      </c>
      <c r="Z37" s="62">
        <v>161</v>
      </c>
      <c r="AA37" s="62">
        <v>161</v>
      </c>
      <c r="AB37" s="62">
        <f>96.9+70.5</f>
        <v>167.4</v>
      </c>
      <c r="AC37" s="62">
        <f>97.5+67.1</f>
        <v>164.6</v>
      </c>
      <c r="AD37" s="62">
        <f>97.8+67.6</f>
        <v>165.39999999999998</v>
      </c>
      <c r="AE37" s="62">
        <f>98.9+68.7</f>
        <v>167.60000000000002</v>
      </c>
      <c r="AF37" s="62">
        <f>93.6+68.7</f>
        <v>162.30000000000001</v>
      </c>
      <c r="AG37" s="136">
        <v>240</v>
      </c>
      <c r="AH37" s="54">
        <f t="shared" si="2"/>
        <v>171</v>
      </c>
      <c r="AI37" s="55">
        <f t="shared" si="3"/>
        <v>148.19999999999999</v>
      </c>
      <c r="AK37" s="56"/>
    </row>
    <row r="38" spans="1:88" ht="15.75" thickBot="1" x14ac:dyDescent="0.3">
      <c r="A38" s="131" t="s">
        <v>22</v>
      </c>
      <c r="B38" s="66">
        <f t="shared" ref="B38:G38" si="6">SUM(B11:B36)</f>
        <v>782.90000000000009</v>
      </c>
      <c r="C38" s="66">
        <f t="shared" si="6"/>
        <v>781.90000000000009</v>
      </c>
      <c r="D38" s="66">
        <f t="shared" si="6"/>
        <v>781.90000000000009</v>
      </c>
      <c r="E38" s="66">
        <f t="shared" si="6"/>
        <v>781.90000000000009</v>
      </c>
      <c r="F38" s="66">
        <f t="shared" si="6"/>
        <v>791</v>
      </c>
      <c r="G38" s="66">
        <f t="shared" si="6"/>
        <v>791</v>
      </c>
      <c r="H38" s="66">
        <f t="shared" ref="H38:I38" si="7">SUM(H11:H36)</f>
        <v>791</v>
      </c>
      <c r="I38" s="66">
        <f t="shared" si="7"/>
        <v>791</v>
      </c>
      <c r="J38" s="66">
        <f t="shared" ref="J38:AG38" si="8">SUM(J11:J36)</f>
        <v>791</v>
      </c>
      <c r="K38" s="66">
        <f t="shared" si="8"/>
        <v>791</v>
      </c>
      <c r="L38" s="66">
        <f t="shared" si="8"/>
        <v>791</v>
      </c>
      <c r="M38" s="66">
        <f t="shared" si="8"/>
        <v>798</v>
      </c>
      <c r="N38" s="66">
        <f t="shared" si="8"/>
        <v>818</v>
      </c>
      <c r="O38" s="66">
        <f t="shared" si="8"/>
        <v>813</v>
      </c>
      <c r="P38" s="66">
        <f t="shared" si="8"/>
        <v>838</v>
      </c>
      <c r="Q38" s="66">
        <f t="shared" si="8"/>
        <v>823</v>
      </c>
      <c r="R38" s="66">
        <f t="shared" si="8"/>
        <v>823</v>
      </c>
      <c r="S38" s="66">
        <f t="shared" si="8"/>
        <v>815.90000000000009</v>
      </c>
      <c r="T38" s="66">
        <f t="shared" si="8"/>
        <v>815.90000000000009</v>
      </c>
      <c r="U38" s="66">
        <f t="shared" si="8"/>
        <v>805.3</v>
      </c>
      <c r="V38" s="66">
        <f t="shared" si="8"/>
        <v>791.3</v>
      </c>
      <c r="W38" s="66">
        <f t="shared" si="8"/>
        <v>791.3</v>
      </c>
      <c r="X38" s="66">
        <f t="shared" si="8"/>
        <v>791.90000000000009</v>
      </c>
      <c r="Y38" s="66">
        <f t="shared" si="8"/>
        <v>791.90000000000009</v>
      </c>
      <c r="Z38" s="66">
        <f t="shared" si="8"/>
        <v>824</v>
      </c>
      <c r="AA38" s="66">
        <f t="shared" si="8"/>
        <v>799</v>
      </c>
      <c r="AB38" s="66">
        <f t="shared" si="8"/>
        <v>793.5</v>
      </c>
      <c r="AC38" s="66">
        <f t="shared" si="8"/>
        <v>793.5</v>
      </c>
      <c r="AD38" s="66">
        <f t="shared" si="8"/>
        <v>793.5</v>
      </c>
      <c r="AE38" s="66">
        <f t="shared" si="8"/>
        <v>793.6</v>
      </c>
      <c r="AF38" s="66">
        <f t="shared" si="8"/>
        <v>788.6</v>
      </c>
      <c r="AG38" s="143">
        <f t="shared" si="8"/>
        <v>665.78</v>
      </c>
      <c r="AH38" s="54">
        <f t="shared" si="2"/>
        <v>838</v>
      </c>
      <c r="AI38" s="55">
        <f t="shared" si="3"/>
        <v>781.90000000000009</v>
      </c>
      <c r="AK38" s="56"/>
    </row>
    <row r="39" spans="1:88" x14ac:dyDescent="0.25">
      <c r="A39" s="159" t="s">
        <v>130</v>
      </c>
      <c r="B39" s="50">
        <v>456</v>
      </c>
      <c r="C39" s="50">
        <v>456</v>
      </c>
      <c r="D39" s="50">
        <v>456</v>
      </c>
      <c r="E39" s="50">
        <v>456</v>
      </c>
      <c r="F39" s="50">
        <v>380</v>
      </c>
      <c r="G39" s="50">
        <v>380</v>
      </c>
      <c r="H39" s="50">
        <v>380</v>
      </c>
      <c r="I39" s="50">
        <v>380</v>
      </c>
      <c r="J39" s="50">
        <v>456</v>
      </c>
      <c r="K39" s="50">
        <v>456</v>
      </c>
      <c r="L39" s="50">
        <v>456</v>
      </c>
      <c r="M39" s="50">
        <v>456</v>
      </c>
      <c r="N39" s="50">
        <v>456</v>
      </c>
      <c r="O39" s="50">
        <v>456</v>
      </c>
      <c r="P39" s="50">
        <v>456</v>
      </c>
      <c r="Q39" s="50">
        <v>456</v>
      </c>
      <c r="R39" s="50">
        <v>456</v>
      </c>
      <c r="S39" s="50">
        <v>456</v>
      </c>
      <c r="T39" s="50">
        <v>456</v>
      </c>
      <c r="U39" s="50">
        <v>380</v>
      </c>
      <c r="V39" s="50">
        <v>368</v>
      </c>
      <c r="W39" s="50">
        <v>456</v>
      </c>
      <c r="X39" s="50">
        <v>456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456</v>
      </c>
      <c r="AF39" s="50">
        <v>456</v>
      </c>
      <c r="AG39" s="135">
        <v>456</v>
      </c>
      <c r="AH39" s="54">
        <f t="shared" si="2"/>
        <v>456</v>
      </c>
      <c r="AI39" s="55">
        <f t="shared" si="3"/>
        <v>368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f>SUM(B39:B41)</f>
        <v>538</v>
      </c>
      <c r="C42" s="66">
        <f t="shared" ref="C42:AG42" si="9">SUM(C39:C41)</f>
        <v>538</v>
      </c>
      <c r="D42" s="66">
        <f t="shared" si="9"/>
        <v>538</v>
      </c>
      <c r="E42" s="66">
        <f t="shared" si="9"/>
        <v>538</v>
      </c>
      <c r="F42" s="66">
        <f t="shared" si="9"/>
        <v>462</v>
      </c>
      <c r="G42" s="66">
        <f t="shared" si="9"/>
        <v>462</v>
      </c>
      <c r="H42" s="66">
        <f t="shared" ref="H42:I42" si="10">SUM(H39:H41)</f>
        <v>462</v>
      </c>
      <c r="I42" s="66">
        <f t="shared" si="10"/>
        <v>462</v>
      </c>
      <c r="J42" s="66">
        <f t="shared" si="9"/>
        <v>538</v>
      </c>
      <c r="K42" s="66">
        <f t="shared" si="9"/>
        <v>538</v>
      </c>
      <c r="L42" s="66">
        <f t="shared" si="9"/>
        <v>538</v>
      </c>
      <c r="M42" s="66">
        <f t="shared" si="9"/>
        <v>538</v>
      </c>
      <c r="N42" s="66">
        <f t="shared" si="9"/>
        <v>538</v>
      </c>
      <c r="O42" s="66">
        <f t="shared" si="9"/>
        <v>538</v>
      </c>
      <c r="P42" s="66">
        <f t="shared" si="9"/>
        <v>538</v>
      </c>
      <c r="Q42" s="66">
        <f t="shared" si="9"/>
        <v>538</v>
      </c>
      <c r="R42" s="66">
        <f t="shared" si="9"/>
        <v>538</v>
      </c>
      <c r="S42" s="66">
        <f t="shared" si="9"/>
        <v>538</v>
      </c>
      <c r="T42" s="66">
        <f t="shared" si="9"/>
        <v>538</v>
      </c>
      <c r="U42" s="66">
        <f t="shared" si="9"/>
        <v>462</v>
      </c>
      <c r="V42" s="66">
        <f t="shared" si="9"/>
        <v>450</v>
      </c>
      <c r="W42" s="66">
        <f t="shared" si="9"/>
        <v>538</v>
      </c>
      <c r="X42" s="66">
        <f t="shared" si="9"/>
        <v>538</v>
      </c>
      <c r="Y42" s="66">
        <f t="shared" si="9"/>
        <v>538</v>
      </c>
      <c r="Z42" s="66">
        <f t="shared" si="9"/>
        <v>538</v>
      </c>
      <c r="AA42" s="66">
        <f t="shared" si="9"/>
        <v>538</v>
      </c>
      <c r="AB42" s="66">
        <f t="shared" si="9"/>
        <v>538</v>
      </c>
      <c r="AC42" s="66">
        <f t="shared" si="9"/>
        <v>538</v>
      </c>
      <c r="AD42" s="66">
        <f t="shared" si="9"/>
        <v>538</v>
      </c>
      <c r="AE42" s="66">
        <f t="shared" si="9"/>
        <v>538</v>
      </c>
      <c r="AF42" s="66">
        <f t="shared" si="9"/>
        <v>538</v>
      </c>
      <c r="AG42" s="143">
        <f t="shared" si="9"/>
        <v>538.1</v>
      </c>
      <c r="AH42" s="54">
        <f t="shared" si="2"/>
        <v>538</v>
      </c>
      <c r="AI42" s="55">
        <f t="shared" si="3"/>
        <v>450</v>
      </c>
      <c r="AK42" s="56"/>
    </row>
    <row r="43" spans="1:88" x14ac:dyDescent="0.25">
      <c r="A43" s="57" t="s">
        <v>23</v>
      </c>
      <c r="B43" s="50">
        <v>141</v>
      </c>
      <c r="C43" s="50">
        <v>142</v>
      </c>
      <c r="D43" s="50">
        <v>142</v>
      </c>
      <c r="E43" s="50">
        <v>142</v>
      </c>
      <c r="F43" s="50">
        <v>135</v>
      </c>
      <c r="G43" s="50">
        <v>135</v>
      </c>
      <c r="H43" s="50">
        <v>135</v>
      </c>
      <c r="I43" s="50">
        <v>135</v>
      </c>
      <c r="J43" s="50">
        <v>135</v>
      </c>
      <c r="K43" s="50">
        <v>135</v>
      </c>
      <c r="L43" s="50">
        <v>135</v>
      </c>
      <c r="M43" s="50">
        <v>142.1</v>
      </c>
      <c r="N43" s="50">
        <v>142.30000000000001</v>
      </c>
      <c r="O43" s="50">
        <v>72.400000000000006</v>
      </c>
      <c r="P43" s="50">
        <v>72.400000000000006</v>
      </c>
      <c r="Q43" s="50">
        <v>72.7</v>
      </c>
      <c r="R43" s="50">
        <v>96.9</v>
      </c>
      <c r="S43" s="50">
        <v>142</v>
      </c>
      <c r="T43" s="50">
        <v>142</v>
      </c>
      <c r="U43" s="50">
        <v>142</v>
      </c>
      <c r="V43" s="50">
        <v>142</v>
      </c>
      <c r="W43" s="50">
        <v>142</v>
      </c>
      <c r="X43" s="50">
        <v>142</v>
      </c>
      <c r="Y43" s="50">
        <v>142</v>
      </c>
      <c r="Z43" s="50">
        <v>142</v>
      </c>
      <c r="AA43" s="50">
        <v>142</v>
      </c>
      <c r="AB43" s="50">
        <v>142</v>
      </c>
      <c r="AC43" s="50">
        <v>142.19999999999999</v>
      </c>
      <c r="AD43" s="50">
        <v>142.19999999999999</v>
      </c>
      <c r="AE43" s="50">
        <v>142.80000000000001</v>
      </c>
      <c r="AF43" s="50">
        <v>142.9</v>
      </c>
      <c r="AG43" s="135">
        <v>144</v>
      </c>
      <c r="AH43" s="54">
        <f t="shared" si="2"/>
        <v>142.9</v>
      </c>
      <c r="AI43" s="55">
        <f t="shared" si="3"/>
        <v>72.400000000000006</v>
      </c>
      <c r="AK43" s="56"/>
    </row>
    <row r="44" spans="1:88" x14ac:dyDescent="0.25">
      <c r="A44" s="60" t="s">
        <v>24</v>
      </c>
      <c r="B44" s="48">
        <v>68.900000000000006</v>
      </c>
      <c r="C44" s="48">
        <v>69</v>
      </c>
      <c r="D44" s="48">
        <v>69</v>
      </c>
      <c r="E44" s="48">
        <v>69</v>
      </c>
      <c r="F44" s="48">
        <v>65.8</v>
      </c>
      <c r="G44" s="48">
        <v>65.8</v>
      </c>
      <c r="H44" s="48">
        <v>65.8</v>
      </c>
      <c r="I44" s="48">
        <v>65.8</v>
      </c>
      <c r="J44" s="48">
        <v>65.8</v>
      </c>
      <c r="K44" s="48">
        <v>65.8</v>
      </c>
      <c r="L44" s="48">
        <v>65.8</v>
      </c>
      <c r="M44" s="50">
        <v>71.900000000000006</v>
      </c>
      <c r="N44" s="50">
        <v>70.8</v>
      </c>
      <c r="O44" s="50">
        <v>71.2</v>
      </c>
      <c r="P44" s="50">
        <v>71.2</v>
      </c>
      <c r="Q44" s="50">
        <v>73.2</v>
      </c>
      <c r="R44" s="50">
        <v>71</v>
      </c>
      <c r="S44" s="50">
        <v>72</v>
      </c>
      <c r="T44" s="50">
        <v>72</v>
      </c>
      <c r="U44" s="50">
        <v>72</v>
      </c>
      <c r="V44" s="50">
        <v>72</v>
      </c>
      <c r="W44" s="50">
        <v>72</v>
      </c>
      <c r="X44" s="50">
        <v>72</v>
      </c>
      <c r="Y44" s="50">
        <v>72</v>
      </c>
      <c r="Z44" s="50">
        <v>72</v>
      </c>
      <c r="AA44" s="50">
        <v>72</v>
      </c>
      <c r="AB44" s="48">
        <v>70.5</v>
      </c>
      <c r="AC44" s="48">
        <v>70.7</v>
      </c>
      <c r="AD44" s="48">
        <v>71.099999999999994</v>
      </c>
      <c r="AE44" s="48">
        <v>72.599999999999994</v>
      </c>
      <c r="AF44" s="48">
        <v>69.900000000000006</v>
      </c>
      <c r="AG44" s="136">
        <v>70</v>
      </c>
      <c r="AH44" s="54">
        <f t="shared" si="2"/>
        <v>73.2</v>
      </c>
      <c r="AI44" s="55">
        <f t="shared" si="3"/>
        <v>65.8</v>
      </c>
      <c r="AK44" s="56"/>
    </row>
    <row r="45" spans="1:88" x14ac:dyDescent="0.25">
      <c r="A45" s="60" t="s">
        <v>25</v>
      </c>
      <c r="B45" s="48">
        <v>63.3</v>
      </c>
      <c r="C45" s="48">
        <v>63.2</v>
      </c>
      <c r="D45" s="48">
        <v>63.2</v>
      </c>
      <c r="E45" s="48">
        <v>63.2</v>
      </c>
      <c r="F45" s="48">
        <v>52.8</v>
      </c>
      <c r="G45" s="48">
        <v>52.8</v>
      </c>
      <c r="H45" s="48">
        <v>52.8</v>
      </c>
      <c r="I45" s="48">
        <v>52.8</v>
      </c>
      <c r="J45" s="48">
        <v>52.8</v>
      </c>
      <c r="K45" s="48">
        <v>52.8</v>
      </c>
      <c r="L45" s="48">
        <v>52.8</v>
      </c>
      <c r="M45" s="50">
        <v>62.8</v>
      </c>
      <c r="N45" s="50">
        <v>63</v>
      </c>
      <c r="O45" s="50">
        <v>62.3</v>
      </c>
      <c r="P45" s="50">
        <v>62.3</v>
      </c>
      <c r="Q45" s="50">
        <v>62.8</v>
      </c>
      <c r="R45" s="50">
        <v>63.2</v>
      </c>
      <c r="S45" s="50">
        <v>63</v>
      </c>
      <c r="T45" s="50">
        <v>63</v>
      </c>
      <c r="U45" s="50">
        <v>63</v>
      </c>
      <c r="V45" s="50">
        <v>63</v>
      </c>
      <c r="W45" s="50">
        <v>63</v>
      </c>
      <c r="X45" s="50">
        <v>63</v>
      </c>
      <c r="Y45" s="50">
        <v>63</v>
      </c>
      <c r="Z45" s="50">
        <v>63</v>
      </c>
      <c r="AA45" s="50">
        <v>63</v>
      </c>
      <c r="AB45" s="48">
        <v>62.8</v>
      </c>
      <c r="AC45" s="48">
        <v>62.5</v>
      </c>
      <c r="AD45" s="48">
        <v>63</v>
      </c>
      <c r="AE45" s="48">
        <v>63.3</v>
      </c>
      <c r="AF45" s="48">
        <v>62.9</v>
      </c>
      <c r="AG45" s="136">
        <v>69</v>
      </c>
      <c r="AH45" s="54">
        <f t="shared" si="2"/>
        <v>63.3</v>
      </c>
      <c r="AI45" s="55">
        <f t="shared" si="3"/>
        <v>52.8</v>
      </c>
      <c r="AK45" s="56"/>
    </row>
    <row r="46" spans="1:88" x14ac:dyDescent="0.25">
      <c r="A46" s="60" t="s">
        <v>26</v>
      </c>
      <c r="B46" s="62">
        <v>60</v>
      </c>
      <c r="C46" s="62">
        <v>60</v>
      </c>
      <c r="D46" s="62">
        <v>60</v>
      </c>
      <c r="E46" s="62">
        <v>60</v>
      </c>
      <c r="F46" s="62">
        <v>60</v>
      </c>
      <c r="G46" s="62">
        <v>60</v>
      </c>
      <c r="H46" s="62">
        <v>60</v>
      </c>
      <c r="I46" s="62">
        <v>60</v>
      </c>
      <c r="J46" s="62">
        <v>60</v>
      </c>
      <c r="K46" s="62">
        <v>60</v>
      </c>
      <c r="L46" s="62">
        <v>60</v>
      </c>
      <c r="M46" s="50">
        <v>60</v>
      </c>
      <c r="N46" s="50">
        <v>60</v>
      </c>
      <c r="O46" s="50">
        <v>60</v>
      </c>
      <c r="P46" s="50">
        <v>60</v>
      </c>
      <c r="Q46" s="50">
        <v>60</v>
      </c>
      <c r="R46" s="50">
        <v>61.4</v>
      </c>
      <c r="S46" s="50">
        <v>0</v>
      </c>
      <c r="T46" s="50">
        <v>0</v>
      </c>
      <c r="U46" s="50">
        <v>0</v>
      </c>
      <c r="V46" s="50">
        <v>60</v>
      </c>
      <c r="W46" s="50">
        <v>60</v>
      </c>
      <c r="X46" s="50">
        <v>60</v>
      </c>
      <c r="Y46" s="50">
        <v>60</v>
      </c>
      <c r="Z46" s="50">
        <v>60</v>
      </c>
      <c r="AA46" s="50">
        <v>60</v>
      </c>
      <c r="AB46" s="62">
        <v>60</v>
      </c>
      <c r="AC46" s="62">
        <v>60</v>
      </c>
      <c r="AD46" s="62">
        <v>60</v>
      </c>
      <c r="AE46" s="62">
        <v>60</v>
      </c>
      <c r="AF46" s="62">
        <v>60</v>
      </c>
      <c r="AG46" s="136">
        <v>60</v>
      </c>
      <c r="AH46" s="54">
        <f t="shared" si="2"/>
        <v>61.4</v>
      </c>
      <c r="AI46" s="55">
        <f t="shared" si="3"/>
        <v>0</v>
      </c>
      <c r="AK46" s="56"/>
    </row>
    <row r="47" spans="1:88" x14ac:dyDescent="0.25">
      <c r="A47" s="60" t="s">
        <v>27</v>
      </c>
      <c r="B47" s="62">
        <v>29</v>
      </c>
      <c r="C47" s="62">
        <v>29</v>
      </c>
      <c r="D47" s="62">
        <v>29</v>
      </c>
      <c r="E47" s="62">
        <v>29</v>
      </c>
      <c r="F47" s="62">
        <v>28.4</v>
      </c>
      <c r="G47" s="62">
        <v>28.4</v>
      </c>
      <c r="H47" s="62">
        <v>28.4</v>
      </c>
      <c r="I47" s="62">
        <v>28.4</v>
      </c>
      <c r="J47" s="62">
        <v>28.4</v>
      </c>
      <c r="K47" s="62">
        <v>28.4</v>
      </c>
      <c r="L47" s="62">
        <v>28.4</v>
      </c>
      <c r="M47" s="50">
        <v>28.4</v>
      </c>
      <c r="N47" s="50">
        <v>28.2</v>
      </c>
      <c r="O47" s="50">
        <v>28.2</v>
      </c>
      <c r="P47" s="50">
        <v>28.2</v>
      </c>
      <c r="Q47" s="50">
        <v>28.2</v>
      </c>
      <c r="R47" s="50">
        <v>28.6</v>
      </c>
      <c r="S47" s="50">
        <v>28.6</v>
      </c>
      <c r="T47" s="50">
        <v>28.6</v>
      </c>
      <c r="U47" s="50">
        <v>28.6</v>
      </c>
      <c r="V47" s="50">
        <v>28.6</v>
      </c>
      <c r="W47" s="50">
        <v>28.6</v>
      </c>
      <c r="X47" s="50">
        <v>28.6</v>
      </c>
      <c r="Y47" s="50">
        <v>28.6</v>
      </c>
      <c r="Z47" s="50">
        <v>28.6</v>
      </c>
      <c r="AA47" s="50">
        <v>28.6</v>
      </c>
      <c r="AB47" s="62">
        <v>28.8</v>
      </c>
      <c r="AC47" s="62">
        <v>28.5</v>
      </c>
      <c r="AD47" s="62">
        <v>28.4</v>
      </c>
      <c r="AE47" s="62">
        <v>28.3</v>
      </c>
      <c r="AF47" s="62">
        <v>28.3</v>
      </c>
      <c r="AG47" s="136">
        <v>30</v>
      </c>
      <c r="AH47" s="54">
        <f t="shared" si="2"/>
        <v>29</v>
      </c>
      <c r="AI47" s="55">
        <f t="shared" si="3"/>
        <v>28.2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48">
        <v>0</v>
      </c>
      <c r="M48" s="48">
        <v>8</v>
      </c>
      <c r="N48" s="50">
        <v>8</v>
      </c>
      <c r="O48" s="50">
        <v>8</v>
      </c>
      <c r="P48" s="50">
        <v>8</v>
      </c>
      <c r="Q48" s="50">
        <v>8</v>
      </c>
      <c r="R48" s="50">
        <v>8</v>
      </c>
      <c r="S48" s="50">
        <v>8</v>
      </c>
      <c r="T48" s="50">
        <v>8</v>
      </c>
      <c r="U48" s="50">
        <v>8</v>
      </c>
      <c r="V48" s="50">
        <v>8</v>
      </c>
      <c r="W48" s="50">
        <v>8</v>
      </c>
      <c r="X48" s="50">
        <v>8</v>
      </c>
      <c r="Y48" s="50">
        <v>8</v>
      </c>
      <c r="Z48" s="50">
        <v>8</v>
      </c>
      <c r="AA48" s="50">
        <v>8</v>
      </c>
      <c r="AB48" s="48">
        <v>0</v>
      </c>
      <c r="AC48" s="48">
        <v>0</v>
      </c>
      <c r="AD48" s="48">
        <v>0</v>
      </c>
      <c r="AE48" s="48">
        <v>0</v>
      </c>
      <c r="AF48" s="48">
        <v>0</v>
      </c>
      <c r="AG48" s="136">
        <v>25</v>
      </c>
      <c r="AH48" s="54">
        <f t="shared" si="2"/>
        <v>8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13.7</v>
      </c>
      <c r="C49" s="48">
        <v>13.7</v>
      </c>
      <c r="D49" s="48">
        <v>13.7</v>
      </c>
      <c r="E49" s="48">
        <v>13.7</v>
      </c>
      <c r="F49" s="48">
        <v>13.5</v>
      </c>
      <c r="G49" s="48">
        <v>13.5</v>
      </c>
      <c r="H49" s="48">
        <v>13.5</v>
      </c>
      <c r="I49" s="48">
        <v>13.5</v>
      </c>
      <c r="J49" s="48">
        <v>13.5</v>
      </c>
      <c r="K49" s="48">
        <v>13.5</v>
      </c>
      <c r="L49" s="48">
        <v>13.5</v>
      </c>
      <c r="M49" s="48">
        <v>13.5</v>
      </c>
      <c r="N49" s="50">
        <v>12.5</v>
      </c>
      <c r="O49" s="50">
        <v>12.5</v>
      </c>
      <c r="P49" s="50">
        <v>12.5</v>
      </c>
      <c r="Q49" s="50">
        <v>14.6</v>
      </c>
      <c r="R49" s="50">
        <v>14.4</v>
      </c>
      <c r="S49" s="50">
        <v>14.4</v>
      </c>
      <c r="T49" s="50">
        <v>14.4</v>
      </c>
      <c r="U49" s="50">
        <v>14.4</v>
      </c>
      <c r="V49" s="50">
        <v>14.4</v>
      </c>
      <c r="W49" s="50">
        <v>14.4</v>
      </c>
      <c r="X49" s="50">
        <v>14.4</v>
      </c>
      <c r="Y49" s="50">
        <v>14.4</v>
      </c>
      <c r="Z49" s="50">
        <v>14.4</v>
      </c>
      <c r="AA49" s="50">
        <v>14.4</v>
      </c>
      <c r="AB49" s="48">
        <v>13.3</v>
      </c>
      <c r="AC49" s="48">
        <v>13.3</v>
      </c>
      <c r="AD49" s="48">
        <v>13.2</v>
      </c>
      <c r="AE49" s="48">
        <v>13.4</v>
      </c>
      <c r="AF49" s="48">
        <v>13.3</v>
      </c>
      <c r="AG49" s="136">
        <v>24</v>
      </c>
      <c r="AH49" s="54">
        <f t="shared" si="2"/>
        <v>14.6</v>
      </c>
      <c r="AI49" s="55">
        <f t="shared" si="3"/>
        <v>12.5</v>
      </c>
      <c r="AK49" s="56"/>
    </row>
    <row r="50" spans="1:41" x14ac:dyDescent="0.25">
      <c r="A50" s="60" t="s">
        <v>30</v>
      </c>
      <c r="B50" s="48">
        <v>2</v>
      </c>
      <c r="C50" s="48">
        <v>2</v>
      </c>
      <c r="D50" s="48">
        <v>2</v>
      </c>
      <c r="E50" s="48">
        <v>2</v>
      </c>
      <c r="F50" s="48">
        <v>2</v>
      </c>
      <c r="G50" s="48">
        <v>2</v>
      </c>
      <c r="H50" s="48">
        <v>2</v>
      </c>
      <c r="I50" s="48">
        <v>2</v>
      </c>
      <c r="J50" s="48">
        <v>2</v>
      </c>
      <c r="K50" s="48">
        <v>2</v>
      </c>
      <c r="L50" s="48">
        <v>2</v>
      </c>
      <c r="M50" s="48">
        <v>2</v>
      </c>
      <c r="N50" s="50">
        <v>2</v>
      </c>
      <c r="O50" s="50">
        <v>2</v>
      </c>
      <c r="P50" s="50">
        <v>2</v>
      </c>
      <c r="Q50" s="50">
        <v>2</v>
      </c>
      <c r="R50" s="50">
        <v>2</v>
      </c>
      <c r="S50" s="50">
        <v>2</v>
      </c>
      <c r="T50" s="50">
        <v>2</v>
      </c>
      <c r="U50" s="50">
        <v>2</v>
      </c>
      <c r="V50" s="50">
        <v>2</v>
      </c>
      <c r="W50" s="50">
        <v>2</v>
      </c>
      <c r="X50" s="50">
        <v>2</v>
      </c>
      <c r="Y50" s="50">
        <v>2</v>
      </c>
      <c r="Z50" s="50">
        <v>2</v>
      </c>
      <c r="AA50" s="50">
        <v>2</v>
      </c>
      <c r="AB50" s="48">
        <v>2</v>
      </c>
      <c r="AC50" s="48">
        <v>2</v>
      </c>
      <c r="AD50" s="48">
        <v>2</v>
      </c>
      <c r="AE50" s="48">
        <v>2</v>
      </c>
      <c r="AF50" s="48">
        <v>2</v>
      </c>
      <c r="AG50" s="136">
        <v>15</v>
      </c>
      <c r="AH50" s="54">
        <f t="shared" si="2"/>
        <v>2</v>
      </c>
      <c r="AI50" s="55">
        <f t="shared" si="3"/>
        <v>2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9.1</v>
      </c>
      <c r="C51" s="48">
        <v>9.1</v>
      </c>
      <c r="D51" s="48">
        <v>9.1</v>
      </c>
      <c r="E51" s="48">
        <v>9.1</v>
      </c>
      <c r="F51" s="48">
        <v>9.1</v>
      </c>
      <c r="G51" s="48">
        <v>9.1</v>
      </c>
      <c r="H51" s="48">
        <v>9.1</v>
      </c>
      <c r="I51" s="48">
        <v>9.1</v>
      </c>
      <c r="J51" s="48">
        <v>9.1</v>
      </c>
      <c r="K51" s="48">
        <v>9.1</v>
      </c>
      <c r="L51" s="48">
        <v>9.1</v>
      </c>
      <c r="M51" s="48">
        <v>9.1</v>
      </c>
      <c r="N51" s="50">
        <v>10.9</v>
      </c>
      <c r="O51" s="50">
        <v>10.9</v>
      </c>
      <c r="P51" s="50">
        <v>10.9</v>
      </c>
      <c r="Q51" s="50">
        <v>10.1</v>
      </c>
      <c r="R51" s="50">
        <v>10.1</v>
      </c>
      <c r="S51" s="50">
        <v>10.1</v>
      </c>
      <c r="T51" s="50">
        <v>10.1</v>
      </c>
      <c r="U51" s="50">
        <v>10.1</v>
      </c>
      <c r="V51" s="50">
        <v>10.1</v>
      </c>
      <c r="W51" s="50">
        <v>10.1</v>
      </c>
      <c r="X51" s="50">
        <v>10.1</v>
      </c>
      <c r="Y51" s="50">
        <v>10.1</v>
      </c>
      <c r="Z51" s="50">
        <v>10.1</v>
      </c>
      <c r="AA51" s="50">
        <v>10.1</v>
      </c>
      <c r="AB51" s="48">
        <v>10.6</v>
      </c>
      <c r="AC51" s="48">
        <v>11</v>
      </c>
      <c r="AD51" s="48">
        <v>11</v>
      </c>
      <c r="AE51" s="48">
        <v>10.8</v>
      </c>
      <c r="AF51" s="48">
        <v>10.8</v>
      </c>
      <c r="AG51" s="136">
        <v>14.1</v>
      </c>
      <c r="AH51" s="54">
        <f t="shared" si="2"/>
        <v>11</v>
      </c>
      <c r="AI51" s="55">
        <f t="shared" si="3"/>
        <v>9.1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14</v>
      </c>
      <c r="C52" s="48">
        <v>14</v>
      </c>
      <c r="D52" s="48">
        <v>14</v>
      </c>
      <c r="E52" s="48">
        <v>14</v>
      </c>
      <c r="F52" s="48">
        <v>14</v>
      </c>
      <c r="G52" s="48">
        <v>14</v>
      </c>
      <c r="H52" s="48">
        <v>14</v>
      </c>
      <c r="I52" s="48">
        <v>14</v>
      </c>
      <c r="J52" s="48">
        <v>14</v>
      </c>
      <c r="K52" s="48">
        <v>14</v>
      </c>
      <c r="L52" s="48">
        <v>14</v>
      </c>
      <c r="M52" s="48">
        <v>14</v>
      </c>
      <c r="N52" s="50">
        <v>13.9</v>
      </c>
      <c r="O52" s="50">
        <v>13.9</v>
      </c>
      <c r="P52" s="50">
        <v>13.9</v>
      </c>
      <c r="Q52" s="50">
        <v>13.9</v>
      </c>
      <c r="R52" s="50">
        <v>13.9</v>
      </c>
      <c r="S52" s="50">
        <v>13.9</v>
      </c>
      <c r="T52" s="50">
        <v>13.9</v>
      </c>
      <c r="U52" s="50">
        <v>13.9</v>
      </c>
      <c r="V52" s="50">
        <v>13.9</v>
      </c>
      <c r="W52" s="50">
        <v>13.9</v>
      </c>
      <c r="X52" s="50">
        <v>13.9</v>
      </c>
      <c r="Y52" s="50">
        <v>13.9</v>
      </c>
      <c r="Z52" s="50">
        <v>13.9</v>
      </c>
      <c r="AA52" s="50">
        <v>13.9</v>
      </c>
      <c r="AB52" s="48">
        <v>13.9</v>
      </c>
      <c r="AC52" s="48">
        <v>13.8</v>
      </c>
      <c r="AD52" s="48">
        <v>13.8</v>
      </c>
      <c r="AE52" s="48">
        <v>13.8</v>
      </c>
      <c r="AF52" s="48">
        <v>6</v>
      </c>
      <c r="AG52" s="136">
        <v>14</v>
      </c>
      <c r="AH52" s="54">
        <f t="shared" si="2"/>
        <v>14</v>
      </c>
      <c r="AI52" s="55">
        <f t="shared" si="3"/>
        <v>6</v>
      </c>
      <c r="AK52" s="56"/>
    </row>
    <row r="53" spans="1:41" x14ac:dyDescent="0.25">
      <c r="A53" s="60" t="s">
        <v>33</v>
      </c>
      <c r="B53" s="48">
        <v>6.4</v>
      </c>
      <c r="C53" s="48">
        <v>6.4</v>
      </c>
      <c r="D53" s="48">
        <v>6.4</v>
      </c>
      <c r="E53" s="48">
        <v>6.4</v>
      </c>
      <c r="F53" s="48">
        <v>6.5</v>
      </c>
      <c r="G53" s="48">
        <v>6.5</v>
      </c>
      <c r="H53" s="48">
        <v>6.5</v>
      </c>
      <c r="I53" s="48">
        <v>6.5</v>
      </c>
      <c r="J53" s="48">
        <v>6.5</v>
      </c>
      <c r="K53" s="48">
        <v>6.5</v>
      </c>
      <c r="L53" s="48">
        <v>6.5</v>
      </c>
      <c r="M53" s="48">
        <v>6.5</v>
      </c>
      <c r="N53" s="48">
        <v>6.1</v>
      </c>
      <c r="O53" s="48">
        <v>6.1</v>
      </c>
      <c r="P53" s="48">
        <v>6.1</v>
      </c>
      <c r="Q53" s="48">
        <v>6.1</v>
      </c>
      <c r="R53" s="48">
        <v>6.1</v>
      </c>
      <c r="S53" s="48">
        <v>6.1</v>
      </c>
      <c r="T53" s="48">
        <v>6.1</v>
      </c>
      <c r="U53" s="48">
        <v>6.1</v>
      </c>
      <c r="V53" s="48">
        <v>6.1</v>
      </c>
      <c r="W53" s="48">
        <v>6.1</v>
      </c>
      <c r="X53" s="48">
        <v>6.1</v>
      </c>
      <c r="Y53" s="48">
        <v>6.1</v>
      </c>
      <c r="Z53" s="48">
        <v>6.1</v>
      </c>
      <c r="AA53" s="48">
        <v>6.1</v>
      </c>
      <c r="AB53" s="48">
        <v>6.1</v>
      </c>
      <c r="AC53" s="48">
        <v>6.1</v>
      </c>
      <c r="AD53" s="48">
        <v>6.1</v>
      </c>
      <c r="AE53" s="48">
        <v>6.1</v>
      </c>
      <c r="AF53" s="48">
        <v>6.1</v>
      </c>
      <c r="AG53" s="136">
        <v>10.050000000000001</v>
      </c>
      <c r="AH53" s="54">
        <f t="shared" si="2"/>
        <v>6.5</v>
      </c>
      <c r="AI53" s="55">
        <f t="shared" si="3"/>
        <v>6.1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48">
        <v>6.2</v>
      </c>
      <c r="N54" s="48">
        <v>6.2</v>
      </c>
      <c r="O54" s="48">
        <v>6.2</v>
      </c>
      <c r="P54" s="48">
        <v>6.2</v>
      </c>
      <c r="Q54" s="48">
        <v>6.2</v>
      </c>
      <c r="R54" s="48">
        <v>6.2</v>
      </c>
      <c r="S54" s="48">
        <v>6.2</v>
      </c>
      <c r="T54" s="48">
        <v>6.2</v>
      </c>
      <c r="U54" s="48">
        <v>6.2</v>
      </c>
      <c r="V54" s="48">
        <v>6.2</v>
      </c>
      <c r="W54" s="48">
        <v>6.2</v>
      </c>
      <c r="X54" s="48">
        <v>6.2</v>
      </c>
      <c r="Y54" s="48">
        <v>6.2</v>
      </c>
      <c r="Z54" s="48">
        <v>6.2</v>
      </c>
      <c r="AA54" s="48">
        <v>6.2</v>
      </c>
      <c r="AB54" s="48">
        <v>6.2</v>
      </c>
      <c r="AC54" s="48">
        <v>6.2</v>
      </c>
      <c r="AD54" s="48">
        <v>6.2</v>
      </c>
      <c r="AE54" s="48">
        <v>6.2</v>
      </c>
      <c r="AF54" s="48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11">AG220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>SUM(B43:B55)</f>
        <v>417.14</v>
      </c>
      <c r="C56" s="66">
        <f t="shared" ref="C56:AG56" si="12">SUM(C43:C55)</f>
        <v>418.14</v>
      </c>
      <c r="D56" s="66">
        <f t="shared" si="12"/>
        <v>418.14</v>
      </c>
      <c r="E56" s="66">
        <f t="shared" si="12"/>
        <v>418.14</v>
      </c>
      <c r="F56" s="66">
        <f t="shared" si="12"/>
        <v>396.84000000000003</v>
      </c>
      <c r="G56" s="66">
        <f t="shared" si="12"/>
        <v>396.84000000000003</v>
      </c>
      <c r="H56" s="66">
        <f t="shared" ref="H56:I56" si="13">SUM(H43:H55)</f>
        <v>396.84000000000003</v>
      </c>
      <c r="I56" s="66">
        <f t="shared" si="13"/>
        <v>396.84000000000003</v>
      </c>
      <c r="J56" s="66">
        <f t="shared" si="12"/>
        <v>396.84000000000003</v>
      </c>
      <c r="K56" s="66">
        <f t="shared" si="12"/>
        <v>396.84000000000003</v>
      </c>
      <c r="L56" s="66">
        <f t="shared" si="12"/>
        <v>396.84000000000003</v>
      </c>
      <c r="M56" s="66">
        <f t="shared" si="12"/>
        <v>428.04</v>
      </c>
      <c r="N56" s="66">
        <f t="shared" si="12"/>
        <v>427.44</v>
      </c>
      <c r="O56" s="66">
        <f t="shared" si="12"/>
        <v>357.24</v>
      </c>
      <c r="P56" s="66">
        <f t="shared" si="12"/>
        <v>357.24</v>
      </c>
      <c r="Q56" s="66">
        <f t="shared" si="12"/>
        <v>361.34000000000003</v>
      </c>
      <c r="R56" s="66">
        <f t="shared" si="12"/>
        <v>385.34000000000003</v>
      </c>
      <c r="S56" s="66">
        <f t="shared" si="12"/>
        <v>369.84000000000003</v>
      </c>
      <c r="T56" s="66">
        <f t="shared" si="12"/>
        <v>369.84000000000003</v>
      </c>
      <c r="U56" s="66">
        <f t="shared" si="12"/>
        <v>369.84000000000003</v>
      </c>
      <c r="V56" s="66">
        <f t="shared" si="12"/>
        <v>429.84000000000003</v>
      </c>
      <c r="W56" s="66">
        <f t="shared" si="12"/>
        <v>429.84000000000003</v>
      </c>
      <c r="X56" s="66">
        <f t="shared" si="12"/>
        <v>429.84000000000003</v>
      </c>
      <c r="Y56" s="66">
        <f t="shared" si="12"/>
        <v>429.84000000000003</v>
      </c>
      <c r="Z56" s="66">
        <f t="shared" si="12"/>
        <v>429.84000000000003</v>
      </c>
      <c r="AA56" s="66">
        <f t="shared" si="12"/>
        <v>429.84000000000003</v>
      </c>
      <c r="AB56" s="66">
        <f t="shared" si="12"/>
        <v>419.74000000000007</v>
      </c>
      <c r="AC56" s="66">
        <f t="shared" si="12"/>
        <v>419.84000000000003</v>
      </c>
      <c r="AD56" s="66">
        <f t="shared" si="12"/>
        <v>420.53999999999996</v>
      </c>
      <c r="AE56" s="66">
        <f t="shared" si="12"/>
        <v>422.84000000000003</v>
      </c>
      <c r="AF56" s="66">
        <f t="shared" si="12"/>
        <v>411.94000000000005</v>
      </c>
      <c r="AG56" s="143">
        <f t="shared" si="12"/>
        <v>489.91</v>
      </c>
      <c r="AH56" s="54">
        <f t="shared" si="2"/>
        <v>429.84000000000003</v>
      </c>
      <c r="AI56" s="55">
        <f t="shared" si="3"/>
        <v>357.24</v>
      </c>
      <c r="AK56" s="56"/>
    </row>
    <row r="57" spans="1:41" x14ac:dyDescent="0.25">
      <c r="A57" s="57" t="s">
        <v>37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0</v>
      </c>
      <c r="AB57" s="50">
        <v>48</v>
      </c>
      <c r="AC57" s="50">
        <v>30</v>
      </c>
      <c r="AD57" s="50">
        <v>40</v>
      </c>
      <c r="AE57" s="50">
        <v>20</v>
      </c>
      <c r="AF57" s="50">
        <v>14</v>
      </c>
      <c r="AG57" s="135">
        <v>60</v>
      </c>
      <c r="AH57" s="54">
        <f t="shared" si="2"/>
        <v>48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31</v>
      </c>
      <c r="AC58" s="48">
        <v>15</v>
      </c>
      <c r="AD58" s="48">
        <v>26</v>
      </c>
      <c r="AE58" s="48">
        <v>7.3</v>
      </c>
      <c r="AF58" s="48">
        <v>5.3</v>
      </c>
      <c r="AG58" s="136">
        <v>32</v>
      </c>
      <c r="AH58" s="54">
        <f t="shared" si="2"/>
        <v>31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70">
        <v>0</v>
      </c>
      <c r="P59" s="70">
        <v>0</v>
      </c>
      <c r="Q59" s="70">
        <v>0</v>
      </c>
      <c r="R59" s="70">
        <v>0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70">
        <v>0</v>
      </c>
      <c r="AB59" s="70">
        <v>11.6</v>
      </c>
      <c r="AC59" s="70">
        <v>5.9</v>
      </c>
      <c r="AD59" s="70">
        <v>9.5</v>
      </c>
      <c r="AE59" s="70">
        <v>2.7</v>
      </c>
      <c r="AF59" s="70">
        <v>1.9</v>
      </c>
      <c r="AG59" s="137">
        <v>14</v>
      </c>
      <c r="AH59" s="54">
        <f t="shared" si="2"/>
        <v>11.6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>SUM(B57:B59)</f>
        <v>0</v>
      </c>
      <c r="C60" s="66">
        <f t="shared" ref="C60:AG60" si="14">SUM(C57:C59)</f>
        <v>0</v>
      </c>
      <c r="D60" s="66">
        <f t="shared" si="14"/>
        <v>0</v>
      </c>
      <c r="E60" s="66">
        <f t="shared" ref="E60" si="15">SUM(E57:E59)</f>
        <v>0</v>
      </c>
      <c r="F60" s="66">
        <f t="shared" si="14"/>
        <v>0</v>
      </c>
      <c r="G60" s="66">
        <f t="shared" si="14"/>
        <v>0</v>
      </c>
      <c r="H60" s="66">
        <f t="shared" ref="H60:I60" si="16">SUM(H57:H59)</f>
        <v>0</v>
      </c>
      <c r="I60" s="66">
        <f t="shared" si="16"/>
        <v>0</v>
      </c>
      <c r="J60" s="66">
        <f t="shared" si="14"/>
        <v>0</v>
      </c>
      <c r="K60" s="66">
        <f t="shared" si="14"/>
        <v>0</v>
      </c>
      <c r="L60" s="66">
        <f t="shared" si="14"/>
        <v>0</v>
      </c>
      <c r="M60" s="66">
        <f t="shared" si="14"/>
        <v>0</v>
      </c>
      <c r="N60" s="66">
        <f t="shared" si="14"/>
        <v>0</v>
      </c>
      <c r="O60" s="66">
        <f t="shared" si="14"/>
        <v>0</v>
      </c>
      <c r="P60" s="66">
        <f t="shared" si="14"/>
        <v>0</v>
      </c>
      <c r="Q60" s="66">
        <f t="shared" si="14"/>
        <v>0</v>
      </c>
      <c r="R60" s="66">
        <f t="shared" si="14"/>
        <v>0</v>
      </c>
      <c r="S60" s="66">
        <f t="shared" si="14"/>
        <v>0</v>
      </c>
      <c r="T60" s="66">
        <f t="shared" si="14"/>
        <v>0</v>
      </c>
      <c r="U60" s="66">
        <f t="shared" si="14"/>
        <v>0</v>
      </c>
      <c r="V60" s="66">
        <f t="shared" si="14"/>
        <v>0</v>
      </c>
      <c r="W60" s="66">
        <f t="shared" si="14"/>
        <v>0</v>
      </c>
      <c r="X60" s="66">
        <f t="shared" si="14"/>
        <v>0</v>
      </c>
      <c r="Y60" s="66">
        <f t="shared" si="14"/>
        <v>0</v>
      </c>
      <c r="Z60" s="66">
        <f t="shared" si="14"/>
        <v>0</v>
      </c>
      <c r="AA60" s="66">
        <f t="shared" si="14"/>
        <v>0</v>
      </c>
      <c r="AB60" s="66">
        <f t="shared" si="14"/>
        <v>90.6</v>
      </c>
      <c r="AC60" s="66">
        <f t="shared" si="14"/>
        <v>50.9</v>
      </c>
      <c r="AD60" s="66">
        <f t="shared" si="14"/>
        <v>75.5</v>
      </c>
      <c r="AE60" s="66">
        <f t="shared" si="14"/>
        <v>30</v>
      </c>
      <c r="AF60" s="66">
        <f t="shared" si="14"/>
        <v>21.2</v>
      </c>
      <c r="AG60" s="143">
        <f t="shared" si="14"/>
        <v>106</v>
      </c>
      <c r="AH60" s="54">
        <f t="shared" si="2"/>
        <v>90.6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-2</v>
      </c>
      <c r="C61" s="50">
        <v>3</v>
      </c>
      <c r="D61" s="50">
        <v>2.2000000000000002</v>
      </c>
      <c r="E61" s="50">
        <v>8.1999999999999993</v>
      </c>
      <c r="F61" s="50">
        <v>2.2000000000000002</v>
      </c>
      <c r="G61" s="50">
        <v>2.2000000000000002</v>
      </c>
      <c r="H61" s="50">
        <v>12</v>
      </c>
      <c r="I61" s="50">
        <v>6.8</v>
      </c>
      <c r="J61" s="50">
        <v>6.8</v>
      </c>
      <c r="K61" s="50">
        <v>12</v>
      </c>
      <c r="L61" s="50">
        <v>8.1</v>
      </c>
      <c r="M61" s="50">
        <v>20</v>
      </c>
      <c r="N61" s="50">
        <v>50.4</v>
      </c>
      <c r="O61" s="50">
        <v>40.299999999999997</v>
      </c>
      <c r="P61" s="50">
        <v>42</v>
      </c>
      <c r="Q61" s="50">
        <v>46.4</v>
      </c>
      <c r="R61" s="50">
        <v>36.200000000000003</v>
      </c>
      <c r="S61" s="50">
        <v>50</v>
      </c>
      <c r="T61" s="50">
        <v>45</v>
      </c>
      <c r="U61" s="50">
        <v>42</v>
      </c>
      <c r="V61" s="50">
        <v>33</v>
      </c>
      <c r="W61" s="50">
        <v>40</v>
      </c>
      <c r="X61" s="50">
        <v>50</v>
      </c>
      <c r="Y61" s="50">
        <v>20</v>
      </c>
      <c r="Z61" s="50">
        <v>17</v>
      </c>
      <c r="AA61" s="50">
        <v>15</v>
      </c>
      <c r="AB61" s="50">
        <v>26.3</v>
      </c>
      <c r="AC61" s="50">
        <v>33.1</v>
      </c>
      <c r="AD61" s="50">
        <v>35.4</v>
      </c>
      <c r="AE61" s="50">
        <v>32.6</v>
      </c>
      <c r="AF61" s="50">
        <v>22</v>
      </c>
      <c r="AG61" s="135"/>
      <c r="AH61" s="54">
        <f t="shared" si="2"/>
        <v>50.4</v>
      </c>
      <c r="AI61" s="55">
        <f t="shared" si="3"/>
        <v>-2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-358</v>
      </c>
      <c r="C63" s="48">
        <v>-387</v>
      </c>
      <c r="D63" s="48">
        <v>-388</v>
      </c>
      <c r="E63" s="48">
        <v>-400</v>
      </c>
      <c r="F63" s="48">
        <v>-365</v>
      </c>
      <c r="G63" s="48">
        <v>-382</v>
      </c>
      <c r="H63" s="48">
        <v>-390</v>
      </c>
      <c r="I63" s="48">
        <v>-400</v>
      </c>
      <c r="J63" s="48">
        <v>-400</v>
      </c>
      <c r="K63" s="48">
        <v>-434</v>
      </c>
      <c r="L63" s="48">
        <v>-365</v>
      </c>
      <c r="M63" s="48">
        <v>-378.9</v>
      </c>
      <c r="N63" s="48">
        <v>-401</v>
      </c>
      <c r="O63" s="48">
        <v>-290.89999999999998</v>
      </c>
      <c r="P63" s="48">
        <v>-302</v>
      </c>
      <c r="Q63" s="48">
        <v>-309.8</v>
      </c>
      <c r="R63" s="48">
        <v>-285</v>
      </c>
      <c r="S63" s="48">
        <v>-323</v>
      </c>
      <c r="T63" s="48">
        <v>-310</v>
      </c>
      <c r="U63" s="48">
        <v>-280</v>
      </c>
      <c r="V63" s="48">
        <v>-320</v>
      </c>
      <c r="W63" s="48">
        <v>-370</v>
      </c>
      <c r="X63" s="48">
        <v>-420</v>
      </c>
      <c r="Y63" s="48">
        <v>-344</v>
      </c>
      <c r="Z63" s="48">
        <v>-330</v>
      </c>
      <c r="AA63" s="48">
        <v>-202</v>
      </c>
      <c r="AB63" s="48">
        <v>-217.6</v>
      </c>
      <c r="AC63" s="48">
        <v>-247.5</v>
      </c>
      <c r="AD63" s="48">
        <v>-278.2</v>
      </c>
      <c r="AE63" s="48">
        <v>-301.2</v>
      </c>
      <c r="AF63" s="48">
        <v>-321</v>
      </c>
      <c r="AG63" s="140"/>
      <c r="AH63" s="54">
        <f t="shared" si="2"/>
        <v>-202</v>
      </c>
      <c r="AI63" s="55">
        <f t="shared" si="3"/>
        <v>-434</v>
      </c>
      <c r="AK63" s="56"/>
    </row>
    <row r="64" spans="1:41" x14ac:dyDescent="0.25">
      <c r="A64" s="60" t="s">
        <v>44</v>
      </c>
      <c r="B64" s="71">
        <v>0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140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0</v>
      </c>
      <c r="C66" s="72">
        <v>0</v>
      </c>
      <c r="D66" s="72">
        <v>0</v>
      </c>
      <c r="E66" s="72">
        <v>0</v>
      </c>
      <c r="F66" s="72">
        <v>0</v>
      </c>
      <c r="G66" s="72">
        <v>0</v>
      </c>
      <c r="H66" s="72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5</v>
      </c>
      <c r="AC66" s="72">
        <v>5</v>
      </c>
      <c r="AD66" s="72">
        <v>5</v>
      </c>
      <c r="AE66" s="72">
        <v>5</v>
      </c>
      <c r="AF66" s="72">
        <v>5</v>
      </c>
      <c r="AG66" s="140"/>
      <c r="AH66" s="54">
        <f t="shared" si="2"/>
        <v>5</v>
      </c>
      <c r="AI66" s="55">
        <f t="shared" si="3"/>
        <v>0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1">
        <v>0</v>
      </c>
      <c r="D68" s="71">
        <v>0</v>
      </c>
      <c r="E68" s="71">
        <v>0</v>
      </c>
      <c r="F68" s="71">
        <v>0</v>
      </c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1">
        <v>0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4">
        <v>0</v>
      </c>
      <c r="C70" s="74">
        <v>0</v>
      </c>
      <c r="D70" s="74">
        <v>0</v>
      </c>
      <c r="E70" s="74">
        <v>0</v>
      </c>
      <c r="F70" s="74">
        <v>0</v>
      </c>
      <c r="G70" s="74">
        <v>0</v>
      </c>
      <c r="H70" s="74">
        <v>0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4">
        <v>0</v>
      </c>
      <c r="C71" s="74">
        <v>0</v>
      </c>
      <c r="D71" s="74">
        <v>0</v>
      </c>
      <c r="E71" s="74">
        <v>0</v>
      </c>
      <c r="F71" s="74">
        <v>0</v>
      </c>
      <c r="G71" s="74">
        <v>0</v>
      </c>
      <c r="H71" s="74">
        <v>0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>SUMIF(B61:B71,"&gt;0")</f>
        <v>0</v>
      </c>
      <c r="C72" s="66">
        <f t="shared" ref="C72:L72" si="17">SUMIF(C61:C71,"&gt;0")</f>
        <v>3</v>
      </c>
      <c r="D72" s="66">
        <f t="shared" si="17"/>
        <v>2.2000000000000002</v>
      </c>
      <c r="E72" s="66">
        <f t="shared" si="17"/>
        <v>8.1999999999999993</v>
      </c>
      <c r="F72" s="66">
        <f t="shared" si="17"/>
        <v>2.2000000000000002</v>
      </c>
      <c r="G72" s="66">
        <f t="shared" si="17"/>
        <v>2.2000000000000002</v>
      </c>
      <c r="H72" s="66">
        <f t="shared" ref="H72:I72" si="18">SUMIF(H61:H71,"&gt;0")</f>
        <v>12</v>
      </c>
      <c r="I72" s="66">
        <f t="shared" si="18"/>
        <v>6.8</v>
      </c>
      <c r="J72" s="66">
        <f t="shared" si="17"/>
        <v>6.8</v>
      </c>
      <c r="K72" s="66">
        <f t="shared" si="17"/>
        <v>12</v>
      </c>
      <c r="L72" s="66">
        <f t="shared" si="17"/>
        <v>8.1</v>
      </c>
      <c r="M72" s="66">
        <f>SUMIF(M61:M71,"&gt;0")</f>
        <v>20</v>
      </c>
      <c r="N72" s="66">
        <f t="shared" ref="N72:AF72" si="19">SUMIF(N61:N71,"&gt;0")</f>
        <v>50.4</v>
      </c>
      <c r="O72" s="66">
        <f t="shared" si="19"/>
        <v>40.299999999999997</v>
      </c>
      <c r="P72" s="66">
        <f t="shared" si="19"/>
        <v>42</v>
      </c>
      <c r="Q72" s="66">
        <f t="shared" si="19"/>
        <v>46.4</v>
      </c>
      <c r="R72" s="66">
        <f t="shared" si="19"/>
        <v>36.200000000000003</v>
      </c>
      <c r="S72" s="66">
        <f t="shared" si="19"/>
        <v>50</v>
      </c>
      <c r="T72" s="66">
        <f t="shared" si="19"/>
        <v>45</v>
      </c>
      <c r="U72" s="66">
        <f t="shared" si="19"/>
        <v>42</v>
      </c>
      <c r="V72" s="66">
        <f t="shared" si="19"/>
        <v>33</v>
      </c>
      <c r="W72" s="66">
        <f t="shared" si="19"/>
        <v>40</v>
      </c>
      <c r="X72" s="66">
        <f t="shared" si="19"/>
        <v>50</v>
      </c>
      <c r="Y72" s="66">
        <f t="shared" si="19"/>
        <v>20</v>
      </c>
      <c r="Z72" s="66">
        <f t="shared" si="19"/>
        <v>17</v>
      </c>
      <c r="AA72" s="66">
        <f t="shared" si="19"/>
        <v>15</v>
      </c>
      <c r="AB72" s="66">
        <f t="shared" si="19"/>
        <v>31.3</v>
      </c>
      <c r="AC72" s="66">
        <f t="shared" si="19"/>
        <v>38.1</v>
      </c>
      <c r="AD72" s="66">
        <f t="shared" si="19"/>
        <v>40.4</v>
      </c>
      <c r="AE72" s="66">
        <f t="shared" si="19"/>
        <v>37.6</v>
      </c>
      <c r="AF72" s="66">
        <f t="shared" si="19"/>
        <v>27</v>
      </c>
      <c r="AG72" s="138">
        <f>SUM(AG61:AG71)</f>
        <v>0</v>
      </c>
      <c r="AH72" s="54">
        <f t="shared" si="2"/>
        <v>50.4</v>
      </c>
      <c r="AI72" s="55">
        <f t="shared" si="3"/>
        <v>0</v>
      </c>
      <c r="AK72" s="56"/>
    </row>
    <row r="73" spans="1:88" x14ac:dyDescent="0.25">
      <c r="A73" s="57" t="s">
        <v>53</v>
      </c>
      <c r="B73" s="71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>
        <v>0</v>
      </c>
      <c r="C75" s="74">
        <v>0</v>
      </c>
      <c r="D75" s="74">
        <v>0</v>
      </c>
      <c r="E75" s="74">
        <v>0</v>
      </c>
      <c r="F75" s="74">
        <v>0</v>
      </c>
      <c r="G75" s="74">
        <v>0</v>
      </c>
      <c r="H75" s="74">
        <v>0</v>
      </c>
      <c r="I75" s="74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>B38+B42+B60+B56+B72+B76</f>
        <v>1738.04</v>
      </c>
      <c r="C77" s="75">
        <f t="shared" ref="C77:AF77" si="20">C38+C42+C60+C56+C72+C76</f>
        <v>1741.04</v>
      </c>
      <c r="D77" s="75">
        <f t="shared" si="20"/>
        <v>1740.24</v>
      </c>
      <c r="E77" s="75">
        <f t="shared" si="20"/>
        <v>1746.24</v>
      </c>
      <c r="F77" s="75">
        <f t="shared" si="20"/>
        <v>1652.0400000000002</v>
      </c>
      <c r="G77" s="75">
        <f t="shared" si="20"/>
        <v>1652.0400000000002</v>
      </c>
      <c r="H77" s="75">
        <f t="shared" ref="H77:I77" si="21">H38+H42+H60+H56+H72+H76</f>
        <v>1661.8400000000001</v>
      </c>
      <c r="I77" s="75">
        <f t="shared" si="21"/>
        <v>1656.64</v>
      </c>
      <c r="J77" s="75">
        <f t="shared" si="20"/>
        <v>1732.64</v>
      </c>
      <c r="K77" s="75">
        <f t="shared" si="20"/>
        <v>1737.8400000000001</v>
      </c>
      <c r="L77" s="75">
        <f t="shared" si="20"/>
        <v>1733.94</v>
      </c>
      <c r="M77" s="75">
        <f t="shared" si="20"/>
        <v>1784.04</v>
      </c>
      <c r="N77" s="75">
        <f t="shared" si="20"/>
        <v>1833.8400000000001</v>
      </c>
      <c r="O77" s="75">
        <f t="shared" si="20"/>
        <v>1748.54</v>
      </c>
      <c r="P77" s="75">
        <f t="shared" si="20"/>
        <v>1775.24</v>
      </c>
      <c r="Q77" s="75">
        <f t="shared" si="20"/>
        <v>1768.7400000000002</v>
      </c>
      <c r="R77" s="75">
        <f t="shared" si="20"/>
        <v>1782.5400000000002</v>
      </c>
      <c r="S77" s="75">
        <f t="shared" si="20"/>
        <v>1773.7400000000002</v>
      </c>
      <c r="T77" s="75">
        <f t="shared" si="20"/>
        <v>1768.7400000000002</v>
      </c>
      <c r="U77" s="75">
        <f t="shared" si="20"/>
        <v>1679.1399999999999</v>
      </c>
      <c r="V77" s="75">
        <f t="shared" si="20"/>
        <v>1704.1399999999999</v>
      </c>
      <c r="W77" s="75">
        <f t="shared" si="20"/>
        <v>1799.1399999999999</v>
      </c>
      <c r="X77" s="75">
        <f t="shared" si="20"/>
        <v>1809.7400000000002</v>
      </c>
      <c r="Y77" s="75">
        <f t="shared" si="20"/>
        <v>1779.7400000000002</v>
      </c>
      <c r="Z77" s="75">
        <f t="shared" si="20"/>
        <v>1808.8400000000001</v>
      </c>
      <c r="AA77" s="75">
        <f t="shared" si="20"/>
        <v>1781.8400000000001</v>
      </c>
      <c r="AB77" s="75">
        <f t="shared" si="20"/>
        <v>1873.1399999999999</v>
      </c>
      <c r="AC77" s="75">
        <f t="shared" si="20"/>
        <v>1840.3400000000001</v>
      </c>
      <c r="AD77" s="75">
        <f t="shared" si="20"/>
        <v>1867.94</v>
      </c>
      <c r="AE77" s="75">
        <f t="shared" si="20"/>
        <v>1822.04</v>
      </c>
      <c r="AF77" s="75">
        <f t="shared" si="20"/>
        <v>1786.74</v>
      </c>
      <c r="AG77" s="143">
        <f>AG38+AG42+AG60+AG56+AG72+AG76</f>
        <v>1855.1900000000003</v>
      </c>
      <c r="AH77" s="54">
        <f t="shared" si="2"/>
        <v>1873.1399999999999</v>
      </c>
      <c r="AI77" s="55">
        <f t="shared" si="3"/>
        <v>1652.0400000000002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0</v>
      </c>
      <c r="AI78" s="55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>B77+B78</f>
        <v>1738.04</v>
      </c>
      <c r="C79" s="75">
        <f t="shared" ref="C79:AF79" si="22">C77+C78</f>
        <v>1741.04</v>
      </c>
      <c r="D79" s="75">
        <f t="shared" si="22"/>
        <v>1740.24</v>
      </c>
      <c r="E79" s="75">
        <f t="shared" si="22"/>
        <v>1746.24</v>
      </c>
      <c r="F79" s="75">
        <f t="shared" si="22"/>
        <v>1652.0400000000002</v>
      </c>
      <c r="G79" s="75">
        <f t="shared" si="22"/>
        <v>1652.0400000000002</v>
      </c>
      <c r="H79" s="75">
        <f t="shared" ref="H79:I79" si="23">H77+H78</f>
        <v>1661.8400000000001</v>
      </c>
      <c r="I79" s="75">
        <f t="shared" si="23"/>
        <v>1656.64</v>
      </c>
      <c r="J79" s="75">
        <f t="shared" si="22"/>
        <v>1732.64</v>
      </c>
      <c r="K79" s="75">
        <f t="shared" si="22"/>
        <v>1737.8400000000001</v>
      </c>
      <c r="L79" s="75">
        <f t="shared" si="22"/>
        <v>1733.94</v>
      </c>
      <c r="M79" s="75">
        <f t="shared" si="22"/>
        <v>1784.04</v>
      </c>
      <c r="N79" s="75">
        <f t="shared" si="22"/>
        <v>1833.8400000000001</v>
      </c>
      <c r="O79" s="75">
        <f t="shared" si="22"/>
        <v>1748.54</v>
      </c>
      <c r="P79" s="75">
        <f t="shared" si="22"/>
        <v>1775.24</v>
      </c>
      <c r="Q79" s="75">
        <f t="shared" si="22"/>
        <v>1768.7400000000002</v>
      </c>
      <c r="R79" s="75">
        <f t="shared" si="22"/>
        <v>1782.5400000000002</v>
      </c>
      <c r="S79" s="75">
        <f t="shared" si="22"/>
        <v>1773.7400000000002</v>
      </c>
      <c r="T79" s="75">
        <f t="shared" si="22"/>
        <v>1768.7400000000002</v>
      </c>
      <c r="U79" s="75">
        <f t="shared" si="22"/>
        <v>1679.1399999999999</v>
      </c>
      <c r="V79" s="75">
        <f t="shared" si="22"/>
        <v>1704.1399999999999</v>
      </c>
      <c r="W79" s="75">
        <f t="shared" si="22"/>
        <v>1799.1399999999999</v>
      </c>
      <c r="X79" s="75">
        <f t="shared" si="22"/>
        <v>1809.7400000000002</v>
      </c>
      <c r="Y79" s="75">
        <f t="shared" si="22"/>
        <v>1779.7400000000002</v>
      </c>
      <c r="Z79" s="75">
        <f t="shared" si="22"/>
        <v>1808.8400000000001</v>
      </c>
      <c r="AA79" s="75">
        <f t="shared" si="22"/>
        <v>1781.8400000000001</v>
      </c>
      <c r="AB79" s="75">
        <f t="shared" si="22"/>
        <v>1873.1399999999999</v>
      </c>
      <c r="AC79" s="75">
        <f t="shared" si="22"/>
        <v>1840.3400000000001</v>
      </c>
      <c r="AD79" s="75">
        <f t="shared" si="22"/>
        <v>1867.94</v>
      </c>
      <c r="AE79" s="75">
        <f t="shared" si="22"/>
        <v>1822.04</v>
      </c>
      <c r="AF79" s="75">
        <f t="shared" si="22"/>
        <v>1786.74</v>
      </c>
      <c r="AG79" s="138">
        <f>AG76+AG72+AG60+AG56+AG38+AG78</f>
        <v>1317.0900000000001</v>
      </c>
      <c r="AH79" s="54">
        <f t="shared" si="2"/>
        <v>1873.1399999999999</v>
      </c>
      <c r="AI79" s="55">
        <f t="shared" si="3"/>
        <v>1652.0400000000002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:AF80" si="24">B79-B87</f>
        <v>1378.04</v>
      </c>
      <c r="C80" s="75">
        <f t="shared" si="24"/>
        <v>1354.04</v>
      </c>
      <c r="D80" s="75">
        <f t="shared" si="24"/>
        <v>1352.24</v>
      </c>
      <c r="E80" s="75">
        <f t="shared" si="24"/>
        <v>1346.24</v>
      </c>
      <c r="F80" s="75">
        <f t="shared" si="24"/>
        <v>1287.0400000000002</v>
      </c>
      <c r="G80" s="75">
        <f t="shared" si="24"/>
        <v>1270.0400000000002</v>
      </c>
      <c r="H80" s="75">
        <f t="shared" ref="H80:I80" si="25">H79-H87</f>
        <v>1271.8400000000001</v>
      </c>
      <c r="I80" s="75">
        <f t="shared" si="25"/>
        <v>1256.6400000000001</v>
      </c>
      <c r="J80" s="75">
        <f t="shared" si="24"/>
        <v>1332.64</v>
      </c>
      <c r="K80" s="75">
        <f t="shared" si="24"/>
        <v>1303.8400000000001</v>
      </c>
      <c r="L80" s="75">
        <f t="shared" si="24"/>
        <v>1368.94</v>
      </c>
      <c r="M80" s="75">
        <f t="shared" si="24"/>
        <v>1405.1399999999999</v>
      </c>
      <c r="N80" s="75">
        <f t="shared" si="24"/>
        <v>1432.8400000000001</v>
      </c>
      <c r="O80" s="75">
        <f t="shared" si="24"/>
        <v>1457.6399999999999</v>
      </c>
      <c r="P80" s="75">
        <f t="shared" si="24"/>
        <v>1473.24</v>
      </c>
      <c r="Q80" s="75">
        <f t="shared" si="24"/>
        <v>1458.9400000000003</v>
      </c>
      <c r="R80" s="75">
        <f t="shared" si="24"/>
        <v>1497.5400000000002</v>
      </c>
      <c r="S80" s="75">
        <f t="shared" si="24"/>
        <v>1450.7400000000002</v>
      </c>
      <c r="T80" s="75">
        <f t="shared" si="24"/>
        <v>1458.7400000000002</v>
      </c>
      <c r="U80" s="75">
        <f t="shared" si="24"/>
        <v>1399.1399999999999</v>
      </c>
      <c r="V80" s="75">
        <f t="shared" si="24"/>
        <v>1384.1399999999999</v>
      </c>
      <c r="W80" s="75">
        <f t="shared" si="24"/>
        <v>1429.1399999999999</v>
      </c>
      <c r="X80" s="75">
        <f t="shared" si="24"/>
        <v>1389.7400000000002</v>
      </c>
      <c r="Y80" s="75">
        <f t="shared" si="24"/>
        <v>1435.7400000000002</v>
      </c>
      <c r="Z80" s="75">
        <f t="shared" si="24"/>
        <v>1478.8400000000001</v>
      </c>
      <c r="AA80" s="75">
        <f t="shared" si="24"/>
        <v>1579.8400000000001</v>
      </c>
      <c r="AB80" s="75">
        <f t="shared" si="24"/>
        <v>1655.54</v>
      </c>
      <c r="AC80" s="75">
        <f t="shared" si="24"/>
        <v>1592.8400000000001</v>
      </c>
      <c r="AD80" s="75">
        <f t="shared" si="24"/>
        <v>1589.74</v>
      </c>
      <c r="AE80" s="75">
        <f t="shared" si="24"/>
        <v>1520.84</v>
      </c>
      <c r="AF80" s="75">
        <f t="shared" si="24"/>
        <v>1465.74</v>
      </c>
      <c r="AG80" s="138"/>
      <c r="AH80" s="54">
        <f t="shared" ref="AH80:AH97" si="26">MAX(B80:AF80)</f>
        <v>1655.54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>IF(B64&lt;0,B64*-1,0)</f>
        <v>0</v>
      </c>
      <c r="C81" s="71">
        <f t="shared" ref="C81:AF81" si="27">IF(C64&lt;0,C64*-1,0)</f>
        <v>0</v>
      </c>
      <c r="D81" s="71">
        <f t="shared" si="27"/>
        <v>0</v>
      </c>
      <c r="E81" s="71">
        <f t="shared" si="27"/>
        <v>0</v>
      </c>
      <c r="F81" s="71">
        <f t="shared" si="27"/>
        <v>0</v>
      </c>
      <c r="G81" s="71">
        <f t="shared" si="27"/>
        <v>0</v>
      </c>
      <c r="H81" s="71">
        <f t="shared" ref="H81:I81" si="28">IF(H64&lt;0,H64*-1,0)</f>
        <v>0</v>
      </c>
      <c r="I81" s="71">
        <f t="shared" si="28"/>
        <v>0</v>
      </c>
      <c r="J81" s="71">
        <f t="shared" si="27"/>
        <v>0</v>
      </c>
      <c r="K81" s="71">
        <f t="shared" si="27"/>
        <v>0</v>
      </c>
      <c r="L81" s="71">
        <f t="shared" si="27"/>
        <v>0</v>
      </c>
      <c r="M81" s="71">
        <f t="shared" si="27"/>
        <v>0</v>
      </c>
      <c r="N81" s="71">
        <f t="shared" si="27"/>
        <v>0</v>
      </c>
      <c r="O81" s="71">
        <f t="shared" si="27"/>
        <v>0</v>
      </c>
      <c r="P81" s="71">
        <f t="shared" si="27"/>
        <v>0</v>
      </c>
      <c r="Q81" s="71">
        <f t="shared" si="27"/>
        <v>0</v>
      </c>
      <c r="R81" s="71">
        <f t="shared" si="27"/>
        <v>0</v>
      </c>
      <c r="S81" s="71">
        <f t="shared" si="27"/>
        <v>0</v>
      </c>
      <c r="T81" s="71">
        <f t="shared" si="27"/>
        <v>0</v>
      </c>
      <c r="U81" s="71">
        <f t="shared" si="27"/>
        <v>0</v>
      </c>
      <c r="V81" s="71">
        <f t="shared" si="27"/>
        <v>0</v>
      </c>
      <c r="W81" s="71">
        <f t="shared" si="27"/>
        <v>0</v>
      </c>
      <c r="X81" s="71">
        <f t="shared" si="27"/>
        <v>0</v>
      </c>
      <c r="Y81" s="71">
        <f t="shared" si="27"/>
        <v>0</v>
      </c>
      <c r="Z81" s="71">
        <f t="shared" si="27"/>
        <v>0</v>
      </c>
      <c r="AA81" s="71">
        <f t="shared" si="27"/>
        <v>0</v>
      </c>
      <c r="AB81" s="71">
        <f t="shared" si="27"/>
        <v>0</v>
      </c>
      <c r="AC81" s="71">
        <f t="shared" si="27"/>
        <v>0</v>
      </c>
      <c r="AD81" s="71">
        <f t="shared" si="27"/>
        <v>0</v>
      </c>
      <c r="AE81" s="71">
        <f t="shared" si="27"/>
        <v>0</v>
      </c>
      <c r="AF81" s="71">
        <f t="shared" si="27"/>
        <v>0</v>
      </c>
      <c r="AG81" s="135"/>
      <c r="AH81" s="54">
        <f t="shared" si="26"/>
        <v>0</v>
      </c>
      <c r="AI81" s="55">
        <f t="shared" ref="AI81:AI97" si="29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>IF(B62&lt;0,B62*-1,0)</f>
        <v>0</v>
      </c>
      <c r="C82" s="71">
        <f t="shared" ref="C82:AF82" si="30">IF(C62&lt;0,C62*-1,0)</f>
        <v>0</v>
      </c>
      <c r="D82" s="71">
        <f t="shared" si="30"/>
        <v>0</v>
      </c>
      <c r="E82" s="71">
        <f t="shared" si="30"/>
        <v>0</v>
      </c>
      <c r="F82" s="71">
        <f t="shared" si="30"/>
        <v>0</v>
      </c>
      <c r="G82" s="71">
        <f t="shared" si="30"/>
        <v>0</v>
      </c>
      <c r="H82" s="71">
        <f t="shared" ref="H82:I82" si="31">IF(H62&lt;0,H62*-1,0)</f>
        <v>0</v>
      </c>
      <c r="I82" s="71">
        <f t="shared" si="31"/>
        <v>0</v>
      </c>
      <c r="J82" s="71">
        <f t="shared" si="30"/>
        <v>0</v>
      </c>
      <c r="K82" s="71">
        <f t="shared" si="30"/>
        <v>0</v>
      </c>
      <c r="L82" s="71">
        <f t="shared" si="30"/>
        <v>0</v>
      </c>
      <c r="M82" s="71">
        <f t="shared" si="30"/>
        <v>0</v>
      </c>
      <c r="N82" s="71">
        <f t="shared" si="30"/>
        <v>0</v>
      </c>
      <c r="O82" s="71">
        <f t="shared" si="30"/>
        <v>0</v>
      </c>
      <c r="P82" s="71">
        <f t="shared" si="30"/>
        <v>0</v>
      </c>
      <c r="Q82" s="71">
        <f t="shared" si="30"/>
        <v>0</v>
      </c>
      <c r="R82" s="71">
        <f t="shared" si="30"/>
        <v>0</v>
      </c>
      <c r="S82" s="71">
        <f t="shared" si="30"/>
        <v>0</v>
      </c>
      <c r="T82" s="71">
        <f t="shared" si="30"/>
        <v>0</v>
      </c>
      <c r="U82" s="71">
        <f t="shared" si="30"/>
        <v>0</v>
      </c>
      <c r="V82" s="71">
        <f t="shared" si="30"/>
        <v>0</v>
      </c>
      <c r="W82" s="71">
        <f t="shared" si="30"/>
        <v>0</v>
      </c>
      <c r="X82" s="71">
        <f t="shared" si="30"/>
        <v>0</v>
      </c>
      <c r="Y82" s="71">
        <f t="shared" si="30"/>
        <v>0</v>
      </c>
      <c r="Z82" s="71">
        <f t="shared" si="30"/>
        <v>0</v>
      </c>
      <c r="AA82" s="71">
        <f t="shared" si="30"/>
        <v>0</v>
      </c>
      <c r="AB82" s="71">
        <f t="shared" si="30"/>
        <v>0</v>
      </c>
      <c r="AC82" s="71">
        <f t="shared" si="30"/>
        <v>0</v>
      </c>
      <c r="AD82" s="71">
        <f t="shared" si="30"/>
        <v>0</v>
      </c>
      <c r="AE82" s="71">
        <f t="shared" si="30"/>
        <v>0</v>
      </c>
      <c r="AF82" s="71">
        <f t="shared" si="30"/>
        <v>0</v>
      </c>
      <c r="AG82" s="136"/>
      <c r="AH82" s="54">
        <f t="shared" si="26"/>
        <v>0</v>
      </c>
      <c r="AI82" s="55">
        <f t="shared" si="29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>IF(B65&lt;0,B65*-1,0)</f>
        <v>0</v>
      </c>
      <c r="C83" s="71">
        <f t="shared" ref="C83:AF83" si="32">IF(C65&lt;0,C65*-1,0)</f>
        <v>0</v>
      </c>
      <c r="D83" s="71">
        <f t="shared" si="32"/>
        <v>0</v>
      </c>
      <c r="E83" s="71">
        <f t="shared" si="32"/>
        <v>0</v>
      </c>
      <c r="F83" s="71">
        <f t="shared" si="32"/>
        <v>0</v>
      </c>
      <c r="G83" s="71">
        <f t="shared" si="32"/>
        <v>0</v>
      </c>
      <c r="H83" s="71">
        <f t="shared" ref="H83:I83" si="33">IF(H65&lt;0,H65*-1,0)</f>
        <v>0</v>
      </c>
      <c r="I83" s="71">
        <f t="shared" si="33"/>
        <v>0</v>
      </c>
      <c r="J83" s="71">
        <f t="shared" si="32"/>
        <v>0</v>
      </c>
      <c r="K83" s="71">
        <f t="shared" si="32"/>
        <v>0</v>
      </c>
      <c r="L83" s="71">
        <f t="shared" si="32"/>
        <v>0</v>
      </c>
      <c r="M83" s="71">
        <f t="shared" si="32"/>
        <v>0</v>
      </c>
      <c r="N83" s="71">
        <f t="shared" si="32"/>
        <v>0</v>
      </c>
      <c r="O83" s="71">
        <f t="shared" si="32"/>
        <v>0</v>
      </c>
      <c r="P83" s="71">
        <f t="shared" si="32"/>
        <v>0</v>
      </c>
      <c r="Q83" s="71">
        <f t="shared" si="32"/>
        <v>0</v>
      </c>
      <c r="R83" s="71">
        <f t="shared" si="32"/>
        <v>0</v>
      </c>
      <c r="S83" s="71">
        <f t="shared" si="32"/>
        <v>0</v>
      </c>
      <c r="T83" s="71">
        <f t="shared" si="32"/>
        <v>0</v>
      </c>
      <c r="U83" s="71">
        <f t="shared" si="32"/>
        <v>0</v>
      </c>
      <c r="V83" s="71">
        <f t="shared" si="32"/>
        <v>0</v>
      </c>
      <c r="W83" s="71">
        <f t="shared" si="32"/>
        <v>0</v>
      </c>
      <c r="X83" s="71">
        <f t="shared" si="32"/>
        <v>0</v>
      </c>
      <c r="Y83" s="71">
        <f t="shared" si="32"/>
        <v>0</v>
      </c>
      <c r="Z83" s="71">
        <f t="shared" si="32"/>
        <v>0</v>
      </c>
      <c r="AA83" s="71">
        <f t="shared" si="32"/>
        <v>0</v>
      </c>
      <c r="AB83" s="71">
        <f t="shared" si="32"/>
        <v>0</v>
      </c>
      <c r="AC83" s="71">
        <f t="shared" si="32"/>
        <v>0</v>
      </c>
      <c r="AD83" s="71">
        <f t="shared" si="32"/>
        <v>0</v>
      </c>
      <c r="AE83" s="71">
        <f t="shared" si="32"/>
        <v>0</v>
      </c>
      <c r="AF83" s="71">
        <f t="shared" si="32"/>
        <v>0</v>
      </c>
      <c r="AG83" s="144"/>
      <c r="AH83" s="54">
        <f t="shared" si="26"/>
        <v>0</v>
      </c>
      <c r="AI83" s="55">
        <f t="shared" si="29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>IF(B63&lt;0,B63*-1,0)</f>
        <v>358</v>
      </c>
      <c r="C84" s="71">
        <f t="shared" ref="C84:AF84" si="34">IF(C63&lt;0,C63*-1,0)</f>
        <v>387</v>
      </c>
      <c r="D84" s="71">
        <f t="shared" si="34"/>
        <v>388</v>
      </c>
      <c r="E84" s="71">
        <f t="shared" si="34"/>
        <v>400</v>
      </c>
      <c r="F84" s="71">
        <f t="shared" si="34"/>
        <v>365</v>
      </c>
      <c r="G84" s="71">
        <f t="shared" si="34"/>
        <v>382</v>
      </c>
      <c r="H84" s="71">
        <f t="shared" ref="H84:I84" si="35">IF(H63&lt;0,H63*-1,0)</f>
        <v>390</v>
      </c>
      <c r="I84" s="71">
        <f t="shared" si="35"/>
        <v>400</v>
      </c>
      <c r="J84" s="71">
        <f t="shared" si="34"/>
        <v>400</v>
      </c>
      <c r="K84" s="71">
        <f t="shared" si="34"/>
        <v>434</v>
      </c>
      <c r="L84" s="71">
        <f t="shared" si="34"/>
        <v>365</v>
      </c>
      <c r="M84" s="71">
        <f t="shared" si="34"/>
        <v>378.9</v>
      </c>
      <c r="N84" s="71">
        <f t="shared" si="34"/>
        <v>401</v>
      </c>
      <c r="O84" s="71">
        <f t="shared" si="34"/>
        <v>290.89999999999998</v>
      </c>
      <c r="P84" s="71">
        <f t="shared" si="34"/>
        <v>302</v>
      </c>
      <c r="Q84" s="71">
        <f t="shared" si="34"/>
        <v>309.8</v>
      </c>
      <c r="R84" s="71">
        <f t="shared" si="34"/>
        <v>285</v>
      </c>
      <c r="S84" s="71">
        <f t="shared" si="34"/>
        <v>323</v>
      </c>
      <c r="T84" s="71">
        <f t="shared" si="34"/>
        <v>310</v>
      </c>
      <c r="U84" s="71">
        <f t="shared" si="34"/>
        <v>280</v>
      </c>
      <c r="V84" s="71">
        <f t="shared" si="34"/>
        <v>320</v>
      </c>
      <c r="W84" s="71">
        <f t="shared" si="34"/>
        <v>370</v>
      </c>
      <c r="X84" s="71">
        <f t="shared" si="34"/>
        <v>420</v>
      </c>
      <c r="Y84" s="71">
        <f t="shared" si="34"/>
        <v>344</v>
      </c>
      <c r="Z84" s="71">
        <f t="shared" si="34"/>
        <v>330</v>
      </c>
      <c r="AA84" s="71">
        <f t="shared" si="34"/>
        <v>202</v>
      </c>
      <c r="AB84" s="71">
        <f t="shared" si="34"/>
        <v>217.6</v>
      </c>
      <c r="AC84" s="71">
        <f t="shared" si="34"/>
        <v>247.5</v>
      </c>
      <c r="AD84" s="71">
        <f t="shared" si="34"/>
        <v>278.2</v>
      </c>
      <c r="AE84" s="71">
        <f t="shared" si="34"/>
        <v>301.2</v>
      </c>
      <c r="AF84" s="71">
        <f t="shared" si="34"/>
        <v>321</v>
      </c>
      <c r="AG84" s="144"/>
      <c r="AH84" s="54">
        <f t="shared" si="26"/>
        <v>434</v>
      </c>
      <c r="AI84" s="55">
        <f t="shared" si="29"/>
        <v>202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>IF(B61&lt;0,B61*-1,0)</f>
        <v>2</v>
      </c>
      <c r="C85" s="71">
        <f t="shared" ref="C85:AF85" si="36">IF(C61&lt;0,C61*-1,0)</f>
        <v>0</v>
      </c>
      <c r="D85" s="71">
        <f t="shared" si="36"/>
        <v>0</v>
      </c>
      <c r="E85" s="71">
        <f t="shared" si="36"/>
        <v>0</v>
      </c>
      <c r="F85" s="71">
        <f t="shared" si="36"/>
        <v>0</v>
      </c>
      <c r="G85" s="71">
        <f t="shared" si="36"/>
        <v>0</v>
      </c>
      <c r="H85" s="71">
        <f t="shared" ref="H85:I85" si="37">IF(H61&lt;0,H61*-1,0)</f>
        <v>0</v>
      </c>
      <c r="I85" s="71">
        <f t="shared" si="37"/>
        <v>0</v>
      </c>
      <c r="J85" s="71">
        <f t="shared" si="36"/>
        <v>0</v>
      </c>
      <c r="K85" s="71">
        <f t="shared" si="36"/>
        <v>0</v>
      </c>
      <c r="L85" s="71">
        <f t="shared" si="36"/>
        <v>0</v>
      </c>
      <c r="M85" s="71">
        <f t="shared" si="36"/>
        <v>0</v>
      </c>
      <c r="N85" s="71">
        <f t="shared" si="36"/>
        <v>0</v>
      </c>
      <c r="O85" s="71">
        <f t="shared" si="36"/>
        <v>0</v>
      </c>
      <c r="P85" s="71">
        <f t="shared" si="36"/>
        <v>0</v>
      </c>
      <c r="Q85" s="71">
        <f t="shared" si="36"/>
        <v>0</v>
      </c>
      <c r="R85" s="71">
        <f t="shared" si="36"/>
        <v>0</v>
      </c>
      <c r="S85" s="71">
        <f t="shared" si="36"/>
        <v>0</v>
      </c>
      <c r="T85" s="71">
        <f t="shared" si="36"/>
        <v>0</v>
      </c>
      <c r="U85" s="71">
        <f t="shared" si="36"/>
        <v>0</v>
      </c>
      <c r="V85" s="71">
        <f t="shared" si="36"/>
        <v>0</v>
      </c>
      <c r="W85" s="71">
        <f t="shared" si="36"/>
        <v>0</v>
      </c>
      <c r="X85" s="71">
        <f t="shared" si="36"/>
        <v>0</v>
      </c>
      <c r="Y85" s="71">
        <f t="shared" si="36"/>
        <v>0</v>
      </c>
      <c r="Z85" s="71">
        <f t="shared" si="36"/>
        <v>0</v>
      </c>
      <c r="AA85" s="71">
        <f t="shared" si="36"/>
        <v>0</v>
      </c>
      <c r="AB85" s="71">
        <f t="shared" si="36"/>
        <v>0</v>
      </c>
      <c r="AC85" s="71">
        <f t="shared" si="36"/>
        <v>0</v>
      </c>
      <c r="AD85" s="71">
        <f t="shared" si="36"/>
        <v>0</v>
      </c>
      <c r="AE85" s="71">
        <f t="shared" si="36"/>
        <v>0</v>
      </c>
      <c r="AF85" s="71">
        <f t="shared" si="36"/>
        <v>0</v>
      </c>
      <c r="AG85" s="144"/>
      <c r="AH85" s="54">
        <f t="shared" si="26"/>
        <v>2</v>
      </c>
      <c r="AI85" s="55">
        <f t="shared" si="29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/>
      <c r="AD86" s="74"/>
      <c r="AE86" s="74"/>
      <c r="AF86" s="74"/>
      <c r="AG86" s="141"/>
      <c r="AH86" s="54">
        <f t="shared" si="26"/>
        <v>0</v>
      </c>
      <c r="AI86" s="55">
        <f t="shared" si="29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>SUM(B81:B86)</f>
        <v>360</v>
      </c>
      <c r="C87" s="66">
        <f t="shared" ref="C87:AF87" si="38">SUM(C81:C86)</f>
        <v>387</v>
      </c>
      <c r="D87" s="66">
        <f t="shared" si="38"/>
        <v>388</v>
      </c>
      <c r="E87" s="66">
        <f t="shared" si="38"/>
        <v>400</v>
      </c>
      <c r="F87" s="66">
        <f t="shared" si="38"/>
        <v>365</v>
      </c>
      <c r="G87" s="66">
        <f t="shared" si="38"/>
        <v>382</v>
      </c>
      <c r="H87" s="66">
        <f t="shared" ref="H87:I87" si="39">SUM(H81:H86)</f>
        <v>390</v>
      </c>
      <c r="I87" s="66">
        <f t="shared" si="39"/>
        <v>400</v>
      </c>
      <c r="J87" s="66">
        <f t="shared" si="38"/>
        <v>400</v>
      </c>
      <c r="K87" s="66">
        <f t="shared" si="38"/>
        <v>434</v>
      </c>
      <c r="L87" s="66">
        <f t="shared" si="38"/>
        <v>365</v>
      </c>
      <c r="M87" s="66">
        <f t="shared" si="38"/>
        <v>378.9</v>
      </c>
      <c r="N87" s="66">
        <f t="shared" si="38"/>
        <v>401</v>
      </c>
      <c r="O87" s="66">
        <f t="shared" si="38"/>
        <v>290.89999999999998</v>
      </c>
      <c r="P87" s="66">
        <f t="shared" si="38"/>
        <v>302</v>
      </c>
      <c r="Q87" s="66">
        <f t="shared" si="38"/>
        <v>309.8</v>
      </c>
      <c r="R87" s="66">
        <f t="shared" si="38"/>
        <v>285</v>
      </c>
      <c r="S87" s="66">
        <f t="shared" si="38"/>
        <v>323</v>
      </c>
      <c r="T87" s="66">
        <f t="shared" si="38"/>
        <v>310</v>
      </c>
      <c r="U87" s="66">
        <f t="shared" si="38"/>
        <v>280</v>
      </c>
      <c r="V87" s="66">
        <f t="shared" si="38"/>
        <v>320</v>
      </c>
      <c r="W87" s="66">
        <f t="shared" si="38"/>
        <v>370</v>
      </c>
      <c r="X87" s="66">
        <f t="shared" si="38"/>
        <v>420</v>
      </c>
      <c r="Y87" s="66">
        <f t="shared" si="38"/>
        <v>344</v>
      </c>
      <c r="Z87" s="66">
        <f t="shared" si="38"/>
        <v>330</v>
      </c>
      <c r="AA87" s="66">
        <f t="shared" si="38"/>
        <v>202</v>
      </c>
      <c r="AB87" s="66">
        <f t="shared" si="38"/>
        <v>217.6</v>
      </c>
      <c r="AC87" s="66">
        <f t="shared" si="38"/>
        <v>247.5</v>
      </c>
      <c r="AD87" s="66">
        <f t="shared" si="38"/>
        <v>278.2</v>
      </c>
      <c r="AE87" s="66">
        <f t="shared" si="38"/>
        <v>301.2</v>
      </c>
      <c r="AF87" s="66">
        <f t="shared" si="38"/>
        <v>321</v>
      </c>
      <c r="AG87" s="138"/>
      <c r="AH87" s="54">
        <f t="shared" si="26"/>
        <v>434</v>
      </c>
      <c r="AI87" s="55">
        <f t="shared" si="29"/>
        <v>202</v>
      </c>
      <c r="AK87" s="56"/>
    </row>
    <row r="88" spans="1:88" s="1" customFormat="1" ht="15.75" thickBot="1" x14ac:dyDescent="0.3">
      <c r="A88" s="65" t="s">
        <v>64</v>
      </c>
      <c r="B88" s="66">
        <f>B72-B87</f>
        <v>-360</v>
      </c>
      <c r="C88" s="66">
        <f t="shared" ref="C88:AF88" si="40">C72-C87</f>
        <v>-384</v>
      </c>
      <c r="D88" s="66">
        <f t="shared" si="40"/>
        <v>-385.8</v>
      </c>
      <c r="E88" s="66">
        <f t="shared" si="40"/>
        <v>-391.8</v>
      </c>
      <c r="F88" s="66">
        <f t="shared" si="40"/>
        <v>-362.8</v>
      </c>
      <c r="G88" s="66">
        <f t="shared" si="40"/>
        <v>-379.8</v>
      </c>
      <c r="H88" s="66">
        <f t="shared" ref="H88:I88" si="41">H72-H87</f>
        <v>-378</v>
      </c>
      <c r="I88" s="66">
        <f t="shared" si="41"/>
        <v>-393.2</v>
      </c>
      <c r="J88" s="66">
        <f t="shared" si="40"/>
        <v>-393.2</v>
      </c>
      <c r="K88" s="66">
        <f t="shared" si="40"/>
        <v>-422</v>
      </c>
      <c r="L88" s="66">
        <f t="shared" si="40"/>
        <v>-356.9</v>
      </c>
      <c r="M88" s="66">
        <f t="shared" si="40"/>
        <v>-358.9</v>
      </c>
      <c r="N88" s="66">
        <f t="shared" si="40"/>
        <v>-350.6</v>
      </c>
      <c r="O88" s="66">
        <f t="shared" si="40"/>
        <v>-250.59999999999997</v>
      </c>
      <c r="P88" s="66">
        <f t="shared" si="40"/>
        <v>-260</v>
      </c>
      <c r="Q88" s="66">
        <f t="shared" si="40"/>
        <v>-263.40000000000003</v>
      </c>
      <c r="R88" s="66">
        <f t="shared" si="40"/>
        <v>-248.8</v>
      </c>
      <c r="S88" s="66">
        <f t="shared" si="40"/>
        <v>-273</v>
      </c>
      <c r="T88" s="66">
        <f t="shared" si="40"/>
        <v>-265</v>
      </c>
      <c r="U88" s="66">
        <f t="shared" si="40"/>
        <v>-238</v>
      </c>
      <c r="V88" s="66">
        <f t="shared" si="40"/>
        <v>-287</v>
      </c>
      <c r="W88" s="66">
        <f t="shared" si="40"/>
        <v>-330</v>
      </c>
      <c r="X88" s="66">
        <f t="shared" si="40"/>
        <v>-370</v>
      </c>
      <c r="Y88" s="66">
        <f t="shared" si="40"/>
        <v>-324</v>
      </c>
      <c r="Z88" s="66">
        <f t="shared" si="40"/>
        <v>-313</v>
      </c>
      <c r="AA88" s="66">
        <f t="shared" si="40"/>
        <v>-187</v>
      </c>
      <c r="AB88" s="66">
        <f t="shared" si="40"/>
        <v>-186.29999999999998</v>
      </c>
      <c r="AC88" s="66">
        <f t="shared" si="40"/>
        <v>-209.4</v>
      </c>
      <c r="AD88" s="66">
        <f t="shared" si="40"/>
        <v>-237.79999999999998</v>
      </c>
      <c r="AE88" s="66">
        <f t="shared" si="40"/>
        <v>-263.59999999999997</v>
      </c>
      <c r="AF88" s="66">
        <f t="shared" si="40"/>
        <v>-294</v>
      </c>
      <c r="AG88" s="138"/>
      <c r="AH88" s="54">
        <f t="shared" si="26"/>
        <v>-186.29999999999998</v>
      </c>
      <c r="AI88" s="55">
        <f t="shared" si="29"/>
        <v>-422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50.07</v>
      </c>
      <c r="C89" s="80">
        <v>50.04</v>
      </c>
      <c r="D89" s="80">
        <v>49.96</v>
      </c>
      <c r="E89" s="80">
        <v>50</v>
      </c>
      <c r="F89" s="80">
        <v>50.03</v>
      </c>
      <c r="G89" s="80">
        <v>50.05</v>
      </c>
      <c r="H89" s="80">
        <v>50.05</v>
      </c>
      <c r="I89" s="80">
        <v>50.05</v>
      </c>
      <c r="J89" s="80">
        <v>50.05</v>
      </c>
      <c r="K89" s="80">
        <v>50.05</v>
      </c>
      <c r="L89" s="80">
        <v>50.05</v>
      </c>
      <c r="M89" s="80">
        <v>49.930999999999997</v>
      </c>
      <c r="N89" s="80">
        <v>50.000999999999998</v>
      </c>
      <c r="O89" s="80">
        <v>49.997999999999998</v>
      </c>
      <c r="P89" s="80">
        <v>50.036000000000001</v>
      </c>
      <c r="Q89" s="80">
        <v>50.000999999999998</v>
      </c>
      <c r="R89" s="80">
        <v>50.122</v>
      </c>
      <c r="S89" s="80">
        <v>50.209000000000003</v>
      </c>
      <c r="T89" s="80">
        <v>50</v>
      </c>
      <c r="U89" s="80">
        <v>50.01</v>
      </c>
      <c r="V89" s="80">
        <v>49.994999999999997</v>
      </c>
      <c r="W89" s="80">
        <v>49.994999999999997</v>
      </c>
      <c r="X89" s="80">
        <v>49.98</v>
      </c>
      <c r="Y89" s="80">
        <v>50.04</v>
      </c>
      <c r="Z89" s="80">
        <v>50.040999999999997</v>
      </c>
      <c r="AA89" s="80">
        <v>50.040999999999997</v>
      </c>
      <c r="AB89" s="80">
        <v>49.993000000000002</v>
      </c>
      <c r="AC89" s="80">
        <v>50.012</v>
      </c>
      <c r="AD89" s="80">
        <v>50.023000000000003</v>
      </c>
      <c r="AE89" s="80">
        <v>49.911000000000001</v>
      </c>
      <c r="AF89" s="80">
        <v>50.064999999999998</v>
      </c>
      <c r="AG89" s="145"/>
      <c r="AH89" s="54">
        <f t="shared" si="26"/>
        <v>50.209000000000003</v>
      </c>
      <c r="AI89" s="55">
        <f t="shared" si="29"/>
        <v>49.911000000000001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124</v>
      </c>
      <c r="C90" s="48">
        <v>124</v>
      </c>
      <c r="D90" s="48">
        <v>124</v>
      </c>
      <c r="E90" s="48">
        <v>125.3</v>
      </c>
      <c r="F90" s="48">
        <v>125.4</v>
      </c>
      <c r="G90" s="48">
        <v>125.1</v>
      </c>
      <c r="H90" s="48">
        <v>125.1</v>
      </c>
      <c r="I90" s="48">
        <v>125.1</v>
      </c>
      <c r="J90" s="48">
        <v>125.1</v>
      </c>
      <c r="K90" s="48">
        <v>125.1</v>
      </c>
      <c r="L90" s="48">
        <v>125</v>
      </c>
      <c r="M90" s="48">
        <v>122.8</v>
      </c>
      <c r="N90" s="48">
        <v>124.1</v>
      </c>
      <c r="O90" s="48">
        <v>124.1</v>
      </c>
      <c r="P90" s="48">
        <v>123.5</v>
      </c>
      <c r="Q90" s="48">
        <v>122.2</v>
      </c>
      <c r="R90" s="48">
        <v>123.6</v>
      </c>
      <c r="S90" s="48">
        <v>123.6</v>
      </c>
      <c r="T90" s="48">
        <v>123.6</v>
      </c>
      <c r="U90" s="48">
        <v>123.6</v>
      </c>
      <c r="V90" s="48">
        <v>125</v>
      </c>
      <c r="W90" s="48">
        <v>125</v>
      </c>
      <c r="X90" s="48">
        <v>125</v>
      </c>
      <c r="Y90" s="48">
        <v>125</v>
      </c>
      <c r="Z90" s="48">
        <v>125.5</v>
      </c>
      <c r="AA90" s="48">
        <v>125.5</v>
      </c>
      <c r="AB90" s="48">
        <v>125.4</v>
      </c>
      <c r="AC90" s="48">
        <v>126.1</v>
      </c>
      <c r="AD90" s="48">
        <v>126.3</v>
      </c>
      <c r="AE90" s="48">
        <v>125.3</v>
      </c>
      <c r="AF90" s="48">
        <v>124.9</v>
      </c>
      <c r="AG90" s="146"/>
      <c r="AH90" s="54">
        <f t="shared" si="26"/>
        <v>126.3</v>
      </c>
      <c r="AI90" s="55">
        <f t="shared" si="29"/>
        <v>122.2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129</v>
      </c>
      <c r="C91" s="48">
        <v>129</v>
      </c>
      <c r="D91" s="48">
        <v>129</v>
      </c>
      <c r="E91" s="48">
        <v>130.30000000000001</v>
      </c>
      <c r="F91" s="48">
        <v>129.9</v>
      </c>
      <c r="G91" s="48">
        <v>129.9</v>
      </c>
      <c r="H91" s="48">
        <v>129.9</v>
      </c>
      <c r="I91" s="48">
        <v>129.9</v>
      </c>
      <c r="J91" s="48">
        <v>129.9</v>
      </c>
      <c r="K91" s="48">
        <v>129.4</v>
      </c>
      <c r="L91" s="48">
        <v>129.9</v>
      </c>
      <c r="M91" s="48">
        <v>126.4</v>
      </c>
      <c r="N91" s="48">
        <v>127.1</v>
      </c>
      <c r="O91" s="48">
        <v>127.1</v>
      </c>
      <c r="P91" s="48">
        <v>126.9</v>
      </c>
      <c r="Q91" s="48">
        <v>126.5</v>
      </c>
      <c r="R91" s="48">
        <v>127.3</v>
      </c>
      <c r="S91" s="48">
        <v>127.3</v>
      </c>
      <c r="T91" s="48">
        <v>127.3</v>
      </c>
      <c r="U91" s="48">
        <v>127.3</v>
      </c>
      <c r="V91" s="48">
        <v>128</v>
      </c>
      <c r="W91" s="48">
        <v>128</v>
      </c>
      <c r="X91" s="48">
        <v>128</v>
      </c>
      <c r="Y91" s="48">
        <v>128</v>
      </c>
      <c r="Z91" s="48">
        <v>128.6</v>
      </c>
      <c r="AA91" s="48">
        <v>128.6</v>
      </c>
      <c r="AB91" s="48">
        <v>128.9</v>
      </c>
      <c r="AC91" s="48">
        <v>129.6</v>
      </c>
      <c r="AD91" s="48">
        <v>130</v>
      </c>
      <c r="AE91" s="48">
        <v>129.9</v>
      </c>
      <c r="AF91" s="48">
        <v>129.9</v>
      </c>
      <c r="AG91" s="146"/>
      <c r="AH91" s="54">
        <f t="shared" si="26"/>
        <v>130.30000000000001</v>
      </c>
      <c r="AI91" s="55">
        <f t="shared" si="29"/>
        <v>126.4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126.6</v>
      </c>
      <c r="C92" s="48">
        <v>126.6</v>
      </c>
      <c r="D92" s="48">
        <v>126.6</v>
      </c>
      <c r="E92" s="48">
        <v>131.4</v>
      </c>
      <c r="F92" s="48">
        <v>130.6</v>
      </c>
      <c r="G92" s="48">
        <v>128.1</v>
      </c>
      <c r="H92" s="48">
        <v>128.1</v>
      </c>
      <c r="I92" s="48">
        <v>128.1</v>
      </c>
      <c r="J92" s="48">
        <v>128.1</v>
      </c>
      <c r="K92" s="48">
        <v>128.1</v>
      </c>
      <c r="L92" s="48">
        <v>128.1</v>
      </c>
      <c r="M92" s="48">
        <v>129.19999999999999</v>
      </c>
      <c r="N92" s="48">
        <v>128.9</v>
      </c>
      <c r="O92" s="48">
        <v>128.9</v>
      </c>
      <c r="P92" s="48">
        <v>129.4</v>
      </c>
      <c r="Q92" s="48">
        <v>128.19999999999999</v>
      </c>
      <c r="R92" s="48">
        <v>128.1</v>
      </c>
      <c r="S92" s="48">
        <v>128.1</v>
      </c>
      <c r="T92" s="48">
        <v>128.1</v>
      </c>
      <c r="U92" s="48">
        <v>128.1</v>
      </c>
      <c r="V92" s="48">
        <v>130</v>
      </c>
      <c r="W92" s="48">
        <v>130</v>
      </c>
      <c r="X92" s="48">
        <v>130</v>
      </c>
      <c r="Y92" s="48">
        <v>130</v>
      </c>
      <c r="Z92" s="48">
        <v>130</v>
      </c>
      <c r="AA92" s="48">
        <v>130</v>
      </c>
      <c r="AB92" s="48">
        <v>129.19999999999999</v>
      </c>
      <c r="AC92" s="48">
        <v>129.80000000000001</v>
      </c>
      <c r="AD92" s="48">
        <v>128.30000000000001</v>
      </c>
      <c r="AE92" s="48">
        <v>128</v>
      </c>
      <c r="AF92" s="48">
        <v>129.5</v>
      </c>
      <c r="AG92" s="146"/>
      <c r="AH92" s="54">
        <f t="shared" si="26"/>
        <v>131.4</v>
      </c>
      <c r="AI92" s="55">
        <f t="shared" si="29"/>
        <v>126.6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>
        <v>131</v>
      </c>
      <c r="C93" s="48">
        <v>131</v>
      </c>
      <c r="D93" s="48">
        <v>131</v>
      </c>
      <c r="E93" s="48">
        <v>135.6</v>
      </c>
      <c r="F93" s="48">
        <v>135.6</v>
      </c>
      <c r="G93" s="48">
        <v>134</v>
      </c>
      <c r="H93" s="48">
        <v>134</v>
      </c>
      <c r="I93" s="48">
        <v>134</v>
      </c>
      <c r="J93" s="48">
        <v>134</v>
      </c>
      <c r="K93" s="48">
        <v>134</v>
      </c>
      <c r="L93" s="48">
        <v>133.1</v>
      </c>
      <c r="M93" s="48">
        <v>134.4</v>
      </c>
      <c r="N93" s="48">
        <v>134.69999999999999</v>
      </c>
      <c r="O93" s="48">
        <v>134.69999999999999</v>
      </c>
      <c r="P93" s="48">
        <v>134</v>
      </c>
      <c r="Q93" s="48">
        <v>133.19999999999999</v>
      </c>
      <c r="R93" s="48">
        <v>132.6</v>
      </c>
      <c r="S93" s="48">
        <v>132.6</v>
      </c>
      <c r="T93" s="48">
        <v>132.6</v>
      </c>
      <c r="U93" s="48">
        <v>132.6</v>
      </c>
      <c r="V93" s="48">
        <v>133</v>
      </c>
      <c r="W93" s="48">
        <v>133</v>
      </c>
      <c r="X93" s="48">
        <v>133</v>
      </c>
      <c r="Y93" s="48">
        <v>133</v>
      </c>
      <c r="Z93" s="48">
        <v>133</v>
      </c>
      <c r="AA93" s="48">
        <v>133</v>
      </c>
      <c r="AB93" s="48">
        <v>134</v>
      </c>
      <c r="AC93" s="48">
        <v>134.69999999999999</v>
      </c>
      <c r="AD93" s="48">
        <v>133.6</v>
      </c>
      <c r="AE93" s="48">
        <v>133.30000000000001</v>
      </c>
      <c r="AF93" s="48">
        <v>135.1</v>
      </c>
      <c r="AG93" s="146"/>
      <c r="AH93" s="54">
        <f t="shared" si="26"/>
        <v>135.6</v>
      </c>
      <c r="AI93" s="55">
        <f t="shared" si="29"/>
        <v>131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132</v>
      </c>
      <c r="C94" s="82">
        <v>132</v>
      </c>
      <c r="D94" s="82">
        <v>132</v>
      </c>
      <c r="E94" s="82">
        <v>132</v>
      </c>
      <c r="F94" s="82">
        <v>130.69999999999999</v>
      </c>
      <c r="G94" s="82">
        <v>132.1</v>
      </c>
      <c r="H94" s="82">
        <v>132.1</v>
      </c>
      <c r="I94" s="82">
        <v>132.1</v>
      </c>
      <c r="J94" s="82">
        <v>132.1</v>
      </c>
      <c r="K94" s="82">
        <v>132.1</v>
      </c>
      <c r="L94" s="82">
        <v>135.5</v>
      </c>
      <c r="M94" s="82">
        <v>133</v>
      </c>
      <c r="N94" s="82">
        <v>131.6</v>
      </c>
      <c r="O94" s="82">
        <v>131.6</v>
      </c>
      <c r="P94" s="82">
        <v>130.9</v>
      </c>
      <c r="Q94" s="82">
        <v>133.30000000000001</v>
      </c>
      <c r="R94" s="82">
        <v>132.80000000000001</v>
      </c>
      <c r="S94" s="82">
        <v>132.80000000000001</v>
      </c>
      <c r="T94" s="82">
        <v>132.80000000000001</v>
      </c>
      <c r="U94" s="82">
        <v>132.80000000000001</v>
      </c>
      <c r="V94" s="82">
        <v>132</v>
      </c>
      <c r="W94" s="82">
        <v>132</v>
      </c>
      <c r="X94" s="82">
        <v>132</v>
      </c>
      <c r="Y94" s="82">
        <v>132</v>
      </c>
      <c r="Z94" s="82">
        <v>133</v>
      </c>
      <c r="AA94" s="82">
        <v>133</v>
      </c>
      <c r="AB94" s="82">
        <v>135.19999999999999</v>
      </c>
      <c r="AC94" s="82">
        <v>131.6</v>
      </c>
      <c r="AD94" s="82">
        <v>135.4</v>
      </c>
      <c r="AE94" s="82">
        <v>132.9</v>
      </c>
      <c r="AF94" s="82">
        <v>132.5</v>
      </c>
      <c r="AG94" s="147"/>
      <c r="AH94" s="54">
        <f t="shared" si="26"/>
        <v>135.5</v>
      </c>
      <c r="AI94" s="55">
        <f t="shared" si="29"/>
        <v>130.69999999999999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129.69999999999999</v>
      </c>
      <c r="C95" s="48">
        <v>129.69999999999999</v>
      </c>
      <c r="D95" s="48">
        <v>129.69999999999999</v>
      </c>
      <c r="E95" s="48">
        <v>132.80000000000001</v>
      </c>
      <c r="F95" s="48">
        <v>131.5</v>
      </c>
      <c r="G95" s="48">
        <v>131.6</v>
      </c>
      <c r="H95" s="48">
        <v>131.6</v>
      </c>
      <c r="I95" s="48">
        <v>131.6</v>
      </c>
      <c r="J95" s="48">
        <v>131.6</v>
      </c>
      <c r="K95" s="48">
        <v>131.6</v>
      </c>
      <c r="L95" s="48">
        <v>135</v>
      </c>
      <c r="M95" s="48">
        <v>126.2</v>
      </c>
      <c r="N95" s="48">
        <v>127.7</v>
      </c>
      <c r="O95" s="48">
        <v>127.7</v>
      </c>
      <c r="P95" s="48">
        <v>133.1</v>
      </c>
      <c r="Q95" s="48">
        <v>126.1</v>
      </c>
      <c r="R95" s="48">
        <v>129.1</v>
      </c>
      <c r="S95" s="48">
        <v>129.1</v>
      </c>
      <c r="T95" s="48">
        <v>129.1</v>
      </c>
      <c r="U95" s="48">
        <v>129.1</v>
      </c>
      <c r="V95" s="48">
        <v>131</v>
      </c>
      <c r="W95" s="48">
        <v>131</v>
      </c>
      <c r="X95" s="48">
        <v>131</v>
      </c>
      <c r="Y95" s="48">
        <v>131</v>
      </c>
      <c r="Z95" s="48">
        <v>130</v>
      </c>
      <c r="AA95" s="48">
        <v>130</v>
      </c>
      <c r="AB95" s="48">
        <v>132.80000000000001</v>
      </c>
      <c r="AC95" s="48">
        <v>126.8</v>
      </c>
      <c r="AD95" s="48">
        <v>133.19999999999999</v>
      </c>
      <c r="AE95" s="48">
        <v>129</v>
      </c>
      <c r="AF95" s="48">
        <v>127.4</v>
      </c>
      <c r="AG95" s="146"/>
      <c r="AH95" s="54">
        <f t="shared" si="26"/>
        <v>135</v>
      </c>
      <c r="AI95" s="55">
        <f t="shared" si="29"/>
        <v>126.1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65.2</v>
      </c>
      <c r="C96" s="83">
        <v>65.2</v>
      </c>
      <c r="D96" s="83">
        <v>65.2</v>
      </c>
      <c r="E96" s="83">
        <v>65.8</v>
      </c>
      <c r="F96" s="83">
        <v>65.8</v>
      </c>
      <c r="G96" s="83">
        <v>65.900000000000006</v>
      </c>
      <c r="H96" s="83">
        <v>65.900000000000006</v>
      </c>
      <c r="I96" s="83">
        <v>65.900000000000006</v>
      </c>
      <c r="J96" s="83">
        <v>65.900000000000006</v>
      </c>
      <c r="K96" s="83">
        <v>65.900000000000006</v>
      </c>
      <c r="L96" s="83">
        <v>64.7</v>
      </c>
      <c r="M96" s="83">
        <v>64</v>
      </c>
      <c r="N96" s="83">
        <v>64.400000000000006</v>
      </c>
      <c r="O96" s="83">
        <v>64.400000000000006</v>
      </c>
      <c r="P96" s="83">
        <v>64</v>
      </c>
      <c r="Q96" s="83">
        <v>63.8</v>
      </c>
      <c r="R96" s="83">
        <v>64.2</v>
      </c>
      <c r="S96" s="83">
        <v>64.2</v>
      </c>
      <c r="T96" s="83">
        <v>64.2</v>
      </c>
      <c r="U96" s="83">
        <v>64.2</v>
      </c>
      <c r="V96" s="83">
        <v>65</v>
      </c>
      <c r="W96" s="83">
        <v>65</v>
      </c>
      <c r="X96" s="83">
        <v>65</v>
      </c>
      <c r="Y96" s="83">
        <v>65</v>
      </c>
      <c r="Z96" s="83">
        <v>65</v>
      </c>
      <c r="AA96" s="83">
        <v>65</v>
      </c>
      <c r="AB96" s="83">
        <v>65.400000000000006</v>
      </c>
      <c r="AC96" s="83">
        <v>65.7</v>
      </c>
      <c r="AD96" s="83">
        <v>65.599999999999994</v>
      </c>
      <c r="AE96" s="83">
        <v>65.8</v>
      </c>
      <c r="AF96" s="83">
        <v>65.8</v>
      </c>
      <c r="AG96" s="148"/>
      <c r="AH96" s="54">
        <f t="shared" si="26"/>
        <v>65.900000000000006</v>
      </c>
      <c r="AI96" s="55">
        <f t="shared" si="29"/>
        <v>63.8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26"/>
        <v>0</v>
      </c>
      <c r="AI97" s="55">
        <f t="shared" si="29"/>
        <v>0</v>
      </c>
    </row>
    <row r="98" spans="1:37" ht="15.75" thickBot="1" x14ac:dyDescent="0.3">
      <c r="A98" s="85" t="s">
        <v>73</v>
      </c>
      <c r="B98" s="86">
        <f t="shared" ref="B98:G98" si="42">SUM(B15,B18,B21:B22,B46,B48:B49,B51,B53,B99:B102,B123,B129,B135,B144,B146,B158,B165,B168:B169,B176,B178,B180,B184:B186,B188:B190,B195,B201:B202,B204:B206,B214,B219)</f>
        <v>26.999999999999982</v>
      </c>
      <c r="C98" s="86">
        <f t="shared" si="42"/>
        <v>21.839999999999989</v>
      </c>
      <c r="D98" s="86">
        <f t="shared" si="42"/>
        <v>22.739999999999984</v>
      </c>
      <c r="E98" s="86">
        <f t="shared" si="42"/>
        <v>16.039999999999996</v>
      </c>
      <c r="F98" s="86">
        <f t="shared" si="42"/>
        <v>8.2399999999999878</v>
      </c>
      <c r="G98" s="86">
        <f t="shared" si="42"/>
        <v>15.939999999999984</v>
      </c>
      <c r="H98" s="86">
        <f t="shared" ref="H98:I98" si="43">SUM(H15,H18,H21:H22,H46,H48:H49,H51,H53,H99:H102,H123,H129,H135,H144,H146,H158,H165,H168:H169,H176,H178,H180,H184:H186,H188:H190,H195,H201:H202,H204:H206,H214,H219)</f>
        <v>16.939999999999984</v>
      </c>
      <c r="I98" s="86">
        <f t="shared" si="43"/>
        <v>17.939999999999984</v>
      </c>
      <c r="J98" s="86">
        <f t="shared" ref="J98:AF98" si="44">SUM(J15,J18,J21:J22,J46,J48:J49,J51,J53,J99:J102,J123,J129,J135,J144,J146,J158,J165,J168:J169,J176,J178,J180,J184:J186,J188:J190,J195,J201:J202,J204:J206,J214,J219)</f>
        <v>18.939999999999984</v>
      </c>
      <c r="K98" s="86">
        <f t="shared" si="44"/>
        <v>19.939999999999984</v>
      </c>
      <c r="L98" s="86">
        <f t="shared" si="44"/>
        <v>106.54</v>
      </c>
      <c r="M98" s="86">
        <f t="shared" si="44"/>
        <v>196.43999999999997</v>
      </c>
      <c r="N98" s="86">
        <f t="shared" si="44"/>
        <v>213.54</v>
      </c>
      <c r="O98" s="86">
        <f t="shared" si="44"/>
        <v>190.94</v>
      </c>
      <c r="P98" s="86">
        <f t="shared" si="44"/>
        <v>224.34000000000003</v>
      </c>
      <c r="Q98" s="86">
        <f t="shared" si="44"/>
        <v>247.69999999999996</v>
      </c>
      <c r="R98" s="86">
        <f t="shared" si="44"/>
        <v>192.90000000000003</v>
      </c>
      <c r="S98" s="86">
        <f t="shared" si="44"/>
        <v>139.19999999999999</v>
      </c>
      <c r="T98" s="86">
        <f t="shared" si="44"/>
        <v>128.19999999999999</v>
      </c>
      <c r="U98" s="86">
        <f t="shared" si="44"/>
        <v>106.69999999999999</v>
      </c>
      <c r="V98" s="86">
        <f t="shared" si="44"/>
        <v>219.6</v>
      </c>
      <c r="W98" s="86">
        <f t="shared" si="44"/>
        <v>175.6</v>
      </c>
      <c r="X98" s="86">
        <f t="shared" si="44"/>
        <v>155.19999999999999</v>
      </c>
      <c r="Y98" s="86">
        <f t="shared" si="44"/>
        <v>188.2</v>
      </c>
      <c r="Z98" s="86">
        <f t="shared" si="44"/>
        <v>216.2</v>
      </c>
      <c r="AA98" s="86">
        <f t="shared" si="44"/>
        <v>338.2</v>
      </c>
      <c r="AB98" s="86">
        <f t="shared" si="44"/>
        <v>228.2</v>
      </c>
      <c r="AC98" s="86">
        <f t="shared" si="44"/>
        <v>192.6</v>
      </c>
      <c r="AD98" s="86">
        <f t="shared" si="44"/>
        <v>172.49999999999997</v>
      </c>
      <c r="AE98" s="86">
        <f t="shared" si="44"/>
        <v>119.2</v>
      </c>
      <c r="AF98" s="86">
        <f t="shared" si="44"/>
        <v>229.8</v>
      </c>
      <c r="AG98" s="150"/>
      <c r="AH98" s="54">
        <f>MAX(C98:AF98)</f>
        <v>338.2</v>
      </c>
      <c r="AI98" s="55">
        <f>MIN(C98:AF98)</f>
        <v>8.2399999999999878</v>
      </c>
    </row>
    <row r="99" spans="1:37" x14ac:dyDescent="0.25">
      <c r="A99" s="170" t="s">
        <v>74</v>
      </c>
      <c r="B99" s="87">
        <v>12.5</v>
      </c>
      <c r="C99" s="87">
        <v>12.9</v>
      </c>
      <c r="D99" s="87">
        <v>15</v>
      </c>
      <c r="E99" s="87">
        <v>16.8</v>
      </c>
      <c r="F99" s="87">
        <v>16.7</v>
      </c>
      <c r="G99" s="87">
        <v>21.5</v>
      </c>
      <c r="H99" s="87">
        <v>22.5</v>
      </c>
      <c r="I99" s="87">
        <v>23.5</v>
      </c>
      <c r="J99" s="87">
        <v>24.5</v>
      </c>
      <c r="K99" s="87">
        <v>25.5</v>
      </c>
      <c r="L99" s="87">
        <v>25.3</v>
      </c>
      <c r="M99" s="87">
        <f>45.3+27.9</f>
        <v>73.199999999999989</v>
      </c>
      <c r="N99" s="87">
        <f>31.7+52.9</f>
        <v>84.6</v>
      </c>
      <c r="O99" s="87">
        <v>72</v>
      </c>
      <c r="P99" s="87">
        <f>43.5+27.5</f>
        <v>71</v>
      </c>
      <c r="Q99" s="87">
        <f>35.1+62.4</f>
        <v>97.5</v>
      </c>
      <c r="R99" s="87">
        <f>37.2+22.5</f>
        <v>59.7</v>
      </c>
      <c r="S99" s="87">
        <v>40</v>
      </c>
      <c r="T99" s="87">
        <v>42</v>
      </c>
      <c r="U99" s="87">
        <v>44</v>
      </c>
      <c r="V99" s="87">
        <v>44</v>
      </c>
      <c r="W99" s="87"/>
      <c r="X99" s="87">
        <v>39</v>
      </c>
      <c r="Y99" s="87">
        <v>26</v>
      </c>
      <c r="Z99" s="87">
        <v>30</v>
      </c>
      <c r="AA99" s="87">
        <v>18</v>
      </c>
      <c r="AB99" s="87">
        <v>22</v>
      </c>
      <c r="AC99" s="87">
        <v>22</v>
      </c>
      <c r="AD99" s="87">
        <v>22.2</v>
      </c>
      <c r="AE99" s="87">
        <v>24.5</v>
      </c>
      <c r="AF99" s="87">
        <v>22.2</v>
      </c>
      <c r="AG99" s="151">
        <v>75</v>
      </c>
      <c r="AH99" s="54">
        <f t="shared" ref="AH99:AH105" si="45">IF(ABS(MAX(C99:AF99))&gt;ABS(MIN(C99:AF99)),MAX(C99:AF99),MIN(C99:AF99))</f>
        <v>97.5</v>
      </c>
      <c r="AI99" s="89">
        <f t="shared" ref="AI99:AI105" si="46">INDEX($C$9:$AF$9,1,MATCH(AH99,C99:AF99,0))</f>
        <v>0.5</v>
      </c>
    </row>
    <row r="100" spans="1:37" x14ac:dyDescent="0.25">
      <c r="A100" s="163" t="s">
        <v>75</v>
      </c>
      <c r="B100" s="90">
        <v>-140</v>
      </c>
      <c r="C100" s="90">
        <v>-145</v>
      </c>
      <c r="D100" s="90">
        <v>-146</v>
      </c>
      <c r="E100" s="90">
        <f>-71.7-77.8</f>
        <v>-149.5</v>
      </c>
      <c r="F100" s="90">
        <f>-78.5-80.7</f>
        <v>-159.19999999999999</v>
      </c>
      <c r="G100" s="90">
        <f>-73.5-78.9</f>
        <v>-152.4</v>
      </c>
      <c r="H100" s="90">
        <f t="shared" ref="H100:K100" si="47">-73.5-78.9</f>
        <v>-152.4</v>
      </c>
      <c r="I100" s="90">
        <f t="shared" si="47"/>
        <v>-152.4</v>
      </c>
      <c r="J100" s="90">
        <f t="shared" si="47"/>
        <v>-152.4</v>
      </c>
      <c r="K100" s="90">
        <f t="shared" si="47"/>
        <v>-152.4</v>
      </c>
      <c r="L100" s="90">
        <f>-41.8-45.4</f>
        <v>-87.199999999999989</v>
      </c>
      <c r="M100" s="90">
        <v>-92</v>
      </c>
      <c r="N100" s="90">
        <v>-96</v>
      </c>
      <c r="O100" s="90">
        <v>-96</v>
      </c>
      <c r="P100" s="90">
        <v>-102</v>
      </c>
      <c r="Q100" s="90">
        <v>-100</v>
      </c>
      <c r="R100" s="90">
        <v>-110</v>
      </c>
      <c r="S100" s="90">
        <v>-83</v>
      </c>
      <c r="T100" s="90">
        <v>-90</v>
      </c>
      <c r="U100" s="90">
        <v>-96</v>
      </c>
      <c r="V100" s="90"/>
      <c r="W100" s="90"/>
      <c r="X100" s="90">
        <v>-100</v>
      </c>
      <c r="Y100" s="90">
        <v>-80</v>
      </c>
      <c r="Z100" s="90">
        <v>-79</v>
      </c>
      <c r="AA100" s="90"/>
      <c r="AB100" s="90">
        <v>-75</v>
      </c>
      <c r="AC100" s="90">
        <v>-89</v>
      </c>
      <c r="AD100" s="90">
        <v>-99.5</v>
      </c>
      <c r="AE100" s="90">
        <v>-124.5</v>
      </c>
      <c r="AF100" s="90"/>
      <c r="AG100" s="151">
        <v>240</v>
      </c>
      <c r="AH100" s="54">
        <f t="shared" si="45"/>
        <v>-159.19999999999999</v>
      </c>
      <c r="AI100" s="89">
        <f t="shared" si="46"/>
        <v>0.16666666666666699</v>
      </c>
    </row>
    <row r="101" spans="1:37" x14ac:dyDescent="0.25">
      <c r="A101" s="163" t="s">
        <v>76</v>
      </c>
      <c r="B101" s="90">
        <v>-2.2999999999999998</v>
      </c>
      <c r="C101" s="90">
        <v>-3.8</v>
      </c>
      <c r="D101" s="90">
        <v>-4</v>
      </c>
      <c r="E101" s="90">
        <v>-9</v>
      </c>
      <c r="F101" s="90">
        <v>-6.9</v>
      </c>
      <c r="G101" s="90">
        <v>-10.8</v>
      </c>
      <c r="H101" s="90">
        <v>-10.8</v>
      </c>
      <c r="I101" s="90">
        <v>-10.8</v>
      </c>
      <c r="J101" s="90">
        <v>-10.8</v>
      </c>
      <c r="K101" s="90">
        <v>-10.8</v>
      </c>
      <c r="L101" s="90">
        <v>10.8</v>
      </c>
      <c r="M101" s="90">
        <v>10.6</v>
      </c>
      <c r="N101" s="90">
        <v>11.4</v>
      </c>
      <c r="O101" s="90">
        <v>11.4</v>
      </c>
      <c r="P101" s="90">
        <v>12</v>
      </c>
      <c r="Q101" s="90">
        <v>9.6999999999999993</v>
      </c>
      <c r="R101" s="90">
        <v>6.4</v>
      </c>
      <c r="S101" s="90">
        <v>10</v>
      </c>
      <c r="T101" s="90">
        <v>10</v>
      </c>
      <c r="U101" s="90">
        <v>8.5</v>
      </c>
      <c r="V101" s="90"/>
      <c r="W101" s="90"/>
      <c r="X101" s="90">
        <v>7</v>
      </c>
      <c r="Y101" s="90">
        <v>10</v>
      </c>
      <c r="Z101" s="90">
        <v>12</v>
      </c>
      <c r="AA101" s="90">
        <v>50</v>
      </c>
      <c r="AB101" s="90">
        <v>36.799999999999997</v>
      </c>
      <c r="AC101" s="90">
        <v>26.1</v>
      </c>
      <c r="AD101" s="90">
        <v>32.5</v>
      </c>
      <c r="AE101" s="90">
        <v>11.1</v>
      </c>
      <c r="AF101" s="90">
        <v>7.8</v>
      </c>
      <c r="AG101" s="151">
        <v>60</v>
      </c>
      <c r="AH101" s="54">
        <f t="shared" si="45"/>
        <v>50</v>
      </c>
      <c r="AI101" s="89">
        <f t="shared" si="46"/>
        <v>0.8125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0</v>
      </c>
      <c r="M102" s="91">
        <v>39</v>
      </c>
      <c r="N102" s="91">
        <v>27.5</v>
      </c>
      <c r="O102" s="91">
        <v>27.5</v>
      </c>
      <c r="P102" s="91">
        <v>47.3</v>
      </c>
      <c r="Q102" s="91">
        <v>54.1</v>
      </c>
      <c r="R102" s="91">
        <v>49.2</v>
      </c>
      <c r="S102" s="91">
        <v>46</v>
      </c>
      <c r="T102" s="91">
        <v>40</v>
      </c>
      <c r="U102" s="91">
        <v>34.6</v>
      </c>
      <c r="V102" s="91"/>
      <c r="W102" s="91"/>
      <c r="X102" s="91">
        <v>33</v>
      </c>
      <c r="Y102" s="91">
        <v>56</v>
      </c>
      <c r="Z102" s="91">
        <v>57</v>
      </c>
      <c r="AA102" s="91">
        <v>99</v>
      </c>
      <c r="AB102" s="91">
        <v>81.8</v>
      </c>
      <c r="AC102" s="91">
        <v>70.5</v>
      </c>
      <c r="AD102" s="91">
        <v>54.4</v>
      </c>
      <c r="AE102" s="91">
        <v>45.2</v>
      </c>
      <c r="AF102" s="91">
        <v>37</v>
      </c>
      <c r="AG102" s="152">
        <v>120</v>
      </c>
      <c r="AH102" s="54">
        <f t="shared" si="45"/>
        <v>99</v>
      </c>
      <c r="AI102" s="89">
        <f t="shared" si="46"/>
        <v>0.8125</v>
      </c>
    </row>
    <row r="103" spans="1:37" x14ac:dyDescent="0.25">
      <c r="A103" s="164" t="s">
        <v>78</v>
      </c>
      <c r="B103" s="91">
        <v>32.200000000000003</v>
      </c>
      <c r="C103" s="91">
        <v>24.5</v>
      </c>
      <c r="D103" s="91">
        <v>27.8</v>
      </c>
      <c r="E103" s="91">
        <v>27.7</v>
      </c>
      <c r="F103" s="91">
        <v>13.6</v>
      </c>
      <c r="G103" s="91">
        <v>12.1</v>
      </c>
      <c r="H103" s="91">
        <v>12.1</v>
      </c>
      <c r="I103" s="91">
        <v>12.1</v>
      </c>
      <c r="J103" s="91">
        <v>12.1</v>
      </c>
      <c r="K103" s="91">
        <v>12.1</v>
      </c>
      <c r="L103" s="91">
        <v>42</v>
      </c>
      <c r="M103" s="91">
        <v>41</v>
      </c>
      <c r="N103" s="91">
        <v>22</v>
      </c>
      <c r="O103" s="91">
        <v>22</v>
      </c>
      <c r="P103" s="91">
        <v>54.7</v>
      </c>
      <c r="Q103" s="91">
        <v>65.8</v>
      </c>
      <c r="R103" s="91">
        <v>56.2</v>
      </c>
      <c r="S103" s="91">
        <v>56</v>
      </c>
      <c r="T103" s="91">
        <v>45</v>
      </c>
      <c r="U103" s="91">
        <v>40</v>
      </c>
      <c r="V103" s="91"/>
      <c r="W103" s="91"/>
      <c r="X103" s="91">
        <v>29</v>
      </c>
      <c r="Y103" s="91">
        <v>51</v>
      </c>
      <c r="Z103" s="91">
        <v>49</v>
      </c>
      <c r="AA103" s="91">
        <v>72</v>
      </c>
      <c r="AB103" s="91">
        <v>62.6</v>
      </c>
      <c r="AC103" s="91">
        <v>53.6</v>
      </c>
      <c r="AD103" s="91">
        <v>40.799999999999997</v>
      </c>
      <c r="AE103" s="91">
        <v>34.1</v>
      </c>
      <c r="AF103" s="91">
        <v>43.6</v>
      </c>
      <c r="AG103" s="152"/>
      <c r="AH103" s="54">
        <f t="shared" si="45"/>
        <v>72</v>
      </c>
      <c r="AI103" s="89">
        <f t="shared" si="46"/>
        <v>0.8125</v>
      </c>
    </row>
    <row r="104" spans="1:37" x14ac:dyDescent="0.25">
      <c r="A104" s="164" t="s">
        <v>105</v>
      </c>
      <c r="B104" s="91">
        <v>34.9</v>
      </c>
      <c r="C104" s="91">
        <v>27.5</v>
      </c>
      <c r="D104" s="91">
        <v>25.3</v>
      </c>
      <c r="E104" s="91">
        <v>11.9</v>
      </c>
      <c r="F104" s="91">
        <v>-4.4000000000000004</v>
      </c>
      <c r="G104" s="91">
        <v>-13.4</v>
      </c>
      <c r="H104" s="91">
        <v>-13.4</v>
      </c>
      <c r="I104" s="91">
        <v>-13.4</v>
      </c>
      <c r="J104" s="91">
        <v>-13.4</v>
      </c>
      <c r="K104" s="91">
        <v>-13.4</v>
      </c>
      <c r="L104" s="91">
        <v>-25.5</v>
      </c>
      <c r="M104" s="91">
        <v>-16.3</v>
      </c>
      <c r="N104" s="91">
        <v>-7.4</v>
      </c>
      <c r="O104" s="91">
        <v>54</v>
      </c>
      <c r="P104" s="91">
        <v>36.6</v>
      </c>
      <c r="Q104" s="91">
        <v>46.1</v>
      </c>
      <c r="R104" s="91">
        <v>41</v>
      </c>
      <c r="S104" s="91">
        <v>-21</v>
      </c>
      <c r="T104" s="91">
        <v>-25</v>
      </c>
      <c r="U104" s="91">
        <v>-39</v>
      </c>
      <c r="V104" s="91"/>
      <c r="W104" s="91"/>
      <c r="X104" s="91">
        <v>31</v>
      </c>
      <c r="Y104" s="91">
        <v>20</v>
      </c>
      <c r="Z104" s="91">
        <v>22</v>
      </c>
      <c r="AA104" s="91">
        <v>64</v>
      </c>
      <c r="AB104" s="91">
        <v>44.1</v>
      </c>
      <c r="AC104" s="91">
        <v>43.8</v>
      </c>
      <c r="AD104" s="91">
        <v>40.700000000000003</v>
      </c>
      <c r="AE104" s="91">
        <v>41.8</v>
      </c>
      <c r="AF104" s="91">
        <v>42.3</v>
      </c>
      <c r="AG104" s="153"/>
      <c r="AH104" s="54">
        <f t="shared" si="45"/>
        <v>64</v>
      </c>
      <c r="AI104" s="89">
        <f t="shared" si="46"/>
        <v>0.8125</v>
      </c>
    </row>
    <row r="105" spans="1:37" ht="15.75" thickBot="1" x14ac:dyDescent="0.3">
      <c r="A105" s="171" t="s">
        <v>106</v>
      </c>
      <c r="B105" s="82">
        <v>103</v>
      </c>
      <c r="C105" s="82">
        <v>103.5</v>
      </c>
      <c r="D105" s="82">
        <v>106</v>
      </c>
      <c r="E105" s="82">
        <v>106.5</v>
      </c>
      <c r="F105" s="82">
        <v>108.9</v>
      </c>
      <c r="G105" s="82">
        <v>110.4</v>
      </c>
      <c r="H105" s="82">
        <v>110.4</v>
      </c>
      <c r="I105" s="82">
        <v>110.4</v>
      </c>
      <c r="J105" s="82">
        <v>110.4</v>
      </c>
      <c r="K105" s="82">
        <v>110.4</v>
      </c>
      <c r="L105" s="82">
        <v>88.3</v>
      </c>
      <c r="M105" s="82">
        <v>91.9</v>
      </c>
      <c r="N105" s="82">
        <v>97.5</v>
      </c>
      <c r="O105" s="82">
        <v>117</v>
      </c>
      <c r="P105" s="82">
        <v>109.7</v>
      </c>
      <c r="Q105" s="82">
        <v>109.7</v>
      </c>
      <c r="R105" s="82">
        <v>94.6</v>
      </c>
      <c r="S105" s="82">
        <v>96</v>
      </c>
      <c r="T105" s="82">
        <v>80</v>
      </c>
      <c r="U105" s="82">
        <v>75</v>
      </c>
      <c r="V105" s="82"/>
      <c r="W105" s="82"/>
      <c r="X105" s="82">
        <v>101</v>
      </c>
      <c r="Y105" s="82">
        <v>11</v>
      </c>
      <c r="Z105" s="82">
        <v>92</v>
      </c>
      <c r="AA105" s="82">
        <v>37</v>
      </c>
      <c r="AB105" s="82">
        <v>87</v>
      </c>
      <c r="AC105" s="82">
        <v>88.7</v>
      </c>
      <c r="AD105" s="82">
        <v>89.8</v>
      </c>
      <c r="AE105" s="82">
        <v>94.4</v>
      </c>
      <c r="AF105" s="82">
        <v>90.7</v>
      </c>
      <c r="AG105" s="153"/>
      <c r="AH105" s="54">
        <f t="shared" si="45"/>
        <v>117</v>
      </c>
      <c r="AI105" s="89">
        <f t="shared" si="46"/>
        <v>0.41666666666666702</v>
      </c>
    </row>
    <row r="106" spans="1:37" ht="15.75" thickBot="1" x14ac:dyDescent="0.3">
      <c r="A106" s="92" t="s">
        <v>79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154"/>
      <c r="AH106" s="94"/>
      <c r="AI106" s="55"/>
      <c r="AK106" s="56"/>
    </row>
    <row r="107" spans="1:37" x14ac:dyDescent="0.25">
      <c r="A107" s="162" t="s">
        <v>133</v>
      </c>
      <c r="B107" s="95"/>
      <c r="C107" s="53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6">
        <v>9.94</v>
      </c>
      <c r="AH107" s="54"/>
      <c r="AI107" s="55"/>
      <c r="AK107" s="56"/>
    </row>
    <row r="108" spans="1:37" x14ac:dyDescent="0.25">
      <c r="A108" s="163" t="s">
        <v>134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/>
      <c r="AH108" s="54"/>
      <c r="AI108" s="55"/>
      <c r="AK108" s="56"/>
    </row>
    <row r="109" spans="1:37" x14ac:dyDescent="0.25">
      <c r="A109" s="163" t="s">
        <v>135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136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137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138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139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140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141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142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143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144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145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146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147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148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149</v>
      </c>
      <c r="B123" s="97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9">
        <v>9.9</v>
      </c>
      <c r="AH123" s="54"/>
      <c r="AI123" s="55"/>
      <c r="AK123" s="56"/>
    </row>
    <row r="124" spans="1:37" x14ac:dyDescent="0.25">
      <c r="A124" s="164" t="s">
        <v>80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100">
        <v>9.6579999999999995</v>
      </c>
      <c r="AH124" s="54"/>
      <c r="AI124" s="55"/>
      <c r="AK124" s="56"/>
    </row>
    <row r="125" spans="1:37" x14ac:dyDescent="0.25">
      <c r="A125" s="164" t="s">
        <v>150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</v>
      </c>
      <c r="AH125" s="54"/>
      <c r="AI125" s="55"/>
      <c r="AK125" s="56"/>
    </row>
    <row r="126" spans="1:37" x14ac:dyDescent="0.25">
      <c r="A126" s="164" t="s">
        <v>151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9.51</v>
      </c>
      <c r="AH126" s="54"/>
      <c r="AI126" s="55"/>
      <c r="AK126" s="56"/>
    </row>
    <row r="127" spans="1:37" x14ac:dyDescent="0.25">
      <c r="A127" s="164" t="s">
        <v>152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9.4</v>
      </c>
      <c r="AH127" s="54"/>
      <c r="AI127" s="55"/>
      <c r="AK127" s="56"/>
    </row>
    <row r="128" spans="1:37" x14ac:dyDescent="0.25">
      <c r="A128" s="164" t="s">
        <v>153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8.8000000000000007</v>
      </c>
      <c r="AH128" s="54"/>
      <c r="AI128" s="55"/>
      <c r="AK128" s="56"/>
    </row>
    <row r="129" spans="1:37" x14ac:dyDescent="0.25">
      <c r="A129" s="164" t="s">
        <v>154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8.5</v>
      </c>
      <c r="AH129" s="54"/>
      <c r="AI129" s="55"/>
      <c r="AK129" s="56"/>
    </row>
    <row r="130" spans="1:37" x14ac:dyDescent="0.25">
      <c r="A130" s="164" t="s">
        <v>155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156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8.4</v>
      </c>
      <c r="AH131" s="54"/>
      <c r="AI131" s="55"/>
      <c r="AK131" s="56"/>
    </row>
    <row r="132" spans="1:37" ht="13.5" customHeight="1" x14ac:dyDescent="0.25">
      <c r="A132" s="164" t="s">
        <v>157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</v>
      </c>
      <c r="AH132" s="54"/>
      <c r="AI132" s="55"/>
      <c r="AK132" s="56"/>
    </row>
    <row r="133" spans="1:37" x14ac:dyDescent="0.25">
      <c r="A133" s="164" t="s">
        <v>158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159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160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7.8</v>
      </c>
      <c r="AH135" s="54"/>
      <c r="AI135" s="55"/>
      <c r="AK135" s="56"/>
    </row>
    <row r="136" spans="1:37" x14ac:dyDescent="0.25">
      <c r="A136" s="164" t="s">
        <v>161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7.6</v>
      </c>
      <c r="AH136" s="54"/>
      <c r="AI136" s="55"/>
      <c r="AK136" s="56"/>
    </row>
    <row r="137" spans="1:37" x14ac:dyDescent="0.25">
      <c r="A137" s="164" t="s">
        <v>162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7.5</v>
      </c>
      <c r="AH137" s="54"/>
      <c r="AI137" s="55"/>
      <c r="AK137" s="56"/>
    </row>
    <row r="138" spans="1:37" x14ac:dyDescent="0.25">
      <c r="A138" s="164" t="s">
        <v>163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164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</v>
      </c>
      <c r="AH139" s="54"/>
      <c r="AI139" s="55"/>
      <c r="AK139" s="56"/>
    </row>
    <row r="140" spans="1:37" x14ac:dyDescent="0.25">
      <c r="A140" s="164" t="s">
        <v>165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166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167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168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6.6</v>
      </c>
      <c r="AH143" s="54"/>
      <c r="AI143" s="55"/>
      <c r="AK143" s="56"/>
    </row>
    <row r="144" spans="1:37" x14ac:dyDescent="0.25">
      <c r="A144" s="164" t="s">
        <v>169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170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6.4</v>
      </c>
      <c r="AH145" s="54"/>
      <c r="AI145" s="55"/>
      <c r="AK145" s="56"/>
    </row>
    <row r="146" spans="1:37" x14ac:dyDescent="0.25">
      <c r="A146" s="164" t="s">
        <v>171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</v>
      </c>
      <c r="AH146" s="54"/>
      <c r="AI146" s="55"/>
      <c r="AK146" s="56"/>
    </row>
    <row r="147" spans="1:37" x14ac:dyDescent="0.25">
      <c r="A147" s="164" t="s">
        <v>172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5.0999999999999996</v>
      </c>
      <c r="AH147" s="54"/>
      <c r="AI147" s="55"/>
      <c r="AK147" s="56"/>
    </row>
    <row r="148" spans="1:37" x14ac:dyDescent="0.25">
      <c r="A148" s="164" t="s">
        <v>173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</v>
      </c>
      <c r="AH148" s="54"/>
      <c r="AI148" s="55"/>
      <c r="AK148" s="56"/>
    </row>
    <row r="149" spans="1:37" x14ac:dyDescent="0.25">
      <c r="A149" s="163" t="s">
        <v>174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9">
        <v>5</v>
      </c>
      <c r="AH149" s="54"/>
      <c r="AI149" s="55"/>
      <c r="AK149" s="56"/>
    </row>
    <row r="150" spans="1:37" x14ac:dyDescent="0.25">
      <c r="A150" s="164" t="s">
        <v>175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100">
        <v>5</v>
      </c>
      <c r="AH150" s="54"/>
      <c r="AI150" s="55"/>
      <c r="AK150" s="56"/>
    </row>
    <row r="151" spans="1:37" x14ac:dyDescent="0.25">
      <c r="A151" s="164" t="s">
        <v>176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177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178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179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180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4.9930000000000003</v>
      </c>
      <c r="AH155" s="54"/>
      <c r="AI155" s="55"/>
      <c r="AK155" s="56"/>
    </row>
    <row r="156" spans="1:37" x14ac:dyDescent="0.25">
      <c r="A156" s="164" t="s">
        <v>181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4.9800000000000004</v>
      </c>
      <c r="AH156" s="54"/>
      <c r="AI156" s="55"/>
      <c r="AK156" s="56"/>
    </row>
    <row r="157" spans="1:37" x14ac:dyDescent="0.25">
      <c r="A157" s="164" t="s">
        <v>182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4.95</v>
      </c>
      <c r="AH157" s="54"/>
      <c r="AI157" s="55"/>
      <c r="AK157" s="56"/>
    </row>
    <row r="158" spans="1:37" x14ac:dyDescent="0.25">
      <c r="A158" s="164" t="s">
        <v>81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183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4.8</v>
      </c>
      <c r="AH159" s="54"/>
      <c r="AI159" s="55"/>
      <c r="AK159" s="56"/>
    </row>
    <row r="160" spans="1:37" x14ac:dyDescent="0.25">
      <c r="A160" s="164" t="s">
        <v>184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185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186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4.5</v>
      </c>
      <c r="AH162" s="54"/>
      <c r="AI162" s="55"/>
      <c r="AK162" s="56"/>
    </row>
    <row r="163" spans="1:37" x14ac:dyDescent="0.25">
      <c r="A163" s="164" t="s">
        <v>187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188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4.4550000000000001</v>
      </c>
      <c r="AH164" s="54"/>
      <c r="AI164" s="55"/>
      <c r="AK164" s="56"/>
    </row>
    <row r="165" spans="1:37" x14ac:dyDescent="0.25">
      <c r="A165" s="164" t="s">
        <v>189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4.41</v>
      </c>
      <c r="AH165" s="54"/>
      <c r="AI165" s="55"/>
      <c r="AK165" s="56"/>
    </row>
    <row r="166" spans="1:37" x14ac:dyDescent="0.25">
      <c r="A166" s="164" t="s">
        <v>190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4.4000000000000004</v>
      </c>
      <c r="AH166" s="54"/>
      <c r="AI166" s="55"/>
      <c r="AK166" s="56"/>
    </row>
    <row r="167" spans="1:37" x14ac:dyDescent="0.25">
      <c r="A167" s="164" t="s">
        <v>191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4.3600000000000003</v>
      </c>
      <c r="AH167" s="54"/>
      <c r="AI167" s="55"/>
      <c r="AK167" s="56"/>
    </row>
    <row r="168" spans="1:37" x14ac:dyDescent="0.25">
      <c r="A168" s="164" t="s">
        <v>192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4.2</v>
      </c>
      <c r="AH168" s="54"/>
      <c r="AI168" s="55"/>
      <c r="AK168" s="56"/>
    </row>
    <row r="169" spans="1:37" x14ac:dyDescent="0.25">
      <c r="A169" s="164" t="s">
        <v>193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</v>
      </c>
      <c r="AH169" s="54"/>
      <c r="AI169" s="55"/>
      <c r="AK169" s="56"/>
    </row>
    <row r="170" spans="1:37" x14ac:dyDescent="0.25">
      <c r="A170" s="164" t="s">
        <v>194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195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196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197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198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199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200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201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3.75</v>
      </c>
      <c r="AH177" s="54"/>
      <c r="AI177" s="55"/>
      <c r="AK177" s="56"/>
    </row>
    <row r="178" spans="1:37" x14ac:dyDescent="0.25">
      <c r="A178" s="164" t="s">
        <v>202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3.52</v>
      </c>
      <c r="AH178" s="54"/>
      <c r="AI178" s="55"/>
      <c r="AK178" s="56"/>
    </row>
    <row r="179" spans="1:37" x14ac:dyDescent="0.25">
      <c r="A179" s="164" t="s">
        <v>203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3.33</v>
      </c>
      <c r="AH179" s="54"/>
      <c r="AI179" s="55"/>
      <c r="AK179" s="56"/>
    </row>
    <row r="180" spans="1:37" x14ac:dyDescent="0.25">
      <c r="A180" s="164" t="s">
        <v>204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3.2</v>
      </c>
      <c r="AH180" s="54"/>
      <c r="AI180" s="55"/>
      <c r="AK180" s="56"/>
    </row>
    <row r="181" spans="1:37" x14ac:dyDescent="0.25">
      <c r="A181" s="164" t="s">
        <v>205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</v>
      </c>
      <c r="AH181" s="54"/>
      <c r="AI181" s="55"/>
      <c r="AK181" s="56"/>
    </row>
    <row r="182" spans="1:37" x14ac:dyDescent="0.25">
      <c r="A182" s="164" t="s">
        <v>206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207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208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209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210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211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212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213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2.83</v>
      </c>
      <c r="AH189" s="54"/>
      <c r="AI189" s="55"/>
      <c r="AK189" s="56"/>
    </row>
    <row r="190" spans="1:37" x14ac:dyDescent="0.25">
      <c r="A190" s="164" t="s">
        <v>214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2.5</v>
      </c>
      <c r="AH190" s="54"/>
      <c r="AI190" s="55"/>
      <c r="AK190" s="56"/>
    </row>
    <row r="191" spans="1:37" x14ac:dyDescent="0.25">
      <c r="A191" s="164" t="s">
        <v>215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216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2.4</v>
      </c>
      <c r="AH192" s="54"/>
      <c r="AI192" s="55"/>
      <c r="AK192" s="56"/>
    </row>
    <row r="193" spans="1:37" x14ac:dyDescent="0.25">
      <c r="A193" s="164" t="s">
        <v>217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218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2.2000000000000002</v>
      </c>
      <c r="AH194" s="54"/>
      <c r="AI194" s="55"/>
      <c r="AK194" s="56"/>
    </row>
    <row r="195" spans="1:37" x14ac:dyDescent="0.25">
      <c r="A195" s="164" t="s">
        <v>219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</v>
      </c>
      <c r="AH195" s="54"/>
      <c r="AI195" s="55"/>
      <c r="AK195" s="56"/>
    </row>
    <row r="196" spans="1:37" x14ac:dyDescent="0.25">
      <c r="A196" s="164" t="s">
        <v>220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221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222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1.8</v>
      </c>
      <c r="AH198" s="54"/>
      <c r="AI198" s="55"/>
      <c r="AK198" s="56"/>
    </row>
    <row r="199" spans="1:37" x14ac:dyDescent="0.25">
      <c r="A199" s="164" t="s">
        <v>223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224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1.65</v>
      </c>
      <c r="AH200" s="54"/>
      <c r="AI200" s="55"/>
      <c r="AK200" s="56"/>
    </row>
    <row r="201" spans="1:37" x14ac:dyDescent="0.25">
      <c r="A201" s="164" t="s">
        <v>225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1.5</v>
      </c>
      <c r="AH201" s="54"/>
      <c r="AI201" s="55"/>
      <c r="AK201" s="56"/>
    </row>
    <row r="202" spans="1:37" x14ac:dyDescent="0.25">
      <c r="A202" s="164" t="s">
        <v>226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0.998</v>
      </c>
      <c r="AH202" s="54"/>
      <c r="AI202" s="55"/>
      <c r="AK202" s="56"/>
    </row>
    <row r="203" spans="1:37" x14ac:dyDescent="0.25">
      <c r="A203" s="164" t="s">
        <v>227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0.997</v>
      </c>
      <c r="AH203" s="54"/>
      <c r="AI203" s="55"/>
      <c r="AK203" s="56"/>
    </row>
    <row r="204" spans="1:37" x14ac:dyDescent="0.25">
      <c r="A204" s="164" t="s">
        <v>228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229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0.996</v>
      </c>
      <c r="AH205" s="54"/>
      <c r="AI205" s="55"/>
      <c r="AK205" s="56"/>
    </row>
    <row r="206" spans="1:37" x14ac:dyDescent="0.25">
      <c r="A206" s="164" t="s">
        <v>230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231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232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0.995</v>
      </c>
      <c r="AH208" s="54"/>
      <c r="AI208" s="55"/>
      <c r="AK208" s="56"/>
    </row>
    <row r="209" spans="1:37" x14ac:dyDescent="0.25">
      <c r="A209" s="164" t="s">
        <v>233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0.99299999999999999</v>
      </c>
      <c r="AH209" s="54"/>
      <c r="AI209" s="55"/>
      <c r="AK209" s="56"/>
    </row>
    <row r="210" spans="1:37" x14ac:dyDescent="0.25">
      <c r="A210" s="164" t="s">
        <v>234</v>
      </c>
      <c r="B210" s="97"/>
      <c r="C210" s="53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</v>
      </c>
      <c r="AH210" s="54"/>
      <c r="AI210" s="55"/>
      <c r="AK210" s="56"/>
    </row>
    <row r="211" spans="1:37" ht="15.75" thickBot="1" x14ac:dyDescent="0.3">
      <c r="A211" s="164" t="s">
        <v>235</v>
      </c>
      <c r="B211" s="102"/>
      <c r="C211" s="166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0">
        <v>0.97899999999999998</v>
      </c>
      <c r="AH211" s="54"/>
      <c r="AI211" s="55"/>
      <c r="AK211" s="56"/>
    </row>
    <row r="212" spans="1:37" ht="15.75" thickBot="1" x14ac:dyDescent="0.3">
      <c r="A212" s="165" t="s">
        <v>82</v>
      </c>
      <c r="B212" s="167">
        <f>SUM(B107:B211)</f>
        <v>0</v>
      </c>
      <c r="C212" s="103">
        <f t="shared" ref="C212:AG212" si="48">SUM(C107:C211)</f>
        <v>0</v>
      </c>
      <c r="D212" s="103">
        <f t="shared" si="48"/>
        <v>0</v>
      </c>
      <c r="E212" s="103">
        <f t="shared" si="48"/>
        <v>0</v>
      </c>
      <c r="F212" s="103">
        <f t="shared" si="48"/>
        <v>0</v>
      </c>
      <c r="G212" s="103">
        <f t="shared" si="48"/>
        <v>0</v>
      </c>
      <c r="H212" s="103">
        <f t="shared" si="48"/>
        <v>0</v>
      </c>
      <c r="I212" s="103">
        <f t="shared" si="48"/>
        <v>0</v>
      </c>
      <c r="J212" s="103">
        <f t="shared" si="48"/>
        <v>0</v>
      </c>
      <c r="K212" s="103">
        <f t="shared" si="48"/>
        <v>0</v>
      </c>
      <c r="L212" s="103">
        <f t="shared" si="48"/>
        <v>0</v>
      </c>
      <c r="M212" s="103">
        <f t="shared" si="48"/>
        <v>0</v>
      </c>
      <c r="N212" s="103">
        <f t="shared" si="48"/>
        <v>0</v>
      </c>
      <c r="O212" s="103">
        <f t="shared" si="48"/>
        <v>0</v>
      </c>
      <c r="P212" s="103">
        <f t="shared" si="48"/>
        <v>0</v>
      </c>
      <c r="Q212" s="103">
        <f t="shared" si="48"/>
        <v>0</v>
      </c>
      <c r="R212" s="103">
        <f t="shared" si="48"/>
        <v>0</v>
      </c>
      <c r="S212" s="103">
        <f t="shared" si="48"/>
        <v>0</v>
      </c>
      <c r="T212" s="103">
        <f t="shared" si="48"/>
        <v>0</v>
      </c>
      <c r="U212" s="103">
        <f t="shared" si="48"/>
        <v>0</v>
      </c>
      <c r="V212" s="103">
        <f t="shared" si="48"/>
        <v>0</v>
      </c>
      <c r="W212" s="103">
        <f t="shared" si="48"/>
        <v>0</v>
      </c>
      <c r="X212" s="103">
        <f t="shared" si="48"/>
        <v>0</v>
      </c>
      <c r="Y212" s="103">
        <f t="shared" si="48"/>
        <v>0</v>
      </c>
      <c r="Z212" s="103">
        <f t="shared" si="48"/>
        <v>0</v>
      </c>
      <c r="AA212" s="103">
        <f t="shared" si="48"/>
        <v>0</v>
      </c>
      <c r="AB212" s="103">
        <f t="shared" si="48"/>
        <v>0</v>
      </c>
      <c r="AC212" s="103">
        <f t="shared" si="48"/>
        <v>0</v>
      </c>
      <c r="AD212" s="103">
        <f t="shared" si="48"/>
        <v>0</v>
      </c>
      <c r="AE212" s="103">
        <f t="shared" si="48"/>
        <v>0</v>
      </c>
      <c r="AF212" s="168">
        <f t="shared" si="48"/>
        <v>0</v>
      </c>
      <c r="AG212" s="169">
        <f t="shared" si="48"/>
        <v>412.72299999999984</v>
      </c>
      <c r="AH212" s="54"/>
      <c r="AI212" s="55"/>
      <c r="AK212" s="56"/>
    </row>
    <row r="213" spans="1:37" ht="15.75" thickBot="1" x14ac:dyDescent="0.3">
      <c r="A213" s="28" t="s">
        <v>35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149"/>
      <c r="AH213" s="54"/>
      <c r="AI213" s="55"/>
      <c r="AK213" s="56"/>
    </row>
    <row r="214" spans="1:37" x14ac:dyDescent="0.25">
      <c r="A214" s="170" t="s">
        <v>83</v>
      </c>
      <c r="B214" s="101">
        <f t="shared" ref="B214:B219" si="49">AF214</f>
        <v>0</v>
      </c>
      <c r="C214" s="101">
        <v>0.3</v>
      </c>
      <c r="D214" s="101">
        <f t="shared" ref="D214:P219" si="50">C214</f>
        <v>0.3</v>
      </c>
      <c r="E214" s="101">
        <f t="shared" si="50"/>
        <v>0.3</v>
      </c>
      <c r="F214" s="101">
        <f t="shared" si="50"/>
        <v>0.3</v>
      </c>
      <c r="G214" s="101">
        <f t="shared" si="50"/>
        <v>0.3</v>
      </c>
      <c r="H214" s="101">
        <f t="shared" si="50"/>
        <v>0.3</v>
      </c>
      <c r="I214" s="101">
        <f t="shared" si="50"/>
        <v>0.3</v>
      </c>
      <c r="J214" s="101">
        <f t="shared" si="50"/>
        <v>0.3</v>
      </c>
      <c r="K214" s="101">
        <f t="shared" si="50"/>
        <v>0.3</v>
      </c>
      <c r="L214" s="101">
        <f t="shared" si="50"/>
        <v>0.3</v>
      </c>
      <c r="M214" s="101">
        <f t="shared" si="50"/>
        <v>0.3</v>
      </c>
      <c r="N214" s="101">
        <f t="shared" si="50"/>
        <v>0.3</v>
      </c>
      <c r="O214" s="101">
        <f t="shared" si="50"/>
        <v>0.3</v>
      </c>
      <c r="P214" s="101">
        <f t="shared" si="50"/>
        <v>0.3</v>
      </c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55">
        <v>2.4</v>
      </c>
      <c r="AH214" s="54"/>
      <c r="AI214" s="55"/>
      <c r="AK214" s="56"/>
    </row>
    <row r="215" spans="1:37" x14ac:dyDescent="0.25">
      <c r="A215" s="163" t="s">
        <v>84</v>
      </c>
      <c r="B215" s="97">
        <f t="shared" si="49"/>
        <v>0</v>
      </c>
      <c r="C215" s="97">
        <v>0.4</v>
      </c>
      <c r="D215" s="97">
        <f t="shared" si="50"/>
        <v>0.4</v>
      </c>
      <c r="E215" s="97">
        <f t="shared" si="50"/>
        <v>0.4</v>
      </c>
      <c r="F215" s="97">
        <f t="shared" si="50"/>
        <v>0.4</v>
      </c>
      <c r="G215" s="97">
        <f t="shared" si="50"/>
        <v>0.4</v>
      </c>
      <c r="H215" s="97">
        <f t="shared" si="50"/>
        <v>0.4</v>
      </c>
      <c r="I215" s="97">
        <f t="shared" si="50"/>
        <v>0.4</v>
      </c>
      <c r="J215" s="97">
        <f t="shared" si="50"/>
        <v>0.4</v>
      </c>
      <c r="K215" s="97">
        <f t="shared" si="50"/>
        <v>0.4</v>
      </c>
      <c r="L215" s="97">
        <f t="shared" si="50"/>
        <v>0.4</v>
      </c>
      <c r="M215" s="97">
        <f t="shared" si="50"/>
        <v>0.4</v>
      </c>
      <c r="N215" s="97">
        <f t="shared" si="50"/>
        <v>0.4</v>
      </c>
      <c r="O215" s="97">
        <f t="shared" si="50"/>
        <v>0.4</v>
      </c>
      <c r="P215" s="97">
        <f t="shared" si="50"/>
        <v>0.4</v>
      </c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56">
        <v>2</v>
      </c>
      <c r="AH215" s="54"/>
      <c r="AI215" s="55"/>
      <c r="AK215" s="56"/>
    </row>
    <row r="216" spans="1:37" x14ac:dyDescent="0.25">
      <c r="A216" s="163" t="s">
        <v>85</v>
      </c>
      <c r="B216" s="97">
        <f t="shared" si="49"/>
        <v>0</v>
      </c>
      <c r="C216" s="97">
        <v>1.5</v>
      </c>
      <c r="D216" s="97">
        <f t="shared" si="50"/>
        <v>1.5</v>
      </c>
      <c r="E216" s="97">
        <f t="shared" si="50"/>
        <v>1.5</v>
      </c>
      <c r="F216" s="97">
        <f t="shared" si="50"/>
        <v>1.5</v>
      </c>
      <c r="G216" s="97">
        <f t="shared" si="50"/>
        <v>1.5</v>
      </c>
      <c r="H216" s="97">
        <f t="shared" si="50"/>
        <v>1.5</v>
      </c>
      <c r="I216" s="97">
        <f t="shared" si="50"/>
        <v>1.5</v>
      </c>
      <c r="J216" s="97">
        <f t="shared" si="50"/>
        <v>1.5</v>
      </c>
      <c r="K216" s="97">
        <f t="shared" si="50"/>
        <v>1.5</v>
      </c>
      <c r="L216" s="97">
        <f t="shared" si="50"/>
        <v>1.5</v>
      </c>
      <c r="M216" s="97">
        <f t="shared" si="50"/>
        <v>1.5</v>
      </c>
      <c r="N216" s="97">
        <f t="shared" si="50"/>
        <v>1.5</v>
      </c>
      <c r="O216" s="97">
        <f t="shared" si="50"/>
        <v>1.5</v>
      </c>
      <c r="P216" s="97">
        <f t="shared" si="50"/>
        <v>1.5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1.5</v>
      </c>
      <c r="AH216" s="54"/>
      <c r="AI216" s="55"/>
      <c r="AK216" s="56"/>
    </row>
    <row r="217" spans="1:37" x14ac:dyDescent="0.25">
      <c r="A217" s="163" t="s">
        <v>86</v>
      </c>
      <c r="B217" s="97">
        <f t="shared" si="49"/>
        <v>0</v>
      </c>
      <c r="C217" s="97">
        <v>0.3</v>
      </c>
      <c r="D217" s="97">
        <f t="shared" si="50"/>
        <v>0.3</v>
      </c>
      <c r="E217" s="97">
        <f t="shared" si="50"/>
        <v>0.3</v>
      </c>
      <c r="F217" s="97">
        <f t="shared" si="50"/>
        <v>0.3</v>
      </c>
      <c r="G217" s="97">
        <f t="shared" si="50"/>
        <v>0.3</v>
      </c>
      <c r="H217" s="97">
        <f t="shared" si="50"/>
        <v>0.3</v>
      </c>
      <c r="I217" s="97">
        <f t="shared" si="50"/>
        <v>0.3</v>
      </c>
      <c r="J217" s="97">
        <f t="shared" si="50"/>
        <v>0.3</v>
      </c>
      <c r="K217" s="97">
        <f t="shared" si="50"/>
        <v>0.3</v>
      </c>
      <c r="L217" s="97">
        <f t="shared" si="50"/>
        <v>0.3</v>
      </c>
      <c r="M217" s="97">
        <f t="shared" si="50"/>
        <v>0.3</v>
      </c>
      <c r="N217" s="97">
        <f t="shared" si="50"/>
        <v>0.3</v>
      </c>
      <c r="O217" s="97">
        <f t="shared" si="50"/>
        <v>0.3</v>
      </c>
      <c r="P217" s="97">
        <f t="shared" si="50"/>
        <v>0.3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</v>
      </c>
      <c r="AH217" s="54"/>
      <c r="AI217" s="55"/>
      <c r="AK217" s="56"/>
    </row>
    <row r="218" spans="1:37" x14ac:dyDescent="0.25">
      <c r="A218" s="163" t="s">
        <v>87</v>
      </c>
      <c r="B218" s="97">
        <f t="shared" si="49"/>
        <v>0</v>
      </c>
      <c r="C218" s="97">
        <v>0.4</v>
      </c>
      <c r="D218" s="97">
        <f t="shared" si="50"/>
        <v>0.4</v>
      </c>
      <c r="E218" s="97">
        <f t="shared" si="50"/>
        <v>0.4</v>
      </c>
      <c r="F218" s="97">
        <f t="shared" si="50"/>
        <v>0.4</v>
      </c>
      <c r="G218" s="97">
        <f t="shared" si="50"/>
        <v>0.4</v>
      </c>
      <c r="H218" s="97">
        <f t="shared" si="50"/>
        <v>0.4</v>
      </c>
      <c r="I218" s="97">
        <f t="shared" si="50"/>
        <v>0.4</v>
      </c>
      <c r="J218" s="97">
        <f t="shared" si="50"/>
        <v>0.4</v>
      </c>
      <c r="K218" s="97">
        <f t="shared" si="50"/>
        <v>0.4</v>
      </c>
      <c r="L218" s="97">
        <f t="shared" si="50"/>
        <v>0.4</v>
      </c>
      <c r="M218" s="97">
        <f t="shared" si="50"/>
        <v>0.4</v>
      </c>
      <c r="N218" s="97">
        <f t="shared" si="50"/>
        <v>0.4</v>
      </c>
      <c r="O218" s="97">
        <f t="shared" si="50"/>
        <v>0.4</v>
      </c>
      <c r="P218" s="97">
        <f t="shared" si="50"/>
        <v>0.4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ht="15.75" thickBot="1" x14ac:dyDescent="0.3">
      <c r="A219" s="164" t="s">
        <v>88</v>
      </c>
      <c r="B219" s="102">
        <f t="shared" si="49"/>
        <v>0</v>
      </c>
      <c r="C219" s="102">
        <v>0.64</v>
      </c>
      <c r="D219" s="102">
        <f t="shared" si="50"/>
        <v>0.64</v>
      </c>
      <c r="E219" s="102">
        <f t="shared" si="50"/>
        <v>0.64</v>
      </c>
      <c r="F219" s="102">
        <f t="shared" si="50"/>
        <v>0.64</v>
      </c>
      <c r="G219" s="102">
        <f t="shared" si="50"/>
        <v>0.64</v>
      </c>
      <c r="H219" s="102">
        <f t="shared" si="50"/>
        <v>0.64</v>
      </c>
      <c r="I219" s="102">
        <f t="shared" si="50"/>
        <v>0.64</v>
      </c>
      <c r="J219" s="102">
        <f t="shared" si="50"/>
        <v>0.64</v>
      </c>
      <c r="K219" s="102">
        <f t="shared" si="50"/>
        <v>0.64</v>
      </c>
      <c r="L219" s="102">
        <f t="shared" si="50"/>
        <v>0.64</v>
      </c>
      <c r="M219" s="102">
        <f t="shared" si="50"/>
        <v>0.64</v>
      </c>
      <c r="N219" s="102">
        <f t="shared" si="50"/>
        <v>0.64</v>
      </c>
      <c r="O219" s="102">
        <f t="shared" si="50"/>
        <v>0.64</v>
      </c>
      <c r="P219" s="102">
        <f t="shared" si="50"/>
        <v>0.64</v>
      </c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57">
        <v>0.66</v>
      </c>
      <c r="AH219" s="54"/>
      <c r="AI219" s="55"/>
    </row>
    <row r="220" spans="1:37" ht="15.75" thickBot="1" x14ac:dyDescent="0.3">
      <c r="A220" s="173" t="s">
        <v>35</v>
      </c>
      <c r="B220" s="103">
        <f>SUM(B214:B219)</f>
        <v>0</v>
      </c>
      <c r="C220" s="103">
        <f>SUM(C214:C219)</f>
        <v>3.54</v>
      </c>
      <c r="D220" s="103">
        <f t="shared" ref="D220:L220" si="51">SUM(D214:D219)</f>
        <v>3.54</v>
      </c>
      <c r="E220" s="103">
        <f t="shared" si="51"/>
        <v>3.54</v>
      </c>
      <c r="F220" s="103">
        <f t="shared" si="51"/>
        <v>3.54</v>
      </c>
      <c r="G220" s="103">
        <f t="shared" si="51"/>
        <v>3.54</v>
      </c>
      <c r="H220" s="103">
        <f t="shared" si="51"/>
        <v>3.54</v>
      </c>
      <c r="I220" s="103">
        <f t="shared" si="51"/>
        <v>3.54</v>
      </c>
      <c r="J220" s="103">
        <f t="shared" si="51"/>
        <v>3.54</v>
      </c>
      <c r="K220" s="103">
        <f t="shared" si="51"/>
        <v>3.54</v>
      </c>
      <c r="L220" s="103">
        <f t="shared" si="51"/>
        <v>3.54</v>
      </c>
      <c r="M220" s="103">
        <f>SUM(M214:M219)</f>
        <v>3.54</v>
      </c>
      <c r="N220" s="103">
        <f t="shared" ref="N220:S220" si="52">SUM(N214:N219)</f>
        <v>3.54</v>
      </c>
      <c r="O220" s="103">
        <f t="shared" si="52"/>
        <v>3.54</v>
      </c>
      <c r="P220" s="103">
        <f t="shared" si="52"/>
        <v>3.54</v>
      </c>
      <c r="Q220" s="103">
        <f t="shared" si="52"/>
        <v>0</v>
      </c>
      <c r="R220" s="103">
        <f t="shared" si="52"/>
        <v>0</v>
      </c>
      <c r="S220" s="103">
        <f t="shared" si="52"/>
        <v>0</v>
      </c>
      <c r="T220" s="103">
        <f>SUM(T214:T219)</f>
        <v>0</v>
      </c>
      <c r="U220" s="103">
        <f t="shared" ref="U220:AG220" si="53">SUM(U214:U219)</f>
        <v>0</v>
      </c>
      <c r="V220" s="103">
        <f t="shared" si="53"/>
        <v>0</v>
      </c>
      <c r="W220" s="103">
        <f t="shared" si="53"/>
        <v>0</v>
      </c>
      <c r="X220" s="103">
        <f t="shared" si="53"/>
        <v>0</v>
      </c>
      <c r="Y220" s="103">
        <f t="shared" si="53"/>
        <v>0</v>
      </c>
      <c r="Z220" s="103">
        <f t="shared" si="53"/>
        <v>0</v>
      </c>
      <c r="AA220" s="103">
        <f t="shared" si="53"/>
        <v>0</v>
      </c>
      <c r="AB220" s="103">
        <f t="shared" si="53"/>
        <v>0</v>
      </c>
      <c r="AC220" s="103">
        <f t="shared" si="53"/>
        <v>0</v>
      </c>
      <c r="AD220" s="103">
        <f t="shared" si="53"/>
        <v>0</v>
      </c>
      <c r="AE220" s="103">
        <f t="shared" si="53"/>
        <v>0</v>
      </c>
      <c r="AF220" s="103">
        <f t="shared" si="53"/>
        <v>0</v>
      </c>
      <c r="AG220" s="158">
        <f t="shared" si="53"/>
        <v>8.56</v>
      </c>
      <c r="AH220" s="54"/>
      <c r="AI220" s="55"/>
    </row>
    <row r="221" spans="1:37" ht="15.75" thickBot="1" x14ac:dyDescent="0.3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84"/>
      <c r="AH221" s="47"/>
    </row>
    <row r="222" spans="1:37" x14ac:dyDescent="0.25">
      <c r="A222" s="79" t="s">
        <v>89</v>
      </c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5"/>
      <c r="AG222" s="47"/>
      <c r="AH222" s="54"/>
      <c r="AI222" s="55"/>
    </row>
    <row r="223" spans="1:37" x14ac:dyDescent="0.25">
      <c r="A223" s="106" t="s">
        <v>90</v>
      </c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8"/>
      <c r="AG223" s="109"/>
      <c r="AH223" s="54"/>
      <c r="AI223" s="55"/>
    </row>
    <row r="224" spans="1:37" x14ac:dyDescent="0.25">
      <c r="A224" s="81" t="s">
        <v>91</v>
      </c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1"/>
      <c r="AG224" s="109"/>
      <c r="AH224" s="54"/>
      <c r="AI224" s="55"/>
    </row>
    <row r="225" spans="1:50" x14ac:dyDescent="0.25">
      <c r="A225" s="81" t="s">
        <v>92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ht="15.75" thickBot="1" x14ac:dyDescent="0.3">
      <c r="A226" s="112" t="s">
        <v>93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4"/>
      <c r="AG226" s="109"/>
      <c r="AH226" s="54"/>
      <c r="AI226" s="55"/>
    </row>
    <row r="227" spans="1:50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50" x14ac:dyDescent="0.25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50" x14ac:dyDescent="0.25">
      <c r="A229" s="115" t="s">
        <v>94</v>
      </c>
      <c r="B229" s="116">
        <f>MAX(G79:N79)</f>
        <v>1833.8400000000001</v>
      </c>
      <c r="C229" s="117">
        <f>INDEX(G9:N9,1,MATCH(MAX(G79:N79),G79:N79,0))</f>
        <v>0.375</v>
      </c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50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118" t="str">
        <f ca="1">MID(CELL("filename",C7),FIND("]",CELL("filename",C7))+1,600)</f>
        <v>6</v>
      </c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50" x14ac:dyDescent="0.25">
      <c r="A231" s="208" t="s">
        <v>95</v>
      </c>
      <c r="B231" s="208"/>
      <c r="C231" s="47"/>
      <c r="D231" s="118" t="str">
        <f ca="1">"Pie Chart of Daily Peak Demand(Inclusive of Export) of Nepal ("&amp;A4&amp;" "&amp;B4&amp;")"</f>
        <v>Pie Chart of Daily Peak Demand(Inclusive of Export) of Nepal (Nepali Date: 2079/02/6)</v>
      </c>
      <c r="E231" s="47"/>
      <c r="F231" s="47"/>
      <c r="G231" s="118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118" t="str">
        <f ca="1">"Daily Load Curve(Excluding of Export) of Nepal ("&amp;A4&amp;" "&amp;B4&amp;")"</f>
        <v>Daily Load Curve(Excluding of Export) of Nepal (Nepali Date: 2079/02/6)</v>
      </c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50" ht="12.75" customHeight="1" thickBot="1" x14ac:dyDescent="0.3">
      <c r="A232" s="119" t="s">
        <v>7</v>
      </c>
      <c r="B232" s="120"/>
      <c r="C232" s="47"/>
      <c r="D232" s="121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50" ht="15.75" thickTop="1" x14ac:dyDescent="0.25">
      <c r="A233" s="119" t="s">
        <v>96</v>
      </c>
      <c r="B233" s="120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122" t="s">
        <v>97</v>
      </c>
      <c r="T233" s="123">
        <v>0</v>
      </c>
      <c r="U233" s="124">
        <v>4.1666666666666664E-2</v>
      </c>
      <c r="V233" s="125">
        <v>8.3333333333333301E-2</v>
      </c>
      <c r="W233" s="125">
        <v>0.125</v>
      </c>
      <c r="X233" s="125">
        <v>0.16666666666666699</v>
      </c>
      <c r="Y233" s="125">
        <v>0.20833333333333301</v>
      </c>
      <c r="Z233" s="125">
        <v>0.22916666666666666</v>
      </c>
      <c r="AA233" s="125">
        <v>0.25</v>
      </c>
      <c r="AB233" s="125">
        <v>0.27083333333333331</v>
      </c>
      <c r="AC233" s="125">
        <v>0.29166666666666669</v>
      </c>
      <c r="AD233" s="125">
        <v>0.3125</v>
      </c>
      <c r="AE233" s="126">
        <v>0.33333333333333331</v>
      </c>
      <c r="AF233" s="126">
        <v>0.375</v>
      </c>
      <c r="AG233" s="126">
        <v>0.41666666666666702</v>
      </c>
      <c r="AH233" s="126">
        <v>0.45833333333333298</v>
      </c>
      <c r="AI233" s="126">
        <v>0.5</v>
      </c>
      <c r="AJ233" s="126">
        <v>0.54166666666666696</v>
      </c>
      <c r="AK233" s="126">
        <v>0.58333333333333304</v>
      </c>
      <c r="AL233" s="126">
        <v>0.625</v>
      </c>
      <c r="AM233" s="126">
        <v>0.66666666666666696</v>
      </c>
      <c r="AN233" s="126">
        <v>0.70833333333333304</v>
      </c>
      <c r="AO233" s="126">
        <v>0.72916666666666663</v>
      </c>
      <c r="AP233" s="126">
        <v>0.75</v>
      </c>
      <c r="AQ233" s="126">
        <v>0.77083333333333337</v>
      </c>
      <c r="AR233" s="126">
        <v>0.79166666666666663</v>
      </c>
      <c r="AS233" s="126">
        <v>0.8125</v>
      </c>
      <c r="AT233" s="125">
        <v>0.83333333333333337</v>
      </c>
      <c r="AU233" s="125">
        <v>0.85416666666666663</v>
      </c>
      <c r="AV233" s="125">
        <v>0.875</v>
      </c>
      <c r="AW233" s="125">
        <v>0.91666666666666696</v>
      </c>
      <c r="AX233" s="125">
        <v>0.95833333333333304</v>
      </c>
    </row>
    <row r="234" spans="1:50" x14ac:dyDescent="0.25">
      <c r="A234" s="119" t="s">
        <v>98</v>
      </c>
      <c r="B234" s="120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 t="s">
        <v>99</v>
      </c>
      <c r="T234" s="127">
        <f t="shared" ref="T234:AX234" si="54">B79</f>
        <v>1738.04</v>
      </c>
      <c r="U234" s="127">
        <f t="shared" si="54"/>
        <v>1741.04</v>
      </c>
      <c r="V234" s="127">
        <f t="shared" si="54"/>
        <v>1740.24</v>
      </c>
      <c r="W234" s="127">
        <f t="shared" si="54"/>
        <v>1746.24</v>
      </c>
      <c r="X234" s="127">
        <f t="shared" si="54"/>
        <v>1652.0400000000002</v>
      </c>
      <c r="Y234" s="127">
        <f t="shared" si="54"/>
        <v>1652.0400000000002</v>
      </c>
      <c r="Z234" s="127">
        <f t="shared" si="54"/>
        <v>1661.8400000000001</v>
      </c>
      <c r="AA234" s="127">
        <f t="shared" si="54"/>
        <v>1656.64</v>
      </c>
      <c r="AB234" s="127">
        <f t="shared" si="54"/>
        <v>1732.64</v>
      </c>
      <c r="AC234" s="127">
        <f t="shared" si="54"/>
        <v>1737.8400000000001</v>
      </c>
      <c r="AD234" s="127">
        <f t="shared" si="54"/>
        <v>1733.94</v>
      </c>
      <c r="AE234" s="127">
        <f t="shared" si="54"/>
        <v>1784.04</v>
      </c>
      <c r="AF234" s="127">
        <f t="shared" si="54"/>
        <v>1833.8400000000001</v>
      </c>
      <c r="AG234" s="127">
        <f t="shared" si="54"/>
        <v>1748.54</v>
      </c>
      <c r="AH234" s="127">
        <f t="shared" si="54"/>
        <v>1775.24</v>
      </c>
      <c r="AI234" s="127">
        <f t="shared" si="54"/>
        <v>1768.7400000000002</v>
      </c>
      <c r="AJ234" s="127">
        <f t="shared" si="54"/>
        <v>1782.5400000000002</v>
      </c>
      <c r="AK234" s="127">
        <f t="shared" si="54"/>
        <v>1773.7400000000002</v>
      </c>
      <c r="AL234" s="127">
        <f t="shared" si="54"/>
        <v>1768.7400000000002</v>
      </c>
      <c r="AM234" s="127">
        <f t="shared" si="54"/>
        <v>1679.1399999999999</v>
      </c>
      <c r="AN234" s="127">
        <f t="shared" si="54"/>
        <v>1704.1399999999999</v>
      </c>
      <c r="AO234" s="127">
        <f t="shared" si="54"/>
        <v>1799.1399999999999</v>
      </c>
      <c r="AP234" s="127">
        <f t="shared" si="54"/>
        <v>1809.7400000000002</v>
      </c>
      <c r="AQ234" s="127">
        <f t="shared" si="54"/>
        <v>1779.7400000000002</v>
      </c>
      <c r="AR234" s="127">
        <f t="shared" si="54"/>
        <v>1808.8400000000001</v>
      </c>
      <c r="AS234" s="127">
        <f t="shared" si="54"/>
        <v>1781.8400000000001</v>
      </c>
      <c r="AT234" s="127">
        <f t="shared" si="54"/>
        <v>1873.1399999999999</v>
      </c>
      <c r="AU234" s="127">
        <f t="shared" si="54"/>
        <v>1840.3400000000001</v>
      </c>
      <c r="AV234" s="127">
        <f t="shared" si="54"/>
        <v>1867.94</v>
      </c>
      <c r="AW234" s="127">
        <f t="shared" si="54"/>
        <v>1822.04</v>
      </c>
      <c r="AX234" s="127">
        <f t="shared" si="54"/>
        <v>1786.74</v>
      </c>
    </row>
    <row r="235" spans="1:50" x14ac:dyDescent="0.25">
      <c r="A235" s="119" t="s">
        <v>100</v>
      </c>
      <c r="B235" s="120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</row>
    <row r="236" spans="1:50" x14ac:dyDescent="0.25">
      <c r="A236" s="119" t="s">
        <v>101</v>
      </c>
      <c r="B236" s="120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</row>
    <row r="237" spans="1:50" x14ac:dyDescent="0.25">
      <c r="A237" s="119" t="s">
        <v>102</v>
      </c>
      <c r="B237" s="120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50" x14ac:dyDescent="0.25">
      <c r="A238" s="119" t="s">
        <v>103</v>
      </c>
      <c r="B238" s="128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50" x14ac:dyDescent="0.25">
      <c r="A239" s="119" t="s">
        <v>104</v>
      </c>
      <c r="B239" s="120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50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1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1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1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1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1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</row>
    <row r="246" spans="1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J246"/>
    </row>
    <row r="247" spans="1:36" x14ac:dyDescent="0.25"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J247"/>
    </row>
    <row r="248" spans="1:36" x14ac:dyDescent="0.25"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J248"/>
    </row>
    <row r="249" spans="1:36" x14ac:dyDescent="0.25"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J249"/>
    </row>
    <row r="250" spans="1:36" x14ac:dyDescent="0.25"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J250"/>
    </row>
    <row r="251" spans="1:36" x14ac:dyDescent="0.25"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J251"/>
    </row>
    <row r="252" spans="1:36" x14ac:dyDescent="0.25"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J252"/>
    </row>
    <row r="253" spans="1:36" x14ac:dyDescent="0.25"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J253"/>
    </row>
    <row r="254" spans="1:36" x14ac:dyDescent="0.25"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J254"/>
    </row>
    <row r="255" spans="1:36" x14ac:dyDescent="0.25">
      <c r="A255" s="129" t="s">
        <v>89</v>
      </c>
      <c r="B255" s="130">
        <f t="shared" ref="B255:AE255" si="55">C219</f>
        <v>0.64</v>
      </c>
      <c r="C255" s="130">
        <f t="shared" si="55"/>
        <v>0.64</v>
      </c>
      <c r="D255" s="130">
        <f t="shared" si="55"/>
        <v>0.64</v>
      </c>
      <c r="E255" s="130">
        <f t="shared" si="55"/>
        <v>0.64</v>
      </c>
      <c r="F255" s="130">
        <f t="shared" si="55"/>
        <v>0.64</v>
      </c>
      <c r="G255" s="130">
        <f t="shared" si="55"/>
        <v>0.64</v>
      </c>
      <c r="H255" s="130">
        <f t="shared" si="55"/>
        <v>0.64</v>
      </c>
      <c r="I255" s="130">
        <f t="shared" si="55"/>
        <v>0.64</v>
      </c>
      <c r="J255" s="130">
        <f t="shared" si="55"/>
        <v>0.64</v>
      </c>
      <c r="K255" s="130">
        <f t="shared" si="55"/>
        <v>0.64</v>
      </c>
      <c r="L255" s="130">
        <f t="shared" si="55"/>
        <v>0.64</v>
      </c>
      <c r="M255" s="130">
        <f t="shared" si="55"/>
        <v>0.64</v>
      </c>
      <c r="N255" s="130">
        <f t="shared" si="55"/>
        <v>0.64</v>
      </c>
      <c r="O255" s="130">
        <f t="shared" si="55"/>
        <v>0.64</v>
      </c>
      <c r="P255" s="130">
        <f t="shared" si="55"/>
        <v>0</v>
      </c>
      <c r="Q255" s="130">
        <f t="shared" si="55"/>
        <v>0</v>
      </c>
      <c r="R255" s="130">
        <f t="shared" si="55"/>
        <v>0</v>
      </c>
      <c r="S255" s="130">
        <f t="shared" si="55"/>
        <v>0</v>
      </c>
      <c r="T255" s="130">
        <f t="shared" si="55"/>
        <v>0</v>
      </c>
      <c r="U255" s="130">
        <f t="shared" si="55"/>
        <v>0</v>
      </c>
      <c r="V255" s="130">
        <f t="shared" si="55"/>
        <v>0</v>
      </c>
      <c r="W255" s="130">
        <f t="shared" si="55"/>
        <v>0</v>
      </c>
      <c r="X255" s="130">
        <f t="shared" si="55"/>
        <v>0</v>
      </c>
      <c r="Y255" s="130">
        <f t="shared" si="55"/>
        <v>0</v>
      </c>
      <c r="Z255" s="130">
        <f t="shared" si="55"/>
        <v>0</v>
      </c>
      <c r="AA255" s="130">
        <f t="shared" si="55"/>
        <v>0</v>
      </c>
      <c r="AB255" s="130">
        <f t="shared" si="55"/>
        <v>0</v>
      </c>
      <c r="AC255" s="130">
        <f t="shared" si="55"/>
        <v>0</v>
      </c>
      <c r="AD255" s="130">
        <f t="shared" si="55"/>
        <v>0</v>
      </c>
      <c r="AE255" s="130">
        <f t="shared" si="55"/>
        <v>0</v>
      </c>
      <c r="AF255" s="130">
        <f>B219</f>
        <v>0</v>
      </c>
      <c r="AG255" s="47"/>
      <c r="AH255" s="47"/>
      <c r="AJ255"/>
    </row>
    <row r="256" spans="1:36" x14ac:dyDescent="0.25">
      <c r="A256" s="88" t="str">
        <f>A223</f>
        <v>KGA</v>
      </c>
      <c r="B256" s="88" t="str">
        <f>IF(B223&lt;100,"",B223-520)</f>
        <v/>
      </c>
      <c r="C256" s="88" t="str">
        <f t="shared" ref="C256:AF256" si="56">IF(C223&lt;100,"",C223-520)</f>
        <v/>
      </c>
      <c r="D256" s="88" t="str">
        <f t="shared" si="56"/>
        <v/>
      </c>
      <c r="E256" s="88" t="str">
        <f t="shared" si="56"/>
        <v/>
      </c>
      <c r="F256" s="88" t="str">
        <f t="shared" si="56"/>
        <v/>
      </c>
      <c r="G256" s="88" t="str">
        <f t="shared" si="56"/>
        <v/>
      </c>
      <c r="H256" s="88" t="str">
        <f t="shared" si="56"/>
        <v/>
      </c>
      <c r="I256" s="88" t="str">
        <f t="shared" si="56"/>
        <v/>
      </c>
      <c r="J256" s="88" t="str">
        <f t="shared" si="56"/>
        <v/>
      </c>
      <c r="K256" s="88" t="str">
        <f t="shared" si="56"/>
        <v/>
      </c>
      <c r="L256" s="88" t="str">
        <f t="shared" si="56"/>
        <v/>
      </c>
      <c r="M256" s="88" t="str">
        <f t="shared" si="56"/>
        <v/>
      </c>
      <c r="N256" s="88" t="str">
        <f t="shared" si="56"/>
        <v/>
      </c>
      <c r="O256" s="88" t="str">
        <f t="shared" si="56"/>
        <v/>
      </c>
      <c r="P256" s="88" t="str">
        <f t="shared" si="56"/>
        <v/>
      </c>
      <c r="Q256" s="88" t="str">
        <f t="shared" si="56"/>
        <v/>
      </c>
      <c r="R256" s="88" t="str">
        <f t="shared" si="56"/>
        <v/>
      </c>
      <c r="S256" s="88" t="str">
        <f t="shared" si="56"/>
        <v/>
      </c>
      <c r="T256" s="88" t="str">
        <f t="shared" si="56"/>
        <v/>
      </c>
      <c r="U256" s="88" t="str">
        <f t="shared" si="56"/>
        <v/>
      </c>
      <c r="V256" s="88" t="str">
        <f t="shared" si="56"/>
        <v/>
      </c>
      <c r="W256" s="88" t="str">
        <f t="shared" si="56"/>
        <v/>
      </c>
      <c r="X256" s="88" t="str">
        <f t="shared" si="56"/>
        <v/>
      </c>
      <c r="Y256" s="88" t="str">
        <f t="shared" si="56"/>
        <v/>
      </c>
      <c r="Z256" s="88" t="str">
        <f t="shared" si="56"/>
        <v/>
      </c>
      <c r="AA256" s="88" t="str">
        <f t="shared" si="56"/>
        <v/>
      </c>
      <c r="AB256" s="88" t="str">
        <f t="shared" si="56"/>
        <v/>
      </c>
      <c r="AC256" s="88" t="str">
        <f t="shared" si="56"/>
        <v/>
      </c>
      <c r="AD256" s="88" t="str">
        <f t="shared" si="56"/>
        <v/>
      </c>
      <c r="AE256" s="88" t="str">
        <f t="shared" si="56"/>
        <v/>
      </c>
      <c r="AF256" s="88" t="str">
        <f t="shared" si="56"/>
        <v/>
      </c>
      <c r="AG256" s="47"/>
      <c r="AH256" s="47"/>
      <c r="AJ256"/>
    </row>
    <row r="257" spans="1:36" x14ac:dyDescent="0.25">
      <c r="A257" s="88" t="str">
        <f>A224</f>
        <v>MMRS</v>
      </c>
      <c r="B257" s="88" t="str">
        <f t="shared" ref="B257:AF257" si="57">IF(B224&lt;100,"",B224-620)</f>
        <v/>
      </c>
      <c r="C257" s="88" t="str">
        <f t="shared" si="57"/>
        <v/>
      </c>
      <c r="D257" s="88" t="str">
        <f t="shared" si="57"/>
        <v/>
      </c>
      <c r="E257" s="88" t="str">
        <f t="shared" si="57"/>
        <v/>
      </c>
      <c r="F257" s="88" t="str">
        <f t="shared" si="57"/>
        <v/>
      </c>
      <c r="G257" s="88" t="str">
        <f t="shared" si="57"/>
        <v/>
      </c>
      <c r="H257" s="88" t="str">
        <f t="shared" si="57"/>
        <v/>
      </c>
      <c r="I257" s="88" t="str">
        <f t="shared" si="57"/>
        <v/>
      </c>
      <c r="J257" s="88" t="str">
        <f t="shared" si="57"/>
        <v/>
      </c>
      <c r="K257" s="88" t="str">
        <f t="shared" si="57"/>
        <v/>
      </c>
      <c r="L257" s="88" t="str">
        <f t="shared" si="57"/>
        <v/>
      </c>
      <c r="M257" s="88" t="str">
        <f t="shared" si="57"/>
        <v/>
      </c>
      <c r="N257" s="88" t="str">
        <f t="shared" si="57"/>
        <v/>
      </c>
      <c r="O257" s="88" t="str">
        <f t="shared" si="57"/>
        <v/>
      </c>
      <c r="P257" s="88" t="str">
        <f t="shared" si="57"/>
        <v/>
      </c>
      <c r="Q257" s="88" t="str">
        <f t="shared" si="57"/>
        <v/>
      </c>
      <c r="R257" s="88" t="str">
        <f t="shared" si="57"/>
        <v/>
      </c>
      <c r="S257" s="88" t="str">
        <f t="shared" si="57"/>
        <v/>
      </c>
      <c r="T257" s="88" t="str">
        <f t="shared" si="57"/>
        <v/>
      </c>
      <c r="U257" s="88" t="str">
        <f t="shared" si="57"/>
        <v/>
      </c>
      <c r="V257" s="88" t="str">
        <f t="shared" si="57"/>
        <v/>
      </c>
      <c r="W257" s="88" t="str">
        <f t="shared" si="57"/>
        <v/>
      </c>
      <c r="X257" s="88" t="str">
        <f t="shared" si="57"/>
        <v/>
      </c>
      <c r="Y257" s="88" t="str">
        <f t="shared" si="57"/>
        <v/>
      </c>
      <c r="Z257" s="88" t="str">
        <f t="shared" si="57"/>
        <v/>
      </c>
      <c r="AA257" s="88" t="str">
        <f t="shared" si="57"/>
        <v/>
      </c>
      <c r="AB257" s="88" t="str">
        <f t="shared" si="57"/>
        <v/>
      </c>
      <c r="AC257" s="88" t="str">
        <f t="shared" si="57"/>
        <v/>
      </c>
      <c r="AD257" s="88" t="str">
        <f t="shared" si="57"/>
        <v/>
      </c>
      <c r="AE257" s="88" t="str">
        <f t="shared" si="57"/>
        <v/>
      </c>
      <c r="AF257" s="88" t="str">
        <f t="shared" si="57"/>
        <v/>
      </c>
      <c r="AG257" s="47"/>
      <c r="AH257" s="47"/>
      <c r="AJ257"/>
    </row>
    <row r="258" spans="1:36" x14ac:dyDescent="0.25">
      <c r="A258" s="88" t="str">
        <f>A225</f>
        <v>MRS</v>
      </c>
      <c r="B258" s="88" t="str">
        <f t="shared" ref="B258:AF258" si="58">IF(B225&lt;100,"",B225-330)</f>
        <v/>
      </c>
      <c r="C258" s="88" t="str">
        <f t="shared" si="58"/>
        <v/>
      </c>
      <c r="D258" s="88" t="str">
        <f t="shared" si="58"/>
        <v/>
      </c>
      <c r="E258" s="88" t="str">
        <f t="shared" si="58"/>
        <v/>
      </c>
      <c r="F258" s="88" t="str">
        <f t="shared" si="58"/>
        <v/>
      </c>
      <c r="G258" s="88" t="str">
        <f t="shared" si="58"/>
        <v/>
      </c>
      <c r="H258" s="88" t="str">
        <f t="shared" si="58"/>
        <v/>
      </c>
      <c r="I258" s="88" t="str">
        <f t="shared" si="58"/>
        <v/>
      </c>
      <c r="J258" s="88" t="str">
        <f t="shared" si="58"/>
        <v/>
      </c>
      <c r="K258" s="88" t="str">
        <f t="shared" si="58"/>
        <v/>
      </c>
      <c r="L258" s="88" t="str">
        <f t="shared" si="58"/>
        <v/>
      </c>
      <c r="M258" s="88" t="str">
        <f t="shared" si="58"/>
        <v/>
      </c>
      <c r="N258" s="88" t="str">
        <f t="shared" si="58"/>
        <v/>
      </c>
      <c r="O258" s="88" t="str">
        <f t="shared" si="58"/>
        <v/>
      </c>
      <c r="P258" s="88" t="str">
        <f t="shared" si="58"/>
        <v/>
      </c>
      <c r="Q258" s="88" t="str">
        <f t="shared" si="58"/>
        <v/>
      </c>
      <c r="R258" s="88" t="str">
        <f t="shared" si="58"/>
        <v/>
      </c>
      <c r="S258" s="88" t="str">
        <f t="shared" si="58"/>
        <v/>
      </c>
      <c r="T258" s="88" t="str">
        <f t="shared" si="58"/>
        <v/>
      </c>
      <c r="U258" s="88" t="str">
        <f t="shared" si="58"/>
        <v/>
      </c>
      <c r="V258" s="88" t="str">
        <f t="shared" si="58"/>
        <v/>
      </c>
      <c r="W258" s="88" t="str">
        <f t="shared" si="58"/>
        <v/>
      </c>
      <c r="X258" s="88" t="str">
        <f t="shared" si="58"/>
        <v/>
      </c>
      <c r="Y258" s="88" t="str">
        <f t="shared" si="58"/>
        <v/>
      </c>
      <c r="Z258" s="88" t="str">
        <f t="shared" si="58"/>
        <v/>
      </c>
      <c r="AA258" s="88" t="str">
        <f t="shared" si="58"/>
        <v/>
      </c>
      <c r="AB258" s="88" t="str">
        <f t="shared" si="58"/>
        <v/>
      </c>
      <c r="AC258" s="88" t="str">
        <f t="shared" si="58"/>
        <v/>
      </c>
      <c r="AD258" s="88" t="str">
        <f t="shared" si="58"/>
        <v/>
      </c>
      <c r="AE258" s="88" t="str">
        <f t="shared" si="58"/>
        <v/>
      </c>
      <c r="AF258" s="88" t="str">
        <f t="shared" si="58"/>
        <v/>
      </c>
      <c r="AG258" s="47"/>
      <c r="AH258" s="47"/>
      <c r="AJ258"/>
    </row>
    <row r="259" spans="1:36" x14ac:dyDescent="0.25">
      <c r="A259" s="88" t="str">
        <f>A226</f>
        <v>KL 1</v>
      </c>
      <c r="B259" s="88" t="str">
        <f>IF(B226&lt;100,"",B226-1500)</f>
        <v/>
      </c>
      <c r="C259" s="88" t="str">
        <f t="shared" ref="C259:AF259" si="59">IF(C226&lt;100,"",C226-1500)</f>
        <v/>
      </c>
      <c r="D259" s="88" t="str">
        <f t="shared" si="59"/>
        <v/>
      </c>
      <c r="E259" s="88" t="str">
        <f t="shared" si="59"/>
        <v/>
      </c>
      <c r="F259" s="88" t="str">
        <f t="shared" si="59"/>
        <v/>
      </c>
      <c r="G259" s="88" t="str">
        <f t="shared" si="59"/>
        <v/>
      </c>
      <c r="H259" s="88" t="str">
        <f t="shared" si="59"/>
        <v/>
      </c>
      <c r="I259" s="88" t="str">
        <f t="shared" si="59"/>
        <v/>
      </c>
      <c r="J259" s="88" t="str">
        <f t="shared" si="59"/>
        <v/>
      </c>
      <c r="K259" s="88" t="str">
        <f t="shared" si="59"/>
        <v/>
      </c>
      <c r="L259" s="88" t="str">
        <f t="shared" si="59"/>
        <v/>
      </c>
      <c r="M259" s="88" t="str">
        <f t="shared" si="59"/>
        <v/>
      </c>
      <c r="N259" s="88" t="str">
        <f t="shared" si="59"/>
        <v/>
      </c>
      <c r="O259" s="88" t="str">
        <f t="shared" si="59"/>
        <v/>
      </c>
      <c r="P259" s="88" t="str">
        <f t="shared" si="59"/>
        <v/>
      </c>
      <c r="Q259" s="88" t="str">
        <f t="shared" si="59"/>
        <v/>
      </c>
      <c r="R259" s="88" t="str">
        <f t="shared" si="59"/>
        <v/>
      </c>
      <c r="S259" s="88" t="str">
        <f t="shared" si="59"/>
        <v/>
      </c>
      <c r="T259" s="88" t="str">
        <f t="shared" si="59"/>
        <v/>
      </c>
      <c r="U259" s="88" t="str">
        <f t="shared" si="59"/>
        <v/>
      </c>
      <c r="V259" s="88" t="str">
        <f t="shared" si="59"/>
        <v/>
      </c>
      <c r="W259" s="88" t="str">
        <f t="shared" si="59"/>
        <v/>
      </c>
      <c r="X259" s="88" t="str">
        <f t="shared" si="59"/>
        <v/>
      </c>
      <c r="Y259" s="88" t="str">
        <f t="shared" si="59"/>
        <v/>
      </c>
      <c r="Z259" s="88" t="str">
        <f t="shared" si="59"/>
        <v/>
      </c>
      <c r="AA259" s="88" t="str">
        <f t="shared" si="59"/>
        <v/>
      </c>
      <c r="AB259" s="88" t="str">
        <f t="shared" si="59"/>
        <v/>
      </c>
      <c r="AC259" s="88" t="str">
        <f t="shared" si="59"/>
        <v/>
      </c>
      <c r="AD259" s="88" t="str">
        <f t="shared" si="59"/>
        <v/>
      </c>
      <c r="AE259" s="88" t="str">
        <f t="shared" si="59"/>
        <v/>
      </c>
      <c r="AF259" s="88" t="str">
        <f t="shared" si="59"/>
        <v/>
      </c>
      <c r="AG259" s="47"/>
      <c r="AH259" s="47"/>
      <c r="AJ259"/>
    </row>
    <row r="260" spans="1:36" x14ac:dyDescent="0.25"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J260"/>
    </row>
    <row r="261" spans="1:36" x14ac:dyDescent="0.25"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J261"/>
    </row>
    <row r="262" spans="1:36" x14ac:dyDescent="0.25"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J262"/>
    </row>
    <row r="263" spans="1:36" x14ac:dyDescent="0.25"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J263"/>
    </row>
    <row r="264" spans="1:36" x14ac:dyDescent="0.25"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J264"/>
    </row>
    <row r="265" spans="1:36" x14ac:dyDescent="0.25"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J265"/>
    </row>
    <row r="266" spans="1:36" x14ac:dyDescent="0.25"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J266"/>
    </row>
    <row r="490" spans="36:38" x14ac:dyDescent="0.25">
      <c r="AK490" s="1"/>
    </row>
    <row r="491" spans="36:38" x14ac:dyDescent="0.25">
      <c r="AK491" s="1"/>
      <c r="AL491" s="1"/>
    </row>
    <row r="492" spans="36:38" x14ac:dyDescent="0.25">
      <c r="AJ492"/>
    </row>
  </sheetData>
  <mergeCells count="48">
    <mergeCell ref="A231:B23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19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D214:AF220 B214:B220 B212:AF212 U233:AF233 B9:AF10 C99:AF105">
    <cfRule type="expression" dxfId="5980" priority="189">
      <formula>B$9&gt;=20/24</formula>
    </cfRule>
    <cfRule type="expression" dxfId="5979" priority="190">
      <formula>AND(B$9&gt;=14/24,B$9&lt;20/24)</formula>
    </cfRule>
    <cfRule type="expression" dxfId="5978" priority="191">
      <formula>AND(B$9&gt;=8/24,B$9&lt;14/24)</formula>
    </cfRule>
    <cfRule type="expression" dxfId="5977" priority="192">
      <formula>B$9&lt;8/24</formula>
    </cfRule>
  </conditionalFormatting>
  <conditionalFormatting sqref="AL4:AL6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AG55 B12:L16 AB11:AB15 M11:AA11 M16:AB16 B35:AF35 AC11:AF16">
    <cfRule type="expression" dxfId="5976" priority="187">
      <formula>B11&gt;$AG11</formula>
    </cfRule>
  </conditionalFormatting>
  <conditionalFormatting sqref="A89:A102 A11:A14 A49:A76 A85:A87 A190:A220 A16:A30 A36:A47 A106:A177 A32:A33 A81:A83 A78:A79">
    <cfRule type="expression" dxfId="5975" priority="186">
      <formula>$AH11=0</formula>
    </cfRule>
  </conditionalFormatting>
  <conditionalFormatting sqref="A103">
    <cfRule type="expression" dxfId="5974" priority="185">
      <formula>$AH103=0</formula>
    </cfRule>
  </conditionalFormatting>
  <conditionalFormatting sqref="AL33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5973" priority="183">
      <formula>$AH35=0</formula>
    </cfRule>
  </conditionalFormatting>
  <conditionalFormatting sqref="A88">
    <cfRule type="expression" dxfId="5972" priority="182">
      <formula>$AH88=0</formula>
    </cfRule>
  </conditionalFormatting>
  <conditionalFormatting sqref="A15">
    <cfRule type="expression" dxfId="5971" priority="181">
      <formula>$AH15=0</formula>
    </cfRule>
  </conditionalFormatting>
  <conditionalFormatting sqref="A184:A189">
    <cfRule type="expression" dxfId="5970" priority="180">
      <formula>$AH184=0</formula>
    </cfRule>
  </conditionalFormatting>
  <conditionalFormatting sqref="A178:A183">
    <cfRule type="expression" dxfId="5969" priority="179">
      <formula>$AH178=0</formula>
    </cfRule>
  </conditionalFormatting>
  <conditionalFormatting sqref="A48">
    <cfRule type="expression" dxfId="5968" priority="178">
      <formula>$AH48=0</formula>
    </cfRule>
  </conditionalFormatting>
  <conditionalFormatting sqref="A84">
    <cfRule type="expression" dxfId="5967" priority="177">
      <formula>$AH84=0</formula>
    </cfRule>
  </conditionalFormatting>
  <conditionalFormatting sqref="C89:AF89">
    <cfRule type="expression" dxfId="5966" priority="173">
      <formula>C$9&gt;=20/24</formula>
    </cfRule>
    <cfRule type="expression" dxfId="5965" priority="174">
      <formula>AND(C$9&gt;=14/24,C$9&lt;20/24)</formula>
    </cfRule>
    <cfRule type="expression" dxfId="5964" priority="175">
      <formula>AND(C$9&gt;=8/24,C$9&lt;14/24)</formula>
    </cfRule>
    <cfRule type="expression" dxfId="5963" priority="176">
      <formula>C$9&lt;8/24</formula>
    </cfRule>
  </conditionalFormatting>
  <conditionalFormatting sqref="AL34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962" priority="195">
      <formula>C$9&gt;=20/24</formula>
    </cfRule>
    <cfRule type="expression" dxfId="5961" priority="196">
      <formula>AND(C$9&gt;=14/24,C$9&lt;20/24)</formula>
    </cfRule>
    <cfRule type="expression" dxfId="5960" priority="197">
      <formula>AND(C$9&gt;=8/24,C$9&lt;14/24)</formula>
    </cfRule>
    <cfRule type="expression" dxfId="5959" priority="198">
      <formula>C$9&lt;8/24</formula>
    </cfRule>
  </conditionalFormatting>
  <conditionalFormatting sqref="A221">
    <cfRule type="expression" dxfId="5958" priority="199">
      <formula>$AH221=0</formula>
    </cfRule>
  </conditionalFormatting>
  <conditionalFormatting sqref="AG233">
    <cfRule type="expression" dxfId="5957" priority="200">
      <formula>B$9&gt;=20/24</formula>
    </cfRule>
    <cfRule type="expression" dxfId="5956" priority="201">
      <formula>AND(B$9&gt;=14/24,B$9&lt;20/24)</formula>
    </cfRule>
    <cfRule type="expression" dxfId="5955" priority="202">
      <formula>AND(B$9&gt;=8/24,B$9&lt;14/24)</formula>
    </cfRule>
    <cfRule type="expression" dxfId="5954" priority="203">
      <formula>B$9&lt;8/24</formula>
    </cfRule>
  </conditionalFormatting>
  <conditionalFormatting sqref="S8">
    <cfRule type="expression" dxfId="5953" priority="168">
      <formula>U$9&gt;=20/24</formula>
    </cfRule>
    <cfRule type="expression" dxfId="5952" priority="169">
      <formula>AND(U$9&gt;=14/24,U$9&lt;20/24)</formula>
    </cfRule>
    <cfRule type="expression" dxfId="5951" priority="170">
      <formula>AND(U$9&gt;=8/24,U$9&lt;14/24)</formula>
    </cfRule>
    <cfRule type="expression" dxfId="5950" priority="171">
      <formula>U$9&lt;8/24</formula>
    </cfRule>
  </conditionalFormatting>
  <conditionalFormatting sqref="AB8">
    <cfRule type="expression" dxfId="5949" priority="164">
      <formula>AD$9&gt;=20/24</formula>
    </cfRule>
    <cfRule type="expression" dxfId="5948" priority="165">
      <formula>AND(AD$9&gt;=14/24,AD$9&lt;20/24)</formula>
    </cfRule>
    <cfRule type="expression" dxfId="5947" priority="166">
      <formula>AND(AD$9&gt;=8/24,AD$9&lt;14/24)</formula>
    </cfRule>
    <cfRule type="expression" dxfId="5946" priority="167">
      <formula>AD$9&lt;8/24</formula>
    </cfRule>
  </conditionalFormatting>
  <conditionalFormatting sqref="AH233:AX233">
    <cfRule type="expression" dxfId="5945" priority="204">
      <formula>AG$9&gt;=20/24</formula>
    </cfRule>
    <cfRule type="expression" dxfId="5944" priority="205">
      <formula>AND(AG$9&gt;=14/24,AG$9&lt;20/24)</formula>
    </cfRule>
    <cfRule type="expression" dxfId="5943" priority="206">
      <formula>AND(AG$9&gt;=8/24,AG$9&lt;14/24)</formula>
    </cfRule>
    <cfRule type="expression" dxfId="5942" priority="207">
      <formula>AG$9&lt;8/24</formula>
    </cfRule>
  </conditionalFormatting>
  <conditionalFormatting sqref="T233">
    <cfRule type="expression" dxfId="5941" priority="208">
      <formula>AX$9&gt;=20/24</formula>
    </cfRule>
    <cfRule type="expression" dxfId="5940" priority="209">
      <formula>AND(AX$9&gt;=14/24,AX$9&lt;20/24)</formula>
    </cfRule>
    <cfRule type="expression" dxfId="5939" priority="210">
      <formula>AND(AX$9&gt;=8/24,AX$9&lt;14/24)</formula>
    </cfRule>
    <cfRule type="expression" dxfId="5938" priority="211">
      <formula>AX$9&lt;8/24</formula>
    </cfRule>
  </conditionalFormatting>
  <conditionalFormatting sqref="A104:A105">
    <cfRule type="expression" dxfId="5937" priority="163">
      <formula>$AH104=0</formula>
    </cfRule>
  </conditionalFormatting>
  <conditionalFormatting sqref="AB44:AF45 F44:L45 F61:AF61">
    <cfRule type="expression" dxfId="5936" priority="159">
      <formula>F$9&gt;=20/24</formula>
    </cfRule>
    <cfRule type="expression" dxfId="5935" priority="160">
      <formula>AND(F$9&gt;=14/24,F$9&lt;20/24)</formula>
    </cfRule>
    <cfRule type="expression" dxfId="5934" priority="161">
      <formula>AND(F$9&gt;=8/24,F$9&lt;14/24)</formula>
    </cfRule>
    <cfRule type="expression" dxfId="5933" priority="162">
      <formula>F$9&lt;8/24</formula>
    </cfRule>
  </conditionalFormatting>
  <conditionalFormatting sqref="F43:L43 S43:AF43">
    <cfRule type="expression" dxfId="5932" priority="155">
      <formula>F$9&gt;=20/24</formula>
    </cfRule>
    <cfRule type="expression" dxfId="5931" priority="156">
      <formula>AND(F$9&gt;=14/24,F$9&lt;20/24)</formula>
    </cfRule>
    <cfRule type="expression" dxfId="5930" priority="157">
      <formula>AND(F$9&gt;=8/24,F$9&lt;14/24)</formula>
    </cfRule>
    <cfRule type="expression" dxfId="5929" priority="158">
      <formula>F$9&lt;8/24</formula>
    </cfRule>
  </conditionalFormatting>
  <conditionalFormatting sqref="F43:L45 AB43:AF45 S43:AA43">
    <cfRule type="expression" dxfId="5928" priority="154">
      <formula>F43&gt;$AG43</formula>
    </cfRule>
  </conditionalFormatting>
  <conditionalFormatting sqref="C86:AF86 E64:AF65 C73:AF76 D57:AF59 B22:L22 F62:AF63 M37:AF37 M11:AA14 E90:AF96 AC36:AF36 AB12:AF14 M16:AF16 M18:AF22">
    <cfRule type="expression" dxfId="5927" priority="150">
      <formula>B$9&gt;=20/24</formula>
    </cfRule>
    <cfRule type="expression" dxfId="5926" priority="151">
      <formula>AND(B$9&gt;=14/24,B$9&lt;20/24)</formula>
    </cfRule>
    <cfRule type="expression" dxfId="5925" priority="152">
      <formula>AND(B$9&gt;=8/24,B$9&lt;14/24)</formula>
    </cfRule>
    <cfRule type="expression" dxfId="5924" priority="153">
      <formula>B$9&lt;8/24</formula>
    </cfRule>
  </conditionalFormatting>
  <conditionalFormatting sqref="AB46:AF47 C55:AF55 D57:AF59 B22:L22 F46:L46 M37:AF37 M11:AA15 AC36:AF36 M18:AF22">
    <cfRule type="expression" dxfId="5923" priority="145">
      <formula>B11&gt;$AG11</formula>
    </cfRule>
  </conditionalFormatting>
  <conditionalFormatting sqref="AC35:AF35">
    <cfRule type="expression" dxfId="5922" priority="141">
      <formula>AC$9&gt;=20/24</formula>
    </cfRule>
    <cfRule type="expression" dxfId="5921" priority="142">
      <formula>AND(AC$9&gt;=14/24,AC$9&lt;20/24)</formula>
    </cfRule>
    <cfRule type="expression" dxfId="5920" priority="143">
      <formula>AND(AC$9&gt;=8/24,AC$9&lt;14/24)</formula>
    </cfRule>
    <cfRule type="expression" dxfId="5919" priority="144">
      <formula>AC$9&lt;8/24</formula>
    </cfRule>
  </conditionalFormatting>
  <conditionalFormatting sqref="M15:AF15">
    <cfRule type="expression" dxfId="5918" priority="137">
      <formula>M$9&gt;=20/24</formula>
    </cfRule>
    <cfRule type="expression" dxfId="5917" priority="138">
      <formula>AND(M$9&gt;=14/24,M$9&lt;20/24)</formula>
    </cfRule>
    <cfRule type="expression" dxfId="5916" priority="139">
      <formula>AND(M$9&gt;=8/24,M$9&lt;14/24)</formula>
    </cfRule>
    <cfRule type="expression" dxfId="5915" priority="140">
      <formula>M$9&lt;8/24</formula>
    </cfRule>
  </conditionalFormatting>
  <conditionalFormatting sqref="AE34:AF34">
    <cfRule type="expression" dxfId="5914" priority="133">
      <formula>AE$9&gt;=20/24</formula>
    </cfRule>
    <cfRule type="expression" dxfId="5913" priority="134">
      <formula>AND(AE$9&gt;=14/24,AE$9&lt;20/24)</formula>
    </cfRule>
    <cfRule type="expression" dxfId="5912" priority="135">
      <formula>AND(AE$9&gt;=8/24,AE$9&lt;14/24)</formula>
    </cfRule>
    <cfRule type="expression" dxfId="5911" priority="136">
      <formula>AE$9&lt;8/24</formula>
    </cfRule>
  </conditionalFormatting>
  <conditionalFormatting sqref="AE34:AF34">
    <cfRule type="expression" dxfId="5910" priority="132">
      <formula>AE34&gt;$AG34</formula>
    </cfRule>
  </conditionalFormatting>
  <conditionalFormatting sqref="AB11:AF11">
    <cfRule type="expression" dxfId="5909" priority="128">
      <formula>AB$9&gt;=20/24</formula>
    </cfRule>
    <cfRule type="expression" dxfId="5908" priority="129">
      <formula>AND(AB$9&gt;=14/24,AB$9&lt;20/24)</formula>
    </cfRule>
    <cfRule type="expression" dxfId="5907" priority="130">
      <formula>AND(AB$9&gt;=8/24,AB$9&lt;14/24)</formula>
    </cfRule>
    <cfRule type="expression" dxfId="5906" priority="131">
      <formula>AB$9&lt;8/24</formula>
    </cfRule>
  </conditionalFormatting>
  <conditionalFormatting sqref="AB48:AF54">
    <cfRule type="expression" dxfId="5905" priority="124">
      <formula>AB$9&gt;=20/24</formula>
    </cfRule>
    <cfRule type="expression" dxfId="5904" priority="125">
      <formula>AND(AB$9&gt;=14/24,AB$9&lt;20/24)</formula>
    </cfRule>
    <cfRule type="expression" dxfId="5903" priority="126">
      <formula>AND(AB$9&gt;=8/24,AB$9&lt;14/24)</formula>
    </cfRule>
    <cfRule type="expression" dxfId="5902" priority="127">
      <formula>AB$9&lt;8/24</formula>
    </cfRule>
  </conditionalFormatting>
  <conditionalFormatting sqref="AB48:AF54">
    <cfRule type="expression" dxfId="5901" priority="123">
      <formula>AB48&gt;$AG48</formula>
    </cfRule>
  </conditionalFormatting>
  <conditionalFormatting sqref="M43:O46 N47:O52 Q43:R43 P43:P52 Q44:AA52">
    <cfRule type="expression" dxfId="5900" priority="119">
      <formula>M$9&gt;=20/24</formula>
    </cfRule>
    <cfRule type="expression" dxfId="5899" priority="120">
      <formula>AND(M$9&gt;=14/24,M$9&lt;20/24)</formula>
    </cfRule>
    <cfRule type="expression" dxfId="5898" priority="121">
      <formula>AND(M$9&gt;=8/24,M$9&lt;14/24)</formula>
    </cfRule>
    <cfRule type="expression" dxfId="5897" priority="122">
      <formula>M$9&lt;8/24</formula>
    </cfRule>
  </conditionalFormatting>
  <conditionalFormatting sqref="M43:O46 N47:O52 Q43:R43 P43:P52 Q44:AA52">
    <cfRule type="expression" dxfId="5896" priority="118">
      <formula>M43&gt;$AG43</formula>
    </cfRule>
  </conditionalFormatting>
  <conditionalFormatting sqref="AE23 M24:AE24 AF23:AF24 M17:AF17">
    <cfRule type="expression" dxfId="5895" priority="110">
      <formula>M$9&gt;=20/24</formula>
    </cfRule>
    <cfRule type="expression" dxfId="5894" priority="111">
      <formula>AND(M$9&gt;=14/24,M$9&lt;20/24)</formula>
    </cfRule>
    <cfRule type="expression" dxfId="5893" priority="112">
      <formula>AND(M$9&gt;=8/24,M$9&lt;14/24)</formula>
    </cfRule>
    <cfRule type="expression" dxfId="5892" priority="113">
      <formula>M$9&lt;8/24</formula>
    </cfRule>
  </conditionalFormatting>
  <conditionalFormatting sqref="AE23 M24:AE24 AF23:AF24 M17:AF17">
    <cfRule type="expression" dxfId="5891" priority="109">
      <formula>M17&gt;$AG17</formula>
    </cfRule>
  </conditionalFormatting>
  <conditionalFormatting sqref="F53:AA53">
    <cfRule type="expression" dxfId="5890" priority="105">
      <formula>F$9&gt;=20/24</formula>
    </cfRule>
    <cfRule type="expression" dxfId="5889" priority="106">
      <formula>AND(F$9&gt;=14/24,F$9&lt;20/24)</formula>
    </cfRule>
    <cfRule type="expression" dxfId="5888" priority="107">
      <formula>AND(F$9&gt;=8/24,F$9&lt;14/24)</formula>
    </cfRule>
    <cfRule type="expression" dxfId="5887" priority="108">
      <formula>F$9&lt;8/24</formula>
    </cfRule>
  </conditionalFormatting>
  <conditionalFormatting sqref="F53:AA53">
    <cfRule type="expression" dxfId="5886" priority="104">
      <formula>F53&gt;$AG53</formula>
    </cfRule>
  </conditionalFormatting>
  <conditionalFormatting sqref="B99:B105 B78:AF78 B87:AF87 B11:L11">
    <cfRule type="expression" dxfId="5885" priority="100">
      <formula>B$9&gt;=20/24</formula>
    </cfRule>
    <cfRule type="expression" dxfId="5884" priority="101">
      <formula>AND(B$9&gt;=14/24,B$9&lt;20/24)</formula>
    </cfRule>
    <cfRule type="expression" dxfId="5883" priority="102">
      <formula>AND(B$9&gt;=8/24,B$9&lt;14/24)</formula>
    </cfRule>
    <cfRule type="expression" dxfId="5882" priority="103">
      <formula>B$9&lt;8/24</formula>
    </cfRule>
  </conditionalFormatting>
  <conditionalFormatting sqref="B37:L37">
    <cfRule type="expression" dxfId="5881" priority="96">
      <formula>B$9&gt;=20/24</formula>
    </cfRule>
    <cfRule type="expression" dxfId="5880" priority="97">
      <formula>AND(B$9&gt;=14/24,B$9&lt;20/24)</formula>
    </cfRule>
    <cfRule type="expression" dxfId="5879" priority="98">
      <formula>AND(B$9&gt;=8/24,B$9&lt;14/24)</formula>
    </cfRule>
    <cfRule type="expression" dxfId="5878" priority="99">
      <formula>B$9&lt;8/24</formula>
    </cfRule>
  </conditionalFormatting>
  <conditionalFormatting sqref="B37:L37 B11:L11">
    <cfRule type="expression" dxfId="5877" priority="95">
      <formula>B11&gt;$AG11</formula>
    </cfRule>
  </conditionalFormatting>
  <conditionalFormatting sqref="B89">
    <cfRule type="expression" dxfId="5876" priority="91">
      <formula>B$9&gt;=20/24</formula>
    </cfRule>
    <cfRule type="expression" dxfId="5875" priority="92">
      <formula>AND(B$9&gt;=14/24,B$9&lt;20/24)</formula>
    </cfRule>
    <cfRule type="expression" dxfId="5874" priority="93">
      <formula>AND(B$9&gt;=8/24,B$9&lt;14/24)</formula>
    </cfRule>
    <cfRule type="expression" dxfId="5873" priority="94">
      <formula>B$9&lt;8/24</formula>
    </cfRule>
  </conditionalFormatting>
  <conditionalFormatting sqref="B44:E45 B61:E61 B36:AB36">
    <cfRule type="expression" dxfId="5872" priority="87">
      <formula>B$9&gt;=20/24</formula>
    </cfRule>
    <cfRule type="expression" dxfId="5871" priority="88">
      <formula>AND(B$9&gt;=14/24,B$9&lt;20/24)</formula>
    </cfRule>
    <cfRule type="expression" dxfId="5870" priority="89">
      <formula>AND(B$9&gt;=8/24,B$9&lt;14/24)</formula>
    </cfRule>
    <cfRule type="expression" dxfId="5869" priority="90">
      <formula>B$9&lt;8/24</formula>
    </cfRule>
  </conditionalFormatting>
  <conditionalFormatting sqref="B43:E43">
    <cfRule type="expression" dxfId="5868" priority="83">
      <formula>B$9&gt;=20/24</formula>
    </cfRule>
    <cfRule type="expression" dxfId="5867" priority="84">
      <formula>AND(B$9&gt;=14/24,B$9&lt;20/24)</formula>
    </cfRule>
    <cfRule type="expression" dxfId="5866" priority="85">
      <formula>AND(B$9&gt;=8/24,B$9&lt;14/24)</formula>
    </cfRule>
    <cfRule type="expression" dxfId="5865" priority="86">
      <formula>B$9&lt;8/24</formula>
    </cfRule>
  </conditionalFormatting>
  <conditionalFormatting sqref="B43:E45 B36:AB36">
    <cfRule type="expression" dxfId="5864" priority="82">
      <formula>B36&gt;$AG36</formula>
    </cfRule>
  </conditionalFormatting>
  <conditionalFormatting sqref="B57:B60 B73:B77 B86 C57:C59 B62:D71 B90:D96 E62:E63 B79:AF79 C77:AG77 B88:AF88 C60:AG60 B24:L26 B18:L21 B16:L16 B12:L14 B28:AF30 B32:AF32 E66:AF71 M25:AF26">
    <cfRule type="expression" dxfId="5863" priority="78">
      <formula>B$9&gt;=20/24</formula>
    </cfRule>
    <cfRule type="expression" dxfId="5862" priority="79">
      <formula>AND(B$9&gt;=14/24,B$9&lt;20/24)</formula>
    </cfRule>
    <cfRule type="expression" dxfId="5861" priority="80">
      <formula>AND(B$9&gt;=8/24,B$9&lt;14/24)</formula>
    </cfRule>
    <cfRule type="expression" dxfId="5860" priority="81">
      <formula>B$9&lt;8/24</formula>
    </cfRule>
  </conditionalFormatting>
  <conditionalFormatting sqref="B33:AF33">
    <cfRule type="expression" dxfId="5859" priority="74">
      <formula>B$9&gt;=20/24</formula>
    </cfRule>
    <cfRule type="expression" dxfId="5858" priority="75">
      <formula>AND(B$9&gt;=14/24,B$9&lt;20/24)</formula>
    </cfRule>
    <cfRule type="expression" dxfId="5857" priority="76">
      <formula>AND(B$9&gt;=8/24,B$9&lt;14/24)</formula>
    </cfRule>
    <cfRule type="expression" dxfId="5856" priority="77">
      <formula>B$9&lt;8/24</formula>
    </cfRule>
  </conditionalFormatting>
  <conditionalFormatting sqref="B55:B60 C57:C59 B46:E47 B38:AG38 C56:AG56 C60:AG60 B24:L30 B18:L21 F47:L47 B32:AF33 M25:AF30">
    <cfRule type="expression" dxfId="5855" priority="73">
      <formula>B18&gt;$AG18</formula>
    </cfRule>
  </conditionalFormatting>
  <conditionalFormatting sqref="B35:AF35">
    <cfRule type="expression" dxfId="5854" priority="69">
      <formula>B$9&gt;=20/24</formula>
    </cfRule>
    <cfRule type="expression" dxfId="5853" priority="70">
      <formula>AND(B$9&gt;=14/24,B$9&lt;20/24)</formula>
    </cfRule>
    <cfRule type="expression" dxfId="5852" priority="71">
      <formula>AND(B$9&gt;=8/24,B$9&lt;14/24)</formula>
    </cfRule>
    <cfRule type="expression" dxfId="5851" priority="72">
      <formula>B$9&lt;8/24</formula>
    </cfRule>
  </conditionalFormatting>
  <conditionalFormatting sqref="B15:L15">
    <cfRule type="expression" dxfId="5850" priority="65">
      <formula>B$9&gt;=20/24</formula>
    </cfRule>
    <cfRule type="expression" dxfId="5849" priority="66">
      <formula>AND(B$9&gt;=14/24,B$9&lt;20/24)</formula>
    </cfRule>
    <cfRule type="expression" dxfId="5848" priority="67">
      <formula>AND(B$9&gt;=8/24,B$9&lt;14/24)</formula>
    </cfRule>
    <cfRule type="expression" dxfId="5847" priority="68">
      <formula>B$9&lt;8/24</formula>
    </cfRule>
  </conditionalFormatting>
  <conditionalFormatting sqref="B34:AD34">
    <cfRule type="expression" dxfId="5846" priority="61">
      <formula>B$9&gt;=20/24</formula>
    </cfRule>
    <cfRule type="expression" dxfId="5845" priority="62">
      <formula>AND(B$9&gt;=14/24,B$9&lt;20/24)</formula>
    </cfRule>
    <cfRule type="expression" dxfId="5844" priority="63">
      <formula>AND(B$9&gt;=8/24,B$9&lt;14/24)</formula>
    </cfRule>
    <cfRule type="expression" dxfId="5843" priority="64">
      <formula>B$9&lt;8/24</formula>
    </cfRule>
  </conditionalFormatting>
  <conditionalFormatting sqref="B34:AD34">
    <cfRule type="expression" dxfId="5842" priority="60">
      <formula>B34&gt;$AG34</formula>
    </cfRule>
  </conditionalFormatting>
  <conditionalFormatting sqref="B48:E54 F48:M52 F54:AA54">
    <cfRule type="expression" dxfId="5841" priority="56">
      <formula>B$9&gt;=20/24</formula>
    </cfRule>
    <cfRule type="expression" dxfId="5840" priority="57">
      <formula>AND(B$9&gt;=14/24,B$9&lt;20/24)</formula>
    </cfRule>
    <cfRule type="expression" dxfId="5839" priority="58">
      <formula>AND(B$9&gt;=8/24,B$9&lt;14/24)</formula>
    </cfRule>
    <cfRule type="expression" dxfId="5838" priority="59">
      <formula>B$9&lt;8/24</formula>
    </cfRule>
  </conditionalFormatting>
  <conditionalFormatting sqref="B48:E54 F48:M52 F54:AA54">
    <cfRule type="expression" dxfId="5837" priority="55">
      <formula>B48&gt;$AG48</formula>
    </cfRule>
  </conditionalFormatting>
  <conditionalFormatting sqref="B27:AF27">
    <cfRule type="expression" dxfId="5836" priority="51">
      <formula>B$9&gt;=20/24</formula>
    </cfRule>
    <cfRule type="expression" dxfId="5835" priority="52">
      <formula>AND(B$9&gt;=14/24,B$9&lt;20/24)</formula>
    </cfRule>
    <cfRule type="expression" dxfId="5834" priority="53">
      <formula>AND(B$9&gt;=8/24,B$9&lt;14/24)</formula>
    </cfRule>
    <cfRule type="expression" dxfId="5833" priority="54">
      <formula>B$9&lt;8/24</formula>
    </cfRule>
  </conditionalFormatting>
  <conditionalFormatting sqref="B17:L17 B23:AD23">
    <cfRule type="expression" dxfId="5832" priority="47">
      <formula>B$9&gt;=20/24</formula>
    </cfRule>
    <cfRule type="expression" dxfId="5831" priority="48">
      <formula>AND(B$9&gt;=14/24,B$9&lt;20/24)</formula>
    </cfRule>
    <cfRule type="expression" dxfId="5830" priority="49">
      <formula>AND(B$9&gt;=8/24,B$9&lt;14/24)</formula>
    </cfRule>
    <cfRule type="expression" dxfId="5829" priority="50">
      <formula>B$9&lt;8/24</formula>
    </cfRule>
  </conditionalFormatting>
  <conditionalFormatting sqref="B17:L17 B23:AD23">
    <cfRule type="expression" dxfId="5828" priority="46">
      <formula>B17&gt;$AG17</formula>
    </cfRule>
  </conditionalFormatting>
  <conditionalFormatting sqref="A34">
    <cfRule type="expression" dxfId="5827" priority="45">
      <formula>$AH34=0</formula>
    </cfRule>
  </conditionalFormatting>
  <conditionalFormatting sqref="B72:AF72">
    <cfRule type="expression" dxfId="5826" priority="41">
      <formula>B$9&gt;=20/24</formula>
    </cfRule>
    <cfRule type="expression" dxfId="5825" priority="42">
      <formula>AND(B$9&gt;=14/24,B$9&lt;20/24)</formula>
    </cfRule>
    <cfRule type="expression" dxfId="5824" priority="43">
      <formula>AND(B$9&gt;=8/24,B$9&lt;14/24)</formula>
    </cfRule>
    <cfRule type="expression" dxfId="5823" priority="44">
      <formula>B$9&lt;8/24</formula>
    </cfRule>
  </conditionalFormatting>
  <conditionalFormatting sqref="B81:AF85">
    <cfRule type="expression" dxfId="5822" priority="37">
      <formula>B$9&gt;=20/24</formula>
    </cfRule>
    <cfRule type="expression" dxfId="5821" priority="38">
      <formula>AND(B$9&gt;=14/24,B$9&lt;20/24)</formula>
    </cfRule>
    <cfRule type="expression" dxfId="5820" priority="39">
      <formula>AND(B$9&gt;=8/24,B$9&lt;14/24)</formula>
    </cfRule>
    <cfRule type="expression" dxfId="5819" priority="40">
      <formula>B$9&lt;8/24</formula>
    </cfRule>
  </conditionalFormatting>
  <conditionalFormatting sqref="AL35 AL7:AL30 AL32">
    <cfRule type="iconSet" priority="212">
      <iconSet iconSet="3TrafficLights2" reverse="1">
        <cfvo type="percent" val="0"/>
        <cfvo type="num" val="1"/>
        <cfvo type="num" val="1"/>
      </iconSet>
    </cfRule>
  </conditionalFormatting>
  <conditionalFormatting sqref="E39:AF41">
    <cfRule type="expression" dxfId="5818" priority="33">
      <formula>E$9&gt;=20/24</formula>
    </cfRule>
    <cfRule type="expression" dxfId="5817" priority="34">
      <formula>AND(E$9&gt;=14/24,E$9&lt;20/24)</formula>
    </cfRule>
    <cfRule type="expression" dxfId="5816" priority="35">
      <formula>AND(E$9&gt;=8/24,E$9&lt;14/24)</formula>
    </cfRule>
    <cfRule type="expression" dxfId="5815" priority="36">
      <formula>E$9&lt;8/24</formula>
    </cfRule>
  </conditionalFormatting>
  <conditionalFormatting sqref="E39:AF41">
    <cfRule type="expression" dxfId="5814" priority="32">
      <formula>E39&gt;$AG39</formula>
    </cfRule>
  </conditionalFormatting>
  <conditionalFormatting sqref="B39:B42 C39:D41 C42:AG42">
    <cfRule type="expression" dxfId="5813" priority="28">
      <formula>B$9&gt;=20/24</formula>
    </cfRule>
    <cfRule type="expression" dxfId="5812" priority="29">
      <formula>AND(B$9&gt;=14/24,B$9&lt;20/24)</formula>
    </cfRule>
    <cfRule type="expression" dxfId="5811" priority="30">
      <formula>AND(B$9&gt;=8/24,B$9&lt;14/24)</formula>
    </cfRule>
    <cfRule type="expression" dxfId="5810" priority="31">
      <formula>B$9&lt;8/24</formula>
    </cfRule>
  </conditionalFormatting>
  <conditionalFormatting sqref="B39:B42 C39:D41 C42:AG42">
    <cfRule type="expression" dxfId="5809" priority="27">
      <formula>B39&gt;$AG39</formula>
    </cfRule>
  </conditionalFormatting>
  <conditionalFormatting sqref="C97:AF97">
    <cfRule type="expression" dxfId="5808" priority="23">
      <formula>C$9&gt;=20/24</formula>
    </cfRule>
    <cfRule type="expression" dxfId="5807" priority="24">
      <formula>AND(C$9&gt;=14/24,C$9&lt;20/24)</formula>
    </cfRule>
    <cfRule type="expression" dxfId="5806" priority="25">
      <formula>AND(C$9&gt;=8/24,C$9&lt;14/24)</formula>
    </cfRule>
    <cfRule type="expression" dxfId="5805" priority="26">
      <formula>C$9&lt;8/24</formula>
    </cfRule>
  </conditionalFormatting>
  <conditionalFormatting sqref="B97">
    <cfRule type="expression" dxfId="5804" priority="19">
      <formula>B$9&gt;=20/24</formula>
    </cfRule>
    <cfRule type="expression" dxfId="5803" priority="20">
      <formula>AND(B$9&gt;=14/24,B$9&lt;20/24)</formula>
    </cfRule>
    <cfRule type="expression" dxfId="5802" priority="21">
      <formula>AND(B$9&gt;=8/24,B$9&lt;14/24)</formula>
    </cfRule>
    <cfRule type="expression" dxfId="5801" priority="22">
      <formula>B$9&lt;8/24</formula>
    </cfRule>
  </conditionalFormatting>
  <conditionalFormatting sqref="AL31">
    <cfRule type="iconSet" priority="18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5800" priority="12">
      <formula>$AH31=0</formula>
    </cfRule>
  </conditionalFormatting>
  <conditionalFormatting sqref="A77">
    <cfRule type="expression" dxfId="5799" priority="7">
      <formula>$AH77=0</formula>
    </cfRule>
  </conditionalFormatting>
  <conditionalFormatting sqref="A80">
    <cfRule type="expression" dxfId="5798" priority="6">
      <formula>$AH80=0</formula>
    </cfRule>
  </conditionalFormatting>
  <conditionalFormatting sqref="M47">
    <cfRule type="expression" dxfId="5797" priority="2">
      <formula>M$9&gt;=20/24</formula>
    </cfRule>
    <cfRule type="expression" dxfId="5796" priority="3">
      <formula>AND(M$9&gt;=14/24,M$9&lt;20/24)</formula>
    </cfRule>
    <cfRule type="expression" dxfId="5795" priority="4">
      <formula>AND(M$9&gt;=8/24,M$9&lt;14/24)</formula>
    </cfRule>
    <cfRule type="expression" dxfId="5794" priority="5">
      <formula>M$9&lt;8/24</formula>
    </cfRule>
  </conditionalFormatting>
  <conditionalFormatting sqref="M47">
    <cfRule type="expression" dxfId="5793" priority="1">
      <formula>M47&gt;$AG47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C43A5DA5-19E4-423C-8250-81AFD06E5879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5" id="{BA83F995-930C-4C9F-A367-98BEECEBC631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" id="{0B15B71F-9CCD-4A4F-BAA9-C7ED422AB5CA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7" id="{3BE0878B-0C42-4B34-91A4-96D729AC469F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B31:AF31 B80:AF80</xm:sqref>
        </x14:conditionalFormatting>
        <x14:conditionalFormatting xmlns:xm="http://schemas.microsoft.com/office/excel/2006/main">
          <x14:cfRule type="expression" priority="13" id="{FF75AD5C-A684-40D7-A043-FE55F9A6E2EB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2"/>
  <sheetViews>
    <sheetView zoomScale="90" zoomScaleNormal="90" workbookViewId="0">
      <pane xSplit="1" ySplit="10" topLeftCell="B50" activePane="bottomRight" state="frozen"/>
      <selection activeCell="AF88" sqref="AF88"/>
      <selection pane="topRight" activeCell="AF88" sqref="AF88"/>
      <selection pane="bottomLeft" activeCell="AF88" sqref="AF88"/>
      <selection pane="bottomRight" activeCell="AE9" sqref="AE9:AE10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2079/02/7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("&amp;ROUND(B237,0)&amp;" MW)"&amp;"    IPP   = "&amp;ROUND(B232,0)&amp;" MW     NEA RoR = "&amp;ROUND(B233,0)&amp;" MWImport   = "&amp;ROUND(B235,0)&amp;" MW      KL1+KL2+K3 = "&amp;ROUND(B234,0) &amp;" MW    EXPORT = "&amp;ROUND(B236,0)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32.1</v>
      </c>
      <c r="C5" s="32">
        <f t="shared" si="0"/>
        <v>24.9</v>
      </c>
      <c r="D5" s="32">
        <f t="shared" si="0"/>
        <v>11.9</v>
      </c>
      <c r="E5" s="32">
        <f t="shared" si="0"/>
        <v>12.9</v>
      </c>
      <c r="F5" s="32">
        <f t="shared" si="0"/>
        <v>9.9</v>
      </c>
      <c r="G5" s="32">
        <f t="shared" si="0"/>
        <v>5.7</v>
      </c>
      <c r="H5" s="32">
        <f t="shared" si="0"/>
        <v>1.2</v>
      </c>
      <c r="I5" s="32">
        <f t="shared" si="0"/>
        <v>10</v>
      </c>
      <c r="J5" s="32">
        <f t="shared" si="0"/>
        <v>26</v>
      </c>
      <c r="K5" s="32">
        <f t="shared" si="0"/>
        <v>32</v>
      </c>
      <c r="L5" s="32">
        <f t="shared" si="0"/>
        <v>39</v>
      </c>
      <c r="M5" s="32">
        <f t="shared" si="0"/>
        <v>40.6</v>
      </c>
      <c r="N5" s="32">
        <f t="shared" si="0"/>
        <v>45.6</v>
      </c>
      <c r="O5" s="32">
        <f t="shared" si="0"/>
        <v>49.3</v>
      </c>
      <c r="P5" s="32">
        <f t="shared" si="0"/>
        <v>48.7</v>
      </c>
      <c r="Q5" s="32">
        <f t="shared" si="0"/>
        <v>50.5</v>
      </c>
      <c r="R5" s="32">
        <f t="shared" si="0"/>
        <v>0</v>
      </c>
      <c r="S5" s="32">
        <f t="shared" si="0"/>
        <v>34.4</v>
      </c>
      <c r="T5" s="32">
        <f t="shared" si="0"/>
        <v>40.799999999999997</v>
      </c>
      <c r="U5" s="32">
        <f t="shared" si="0"/>
        <v>50.2</v>
      </c>
      <c r="V5" s="32">
        <f t="shared" si="0"/>
        <v>47.7</v>
      </c>
      <c r="W5" s="32">
        <f t="shared" si="0"/>
        <v>38.5</v>
      </c>
      <c r="X5" s="32">
        <f t="shared" si="0"/>
        <v>36.4</v>
      </c>
      <c r="Y5" s="32">
        <f t="shared" si="0"/>
        <v>36</v>
      </c>
      <c r="Z5" s="32">
        <f t="shared" si="0"/>
        <v>0</v>
      </c>
      <c r="AA5" s="32">
        <f t="shared" si="0"/>
        <v>61</v>
      </c>
      <c r="AB5" s="32">
        <f t="shared" si="0"/>
        <v>61</v>
      </c>
      <c r="AC5" s="32">
        <f t="shared" si="0"/>
        <v>68</v>
      </c>
      <c r="AD5" s="32">
        <f t="shared" si="0"/>
        <v>70</v>
      </c>
      <c r="AE5" s="32">
        <f t="shared" si="0"/>
        <v>36</v>
      </c>
      <c r="AF5" s="32">
        <f>B72</f>
        <v>26.5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"&amp;ROUND(B237,0)&amp;"MW at "&amp;TRUNC(B238*24,0)&amp;":"&amp;ROUND((B238*24-TRUNC(B238*24,0))*60,0)&amp;"hr at "&amp;ROUND(B239,1)&amp;"Hz     "&amp;A229&amp;" "&amp;ROUND(B229,0)&amp;"MW at "&amp;TRUNC(C229*24,0)&amp;":"&amp;ROUND((C229*24-TRUNC(C229*24,0))*6,0)&amp;"0hr"</f>
        <v>Evening Peak 0MW at 0:0hr at 0Hz     Morning Peak 1739MW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e">
        <f>"Base Load="&amp;ROUND(MIN($B$7:$AF$7),0)</f>
        <v>#VALUE!</v>
      </c>
      <c r="B7" s="37">
        <f>B79</f>
        <v>1791.74</v>
      </c>
      <c r="C7" s="37">
        <f t="shared" ref="C7:AF7" si="1">C79</f>
        <v>1771.04</v>
      </c>
      <c r="D7" s="37">
        <f t="shared" si="1"/>
        <v>1769.3400000000001</v>
      </c>
      <c r="E7" s="37">
        <f t="shared" si="1"/>
        <v>1730.8400000000001</v>
      </c>
      <c r="F7" s="37">
        <f t="shared" si="1"/>
        <v>1721.8400000000001</v>
      </c>
      <c r="G7" s="37">
        <f t="shared" si="1"/>
        <v>1723.3400000000001</v>
      </c>
      <c r="H7" s="37">
        <f t="shared" si="1"/>
        <v>1700.84</v>
      </c>
      <c r="I7" s="37">
        <f t="shared" si="1"/>
        <v>1640.14</v>
      </c>
      <c r="J7" s="37">
        <f t="shared" si="1"/>
        <v>1668.94</v>
      </c>
      <c r="K7" s="37">
        <f t="shared" si="1"/>
        <v>1631.44</v>
      </c>
      <c r="L7" s="37">
        <f t="shared" si="1"/>
        <v>1656.0400000000002</v>
      </c>
      <c r="M7" s="37">
        <f t="shared" si="1"/>
        <v>1739.1400000000003</v>
      </c>
      <c r="N7" s="37">
        <f t="shared" si="1"/>
        <v>1714.14</v>
      </c>
      <c r="O7" s="37">
        <f t="shared" si="1"/>
        <v>1811.8400000000001</v>
      </c>
      <c r="P7" s="37">
        <f t="shared" si="1"/>
        <v>1805.54</v>
      </c>
      <c r="Q7" s="37">
        <f t="shared" si="1"/>
        <v>1829.6399999999999</v>
      </c>
      <c r="R7" s="37">
        <f t="shared" si="1"/>
        <v>1812.6399999999999</v>
      </c>
      <c r="S7" s="37" t="e">
        <f t="shared" si="1"/>
        <v>#VALUE!</v>
      </c>
      <c r="T7" s="37">
        <f t="shared" si="1"/>
        <v>1779.2400000000002</v>
      </c>
      <c r="U7" s="37">
        <f t="shared" si="1"/>
        <v>1770.34</v>
      </c>
      <c r="V7" s="37">
        <f t="shared" si="1"/>
        <v>1734.94</v>
      </c>
      <c r="W7" s="37">
        <f t="shared" si="1"/>
        <v>1727.44</v>
      </c>
      <c r="X7" s="37">
        <f t="shared" si="1"/>
        <v>1718.24</v>
      </c>
      <c r="Y7" s="37">
        <f t="shared" si="1"/>
        <v>1716.14</v>
      </c>
      <c r="Z7" s="37">
        <f t="shared" si="1"/>
        <v>1715.74</v>
      </c>
      <c r="AA7" s="37" t="e">
        <f t="shared" si="1"/>
        <v>#VALUE!</v>
      </c>
      <c r="AB7" s="37">
        <f t="shared" si="1"/>
        <v>1764.2400000000002</v>
      </c>
      <c r="AC7" s="37">
        <f t="shared" si="1"/>
        <v>1822.84</v>
      </c>
      <c r="AD7" s="37">
        <f t="shared" si="1"/>
        <v>1837.44</v>
      </c>
      <c r="AE7" s="37">
        <f t="shared" si="1"/>
        <v>1807.64</v>
      </c>
      <c r="AF7" s="37">
        <f t="shared" si="1"/>
        <v>1734.7400000000002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0">
        <v>54</v>
      </c>
      <c r="C11" s="50">
        <v>54</v>
      </c>
      <c r="D11" s="50">
        <v>54</v>
      </c>
      <c r="E11" s="50">
        <v>54</v>
      </c>
      <c r="F11" s="50">
        <v>54</v>
      </c>
      <c r="G11" s="50">
        <v>54</v>
      </c>
      <c r="H11" s="50">
        <v>54</v>
      </c>
      <c r="I11" s="50">
        <v>54</v>
      </c>
      <c r="J11" s="50">
        <v>54</v>
      </c>
      <c r="K11" s="51">
        <v>44</v>
      </c>
      <c r="L11" s="51">
        <v>54.1</v>
      </c>
      <c r="M11" s="50">
        <v>54.1</v>
      </c>
      <c r="N11" s="50">
        <v>54.1</v>
      </c>
      <c r="O11" s="50">
        <v>54.1</v>
      </c>
      <c r="P11" s="50">
        <v>53.9</v>
      </c>
      <c r="Q11" s="50">
        <v>53.9</v>
      </c>
      <c r="R11" s="50">
        <v>53.9</v>
      </c>
      <c r="S11" s="52"/>
      <c r="T11" s="50">
        <v>53.9</v>
      </c>
      <c r="U11" s="50">
        <v>53.9</v>
      </c>
      <c r="V11" s="50">
        <v>53.9</v>
      </c>
      <c r="W11" s="50">
        <v>53.9</v>
      </c>
      <c r="X11" s="50">
        <v>53.9</v>
      </c>
      <c r="Y11" s="50">
        <v>53.9</v>
      </c>
      <c r="Z11" s="50">
        <v>53.9</v>
      </c>
      <c r="AA11" s="52"/>
      <c r="AB11" s="52">
        <v>53.9</v>
      </c>
      <c r="AC11" s="52">
        <v>53.9</v>
      </c>
      <c r="AD11" s="52">
        <v>53.9</v>
      </c>
      <c r="AE11" s="52">
        <v>53.9</v>
      </c>
      <c r="AF11" s="52">
        <v>53.9</v>
      </c>
      <c r="AG11" s="133">
        <v>52.4</v>
      </c>
      <c r="AH11" s="54">
        <f>MAX(B11:AF11)</f>
        <v>54.1</v>
      </c>
      <c r="AI11" s="55">
        <f>MIN(B11:AF11)</f>
        <v>44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50.4</v>
      </c>
      <c r="C12" s="50">
        <v>50.4</v>
      </c>
      <c r="D12" s="50">
        <v>50.4</v>
      </c>
      <c r="E12" s="50">
        <v>50.4</v>
      </c>
      <c r="F12" s="50">
        <v>50.4</v>
      </c>
      <c r="G12" s="50">
        <v>50.4</v>
      </c>
      <c r="H12" s="50">
        <v>50.4</v>
      </c>
      <c r="I12" s="50">
        <v>50.4</v>
      </c>
      <c r="J12" s="50">
        <v>50.4</v>
      </c>
      <c r="K12" s="50">
        <v>50</v>
      </c>
      <c r="L12" s="50">
        <v>50.2</v>
      </c>
      <c r="M12" s="50">
        <v>50.2</v>
      </c>
      <c r="N12" s="50">
        <v>50.2</v>
      </c>
      <c r="O12" s="50">
        <v>50.2</v>
      </c>
      <c r="P12" s="50">
        <v>50.6</v>
      </c>
      <c r="Q12" s="50">
        <v>50.6</v>
      </c>
      <c r="R12" s="50">
        <v>50.6</v>
      </c>
      <c r="S12" s="50"/>
      <c r="T12" s="50">
        <v>50.6</v>
      </c>
      <c r="U12" s="50">
        <v>50.6</v>
      </c>
      <c r="V12" s="50">
        <v>50.6</v>
      </c>
      <c r="W12" s="50">
        <v>50.6</v>
      </c>
      <c r="X12" s="50">
        <v>50.6</v>
      </c>
      <c r="Y12" s="50">
        <v>50.6</v>
      </c>
      <c r="Z12" s="50">
        <v>50.6</v>
      </c>
      <c r="AA12" s="50"/>
      <c r="AB12" s="50">
        <v>25</v>
      </c>
      <c r="AC12" s="50">
        <v>50.5</v>
      </c>
      <c r="AD12" s="50">
        <v>50.5</v>
      </c>
      <c r="AE12" s="50">
        <v>50.5</v>
      </c>
      <c r="AF12" s="50">
        <v>50.5</v>
      </c>
      <c r="AG12" s="134">
        <v>50</v>
      </c>
      <c r="AH12" s="54">
        <f t="shared" ref="AH12:AH79" si="2">MAX(B12:AF12)</f>
        <v>50.6</v>
      </c>
      <c r="AI12" s="55">
        <f t="shared" ref="AI12:AI79" si="3">MIN(B12:AF12)</f>
        <v>25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45.8</v>
      </c>
      <c r="C13" s="50">
        <v>45.8</v>
      </c>
      <c r="D13" s="50">
        <v>45.8</v>
      </c>
      <c r="E13" s="50">
        <v>45.8</v>
      </c>
      <c r="F13" s="50">
        <v>45.8</v>
      </c>
      <c r="G13" s="50">
        <v>45.8</v>
      </c>
      <c r="H13" s="50">
        <v>45.8</v>
      </c>
      <c r="I13" s="50">
        <v>45.8</v>
      </c>
      <c r="J13" s="50">
        <v>45.8</v>
      </c>
      <c r="K13" s="50">
        <v>45.8</v>
      </c>
      <c r="L13" s="50">
        <v>45.8</v>
      </c>
      <c r="M13" s="50">
        <v>45.8</v>
      </c>
      <c r="N13" s="50">
        <v>45.8</v>
      </c>
      <c r="O13" s="50">
        <v>45.8</v>
      </c>
      <c r="P13" s="50">
        <v>45.8</v>
      </c>
      <c r="Q13" s="50">
        <v>45.8</v>
      </c>
      <c r="R13" s="50">
        <v>45.8</v>
      </c>
      <c r="S13" s="50"/>
      <c r="T13" s="50">
        <v>45.8</v>
      </c>
      <c r="U13" s="50">
        <v>45.8</v>
      </c>
      <c r="V13" s="50">
        <v>45.8</v>
      </c>
      <c r="W13" s="50">
        <v>45.8</v>
      </c>
      <c r="X13" s="50">
        <v>45.8</v>
      </c>
      <c r="Y13" s="50">
        <v>45.8</v>
      </c>
      <c r="Z13" s="50">
        <v>45.8</v>
      </c>
      <c r="AA13" s="50"/>
      <c r="AB13" s="50">
        <v>23.8</v>
      </c>
      <c r="AC13" s="50">
        <v>23.8</v>
      </c>
      <c r="AD13" s="50">
        <v>23.8</v>
      </c>
      <c r="AE13" s="50">
        <v>23.8</v>
      </c>
      <c r="AF13" s="50">
        <v>23.8</v>
      </c>
      <c r="AG13" s="134">
        <v>45</v>
      </c>
      <c r="AH13" s="54">
        <f t="shared" si="2"/>
        <v>45.8</v>
      </c>
      <c r="AI13" s="55">
        <f t="shared" si="3"/>
        <v>23.8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28</v>
      </c>
      <c r="C14" s="50">
        <v>28</v>
      </c>
      <c r="D14" s="50">
        <v>28</v>
      </c>
      <c r="E14" s="50">
        <v>25.5</v>
      </c>
      <c r="F14" s="50">
        <v>25.5</v>
      </c>
      <c r="G14" s="50">
        <v>28</v>
      </c>
      <c r="H14" s="50">
        <v>28</v>
      </c>
      <c r="I14" s="50">
        <v>28</v>
      </c>
      <c r="J14" s="50">
        <v>28</v>
      </c>
      <c r="K14" s="50">
        <v>0</v>
      </c>
      <c r="L14" s="50">
        <v>0</v>
      </c>
      <c r="M14" s="50">
        <v>0</v>
      </c>
      <c r="N14" s="50">
        <v>0</v>
      </c>
      <c r="O14" s="50">
        <v>14</v>
      </c>
      <c r="P14" s="50">
        <v>14</v>
      </c>
      <c r="Q14" s="50">
        <v>14</v>
      </c>
      <c r="R14" s="50">
        <v>28</v>
      </c>
      <c r="S14" s="50"/>
      <c r="T14" s="50">
        <v>28</v>
      </c>
      <c r="U14" s="50">
        <v>28</v>
      </c>
      <c r="V14" s="50">
        <v>26</v>
      </c>
      <c r="W14" s="50">
        <v>26</v>
      </c>
      <c r="X14" s="50">
        <v>26</v>
      </c>
      <c r="Y14" s="50">
        <v>26</v>
      </c>
      <c r="Z14" s="50">
        <v>26</v>
      </c>
      <c r="AA14" s="50"/>
      <c r="AB14" s="50">
        <v>26</v>
      </c>
      <c r="AC14" s="50">
        <v>26</v>
      </c>
      <c r="AD14" s="50">
        <v>26</v>
      </c>
      <c r="AE14" s="50">
        <v>26</v>
      </c>
      <c r="AF14" s="50">
        <v>26</v>
      </c>
      <c r="AG14" s="134">
        <v>42</v>
      </c>
      <c r="AH14" s="54">
        <f t="shared" si="2"/>
        <v>28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30</v>
      </c>
      <c r="C15" s="50">
        <v>30</v>
      </c>
      <c r="D15" s="50">
        <v>30</v>
      </c>
      <c r="E15" s="50">
        <v>30</v>
      </c>
      <c r="F15" s="50">
        <v>20</v>
      </c>
      <c r="G15" s="50">
        <v>30</v>
      </c>
      <c r="H15" s="50">
        <v>30</v>
      </c>
      <c r="I15" s="50">
        <v>10</v>
      </c>
      <c r="J15" s="50">
        <v>30</v>
      </c>
      <c r="K15" s="50">
        <v>30</v>
      </c>
      <c r="L15" s="50">
        <v>30</v>
      </c>
      <c r="M15" s="50">
        <v>30</v>
      </c>
      <c r="N15" s="50">
        <v>30</v>
      </c>
      <c r="O15" s="50">
        <v>30</v>
      </c>
      <c r="P15" s="50">
        <v>30</v>
      </c>
      <c r="Q15" s="50">
        <v>30</v>
      </c>
      <c r="R15" s="50">
        <v>30</v>
      </c>
      <c r="S15" s="50"/>
      <c r="T15" s="50">
        <v>30</v>
      </c>
      <c r="U15" s="50">
        <v>20</v>
      </c>
      <c r="V15" s="50">
        <v>5</v>
      </c>
      <c r="W15" s="50">
        <v>0</v>
      </c>
      <c r="X15" s="50">
        <v>0</v>
      </c>
      <c r="Y15" s="50">
        <v>0</v>
      </c>
      <c r="Z15" s="50">
        <v>0</v>
      </c>
      <c r="AA15" s="50"/>
      <c r="AB15" s="50">
        <v>30</v>
      </c>
      <c r="AC15" s="50">
        <v>30</v>
      </c>
      <c r="AD15" s="50">
        <v>30</v>
      </c>
      <c r="AE15" s="50">
        <v>30</v>
      </c>
      <c r="AF15" s="50">
        <v>30</v>
      </c>
      <c r="AG15" s="135">
        <v>30</v>
      </c>
      <c r="AH15" s="54">
        <f t="shared" si="2"/>
        <v>30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26.3</v>
      </c>
      <c r="C16" s="50">
        <v>26.3</v>
      </c>
      <c r="D16" s="50">
        <v>26.3</v>
      </c>
      <c r="E16" s="50">
        <v>26.3</v>
      </c>
      <c r="F16" s="50">
        <v>26.3</v>
      </c>
      <c r="G16" s="50">
        <v>26.3</v>
      </c>
      <c r="H16" s="50">
        <v>26.3</v>
      </c>
      <c r="I16" s="50">
        <v>26.3</v>
      </c>
      <c r="J16" s="50">
        <v>26.3</v>
      </c>
      <c r="K16" s="50">
        <v>26</v>
      </c>
      <c r="L16" s="50">
        <v>26.1</v>
      </c>
      <c r="M16" s="50">
        <v>26.1</v>
      </c>
      <c r="N16" s="50">
        <v>26.1</v>
      </c>
      <c r="O16" s="50">
        <v>26.1</v>
      </c>
      <c r="P16" s="50">
        <v>26</v>
      </c>
      <c r="Q16" s="50">
        <v>26</v>
      </c>
      <c r="R16" s="50">
        <v>26</v>
      </c>
      <c r="S16" s="50"/>
      <c r="T16" s="50">
        <v>26</v>
      </c>
      <c r="U16" s="50">
        <v>26</v>
      </c>
      <c r="V16" s="50">
        <v>26</v>
      </c>
      <c r="W16" s="50">
        <v>26</v>
      </c>
      <c r="X16" s="50">
        <v>26</v>
      </c>
      <c r="Y16" s="50">
        <v>26</v>
      </c>
      <c r="Z16" s="50">
        <v>26</v>
      </c>
      <c r="AA16" s="50"/>
      <c r="AB16" s="50">
        <v>26.1</v>
      </c>
      <c r="AC16" s="50">
        <v>26.1</v>
      </c>
      <c r="AD16" s="50">
        <v>26.1</v>
      </c>
      <c r="AE16" s="50">
        <v>26.1</v>
      </c>
      <c r="AF16" s="50">
        <v>26.1</v>
      </c>
      <c r="AG16" s="134">
        <v>25</v>
      </c>
      <c r="AH16" s="54">
        <f t="shared" si="2"/>
        <v>26.3</v>
      </c>
      <c r="AI16" s="55">
        <f t="shared" si="3"/>
        <v>26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25</v>
      </c>
      <c r="R17" s="50">
        <v>25</v>
      </c>
      <c r="S17" s="50" t="s">
        <v>249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 t="s">
        <v>249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0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 t="s">
        <v>250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 t="s">
        <v>250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0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33</v>
      </c>
      <c r="C19" s="50">
        <v>33</v>
      </c>
      <c r="D19" s="50">
        <v>33</v>
      </c>
      <c r="E19" s="50">
        <v>33</v>
      </c>
      <c r="F19" s="50">
        <v>33</v>
      </c>
      <c r="G19" s="50">
        <v>33</v>
      </c>
      <c r="H19" s="50">
        <v>33</v>
      </c>
      <c r="I19" s="50">
        <v>24</v>
      </c>
      <c r="J19" s="50">
        <v>24</v>
      </c>
      <c r="K19" s="50">
        <v>30</v>
      </c>
      <c r="L19" s="50">
        <v>30</v>
      </c>
      <c r="M19" s="50">
        <v>30</v>
      </c>
      <c r="N19" s="50">
        <v>30</v>
      </c>
      <c r="O19" s="50">
        <v>30</v>
      </c>
      <c r="P19" s="50">
        <v>30</v>
      </c>
      <c r="Q19" s="50">
        <v>30</v>
      </c>
      <c r="R19" s="50">
        <v>30</v>
      </c>
      <c r="S19" s="50" t="s">
        <v>248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 t="s">
        <v>248</v>
      </c>
      <c r="AB19" s="50">
        <v>0</v>
      </c>
      <c r="AC19" s="50">
        <v>25.4</v>
      </c>
      <c r="AD19" s="50">
        <v>33</v>
      </c>
      <c r="AE19" s="50">
        <v>33</v>
      </c>
      <c r="AF19" s="50">
        <v>33</v>
      </c>
      <c r="AG19" s="134">
        <v>24.2</v>
      </c>
      <c r="AH19" s="54">
        <f t="shared" si="2"/>
        <v>33</v>
      </c>
      <c r="AI19" s="55">
        <f t="shared" si="3"/>
        <v>0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23</v>
      </c>
      <c r="C20" s="50">
        <v>23</v>
      </c>
      <c r="D20" s="50">
        <v>23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23.7</v>
      </c>
      <c r="P20" s="50">
        <v>23.7</v>
      </c>
      <c r="Q20" s="50">
        <v>23.7</v>
      </c>
      <c r="R20" s="50">
        <v>23.7</v>
      </c>
      <c r="S20" s="50" t="s">
        <v>247</v>
      </c>
      <c r="T20" s="50">
        <v>23.5</v>
      </c>
      <c r="U20" s="50">
        <v>23.5</v>
      </c>
      <c r="V20" s="50">
        <v>23.5</v>
      </c>
      <c r="W20" s="50">
        <v>23.5</v>
      </c>
      <c r="X20" s="50">
        <v>23.5</v>
      </c>
      <c r="Y20" s="50">
        <v>23.5</v>
      </c>
      <c r="Z20" s="50">
        <v>23.5</v>
      </c>
      <c r="AA20" s="50" t="s">
        <v>247</v>
      </c>
      <c r="AB20" s="50">
        <v>23.5</v>
      </c>
      <c r="AC20" s="50">
        <v>23.5</v>
      </c>
      <c r="AD20" s="50">
        <v>23.5</v>
      </c>
      <c r="AE20" s="50">
        <v>23.5</v>
      </c>
      <c r="AF20" s="50">
        <v>23.5</v>
      </c>
      <c r="AG20" s="134">
        <v>23.5</v>
      </c>
      <c r="AH20" s="54">
        <f t="shared" si="2"/>
        <v>23.7</v>
      </c>
      <c r="AI20" s="55">
        <f t="shared" si="3"/>
        <v>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20.6</v>
      </c>
      <c r="C21" s="50">
        <v>20.6</v>
      </c>
      <c r="D21" s="50">
        <v>20.6</v>
      </c>
      <c r="E21" s="50">
        <v>20.6</v>
      </c>
      <c r="F21" s="50">
        <v>20.6</v>
      </c>
      <c r="G21" s="50">
        <v>20.6</v>
      </c>
      <c r="H21" s="50">
        <v>20.6</v>
      </c>
      <c r="I21" s="50">
        <v>20.6</v>
      </c>
      <c r="J21" s="50">
        <v>20.6</v>
      </c>
      <c r="K21" s="50">
        <v>20.6</v>
      </c>
      <c r="L21" s="50">
        <v>20.6</v>
      </c>
      <c r="M21" s="50">
        <v>20.6</v>
      </c>
      <c r="N21" s="50">
        <v>20.6</v>
      </c>
      <c r="O21" s="50">
        <v>20.6</v>
      </c>
      <c r="P21" s="50">
        <v>20.6</v>
      </c>
      <c r="Q21" s="50">
        <v>20.6</v>
      </c>
      <c r="R21" s="50">
        <v>20.6</v>
      </c>
      <c r="S21" s="50" t="s">
        <v>245</v>
      </c>
      <c r="T21" s="50">
        <v>20.6</v>
      </c>
      <c r="U21" s="50">
        <v>20.6</v>
      </c>
      <c r="V21" s="50">
        <v>20.6</v>
      </c>
      <c r="W21" s="50">
        <v>20.6</v>
      </c>
      <c r="X21" s="50">
        <v>20.6</v>
      </c>
      <c r="Y21" s="50">
        <v>20.6</v>
      </c>
      <c r="Z21" s="50">
        <v>20.6</v>
      </c>
      <c r="AA21" s="50" t="s">
        <v>245</v>
      </c>
      <c r="AB21" s="50">
        <v>20.6</v>
      </c>
      <c r="AC21" s="50">
        <v>20.6</v>
      </c>
      <c r="AD21" s="50">
        <v>20.6</v>
      </c>
      <c r="AE21" s="50">
        <v>20.6</v>
      </c>
      <c r="AF21" s="50">
        <v>20.6</v>
      </c>
      <c r="AG21" s="134">
        <v>22.2</v>
      </c>
      <c r="AH21" s="54">
        <f t="shared" si="2"/>
        <v>20.6</v>
      </c>
      <c r="AI21" s="55">
        <f t="shared" si="3"/>
        <v>20.6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 t="s">
        <v>250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 t="s">
        <v>250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134">
        <v>22.1</v>
      </c>
      <c r="AH22" s="54">
        <f t="shared" si="2"/>
        <v>22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 t="s">
        <v>251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 t="s">
        <v>251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22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17</v>
      </c>
      <c r="C24" s="50">
        <v>17</v>
      </c>
      <c r="D24" s="50">
        <v>17</v>
      </c>
      <c r="E24" s="50">
        <v>17</v>
      </c>
      <c r="F24" s="50">
        <v>17</v>
      </c>
      <c r="G24" s="50">
        <v>17</v>
      </c>
      <c r="H24" s="50">
        <v>17</v>
      </c>
      <c r="I24" s="50">
        <v>17</v>
      </c>
      <c r="J24" s="50">
        <v>17</v>
      </c>
      <c r="K24" s="50">
        <v>17</v>
      </c>
      <c r="L24" s="50">
        <v>17</v>
      </c>
      <c r="M24" s="50">
        <v>17</v>
      </c>
      <c r="N24" s="50">
        <v>17</v>
      </c>
      <c r="O24" s="50">
        <v>17</v>
      </c>
      <c r="P24" s="50">
        <v>17</v>
      </c>
      <c r="Q24" s="50">
        <v>17</v>
      </c>
      <c r="R24" s="50">
        <v>17</v>
      </c>
      <c r="S24" s="50"/>
      <c r="T24" s="50">
        <v>17</v>
      </c>
      <c r="U24" s="50">
        <v>17</v>
      </c>
      <c r="V24" s="50">
        <v>17</v>
      </c>
      <c r="W24" s="50">
        <v>17</v>
      </c>
      <c r="X24" s="50">
        <v>17</v>
      </c>
      <c r="Y24" s="50">
        <v>17</v>
      </c>
      <c r="Z24" s="50">
        <v>17</v>
      </c>
      <c r="AA24" s="50"/>
      <c r="AB24" s="50">
        <v>17</v>
      </c>
      <c r="AC24" s="50">
        <v>17</v>
      </c>
      <c r="AD24" s="50">
        <v>17</v>
      </c>
      <c r="AE24" s="50">
        <v>17</v>
      </c>
      <c r="AF24" s="50">
        <v>17</v>
      </c>
      <c r="AG24" s="134">
        <v>22</v>
      </c>
      <c r="AH24" s="54">
        <f t="shared" si="2"/>
        <v>17</v>
      </c>
      <c r="AI24" s="55">
        <f t="shared" si="3"/>
        <v>17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10</v>
      </c>
      <c r="C25" s="50">
        <v>10</v>
      </c>
      <c r="D25" s="50">
        <v>10</v>
      </c>
      <c r="E25" s="50">
        <v>10</v>
      </c>
      <c r="F25" s="50">
        <v>10</v>
      </c>
      <c r="G25" s="50">
        <v>10</v>
      </c>
      <c r="H25" s="50">
        <v>10</v>
      </c>
      <c r="I25" s="50">
        <v>10</v>
      </c>
      <c r="J25" s="50">
        <v>10</v>
      </c>
      <c r="K25" s="50">
        <v>0</v>
      </c>
      <c r="L25" s="50">
        <v>0</v>
      </c>
      <c r="M25" s="50">
        <v>0</v>
      </c>
      <c r="N25" s="50">
        <v>0</v>
      </c>
      <c r="O25" s="50">
        <v>10</v>
      </c>
      <c r="P25" s="50">
        <v>10</v>
      </c>
      <c r="Q25" s="50">
        <v>10</v>
      </c>
      <c r="R25" s="50">
        <v>10</v>
      </c>
      <c r="S25" s="50"/>
      <c r="T25" s="50">
        <v>10</v>
      </c>
      <c r="U25" s="50">
        <v>5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/>
      <c r="AB25" s="50">
        <v>5</v>
      </c>
      <c r="AC25" s="50">
        <v>5</v>
      </c>
      <c r="AD25" s="50">
        <v>5</v>
      </c>
      <c r="AE25" s="50">
        <v>5</v>
      </c>
      <c r="AF25" s="50">
        <v>5</v>
      </c>
      <c r="AG25" s="134">
        <v>20</v>
      </c>
      <c r="AH25" s="54">
        <f t="shared" si="2"/>
        <v>10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14</v>
      </c>
      <c r="C26" s="50">
        <v>14</v>
      </c>
      <c r="D26" s="50">
        <v>14</v>
      </c>
      <c r="E26" s="50">
        <v>14</v>
      </c>
      <c r="F26" s="50">
        <v>14</v>
      </c>
      <c r="G26" s="50">
        <v>14</v>
      </c>
      <c r="H26" s="50">
        <v>14</v>
      </c>
      <c r="I26" s="50">
        <v>14</v>
      </c>
      <c r="J26" s="50">
        <v>14</v>
      </c>
      <c r="K26" s="50">
        <v>14</v>
      </c>
      <c r="L26" s="50">
        <v>14</v>
      </c>
      <c r="M26" s="50">
        <v>14</v>
      </c>
      <c r="N26" s="50">
        <v>14</v>
      </c>
      <c r="O26" s="50">
        <v>14</v>
      </c>
      <c r="P26" s="50">
        <v>14</v>
      </c>
      <c r="Q26" s="50">
        <v>14</v>
      </c>
      <c r="R26" s="50">
        <v>14</v>
      </c>
      <c r="S26" s="50" t="s">
        <v>252</v>
      </c>
      <c r="T26" s="50">
        <v>14</v>
      </c>
      <c r="U26" s="50">
        <v>14</v>
      </c>
      <c r="V26" s="50">
        <v>14</v>
      </c>
      <c r="W26" s="50">
        <v>14</v>
      </c>
      <c r="X26" s="50">
        <v>14</v>
      </c>
      <c r="Y26" s="50">
        <v>14</v>
      </c>
      <c r="Z26" s="50">
        <v>14</v>
      </c>
      <c r="AA26" s="50" t="s">
        <v>252</v>
      </c>
      <c r="AB26" s="50">
        <v>14</v>
      </c>
      <c r="AC26" s="50">
        <v>14</v>
      </c>
      <c r="AD26" s="50">
        <v>14</v>
      </c>
      <c r="AE26" s="50">
        <v>14</v>
      </c>
      <c r="AF26" s="50">
        <v>14</v>
      </c>
      <c r="AG26" s="134">
        <v>14.9</v>
      </c>
      <c r="AH26" s="54">
        <f t="shared" si="2"/>
        <v>14</v>
      </c>
      <c r="AI26" s="55">
        <f t="shared" si="3"/>
        <v>14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13</v>
      </c>
      <c r="C27" s="50">
        <v>13</v>
      </c>
      <c r="D27" s="50">
        <v>13</v>
      </c>
      <c r="E27" s="50">
        <v>13</v>
      </c>
      <c r="F27" s="50">
        <v>13</v>
      </c>
      <c r="G27" s="50">
        <v>13</v>
      </c>
      <c r="H27" s="50">
        <v>13</v>
      </c>
      <c r="I27" s="50">
        <v>13</v>
      </c>
      <c r="J27" s="50">
        <v>13</v>
      </c>
      <c r="K27" s="50">
        <v>0</v>
      </c>
      <c r="L27" s="50">
        <v>0</v>
      </c>
      <c r="M27" s="50">
        <v>0</v>
      </c>
      <c r="N27" s="50">
        <v>0</v>
      </c>
      <c r="O27" s="50">
        <v>13</v>
      </c>
      <c r="P27" s="50">
        <v>13</v>
      </c>
      <c r="Q27" s="50">
        <v>13</v>
      </c>
      <c r="R27" s="50">
        <v>13</v>
      </c>
      <c r="S27" s="50" t="s">
        <v>253</v>
      </c>
      <c r="T27" s="50">
        <v>13</v>
      </c>
      <c r="U27" s="50">
        <v>13</v>
      </c>
      <c r="V27" s="50">
        <v>13</v>
      </c>
      <c r="W27" s="50">
        <v>13</v>
      </c>
      <c r="X27" s="50">
        <v>13</v>
      </c>
      <c r="Y27" s="50">
        <v>13</v>
      </c>
      <c r="Z27" s="50">
        <v>13</v>
      </c>
      <c r="AA27" s="50" t="s">
        <v>253</v>
      </c>
      <c r="AB27" s="50">
        <v>13</v>
      </c>
      <c r="AC27" s="50">
        <v>13</v>
      </c>
      <c r="AD27" s="50">
        <v>13</v>
      </c>
      <c r="AE27" s="50">
        <v>13</v>
      </c>
      <c r="AF27" s="50">
        <v>13</v>
      </c>
      <c r="AG27" s="134">
        <v>13.6</v>
      </c>
      <c r="AH27" s="54">
        <f t="shared" si="2"/>
        <v>13</v>
      </c>
      <c r="AI27" s="55">
        <f t="shared" si="3"/>
        <v>0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13</v>
      </c>
      <c r="C28" s="50">
        <v>13</v>
      </c>
      <c r="D28" s="50">
        <v>13</v>
      </c>
      <c r="E28" s="50">
        <v>13</v>
      </c>
      <c r="F28" s="50">
        <v>13</v>
      </c>
      <c r="G28" s="50">
        <v>13</v>
      </c>
      <c r="H28" s="50">
        <v>13</v>
      </c>
      <c r="I28" s="50">
        <v>13</v>
      </c>
      <c r="J28" s="50">
        <v>13</v>
      </c>
      <c r="K28" s="50">
        <v>13</v>
      </c>
      <c r="L28" s="50">
        <v>13</v>
      </c>
      <c r="M28" s="50">
        <v>13</v>
      </c>
      <c r="N28" s="50">
        <v>13</v>
      </c>
      <c r="O28" s="50">
        <v>13</v>
      </c>
      <c r="P28" s="50">
        <v>13</v>
      </c>
      <c r="Q28" s="50">
        <v>13</v>
      </c>
      <c r="R28" s="50">
        <v>13</v>
      </c>
      <c r="S28" s="50" t="s">
        <v>246</v>
      </c>
      <c r="T28" s="50">
        <v>13</v>
      </c>
      <c r="U28" s="50">
        <v>13</v>
      </c>
      <c r="V28" s="50">
        <v>13</v>
      </c>
      <c r="W28" s="50">
        <v>13</v>
      </c>
      <c r="X28" s="50">
        <v>13</v>
      </c>
      <c r="Y28" s="50">
        <v>13</v>
      </c>
      <c r="Z28" s="50">
        <v>13</v>
      </c>
      <c r="AA28" s="50" t="s">
        <v>246</v>
      </c>
      <c r="AB28" s="50">
        <v>13</v>
      </c>
      <c r="AC28" s="50">
        <v>13</v>
      </c>
      <c r="AD28" s="50">
        <v>13</v>
      </c>
      <c r="AE28" s="50">
        <v>13</v>
      </c>
      <c r="AF28" s="50">
        <v>13</v>
      </c>
      <c r="AG28" s="134">
        <v>13</v>
      </c>
      <c r="AH28" s="54">
        <f t="shared" si="2"/>
        <v>13</v>
      </c>
      <c r="AI28" s="55">
        <f t="shared" si="3"/>
        <v>13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12</v>
      </c>
      <c r="C29" s="50">
        <v>12</v>
      </c>
      <c r="D29" s="50">
        <v>12</v>
      </c>
      <c r="E29" s="50">
        <v>12</v>
      </c>
      <c r="F29" s="50">
        <v>12</v>
      </c>
      <c r="G29" s="50">
        <v>12</v>
      </c>
      <c r="H29" s="50">
        <v>12</v>
      </c>
      <c r="I29" s="50">
        <v>12</v>
      </c>
      <c r="J29" s="50">
        <v>12</v>
      </c>
      <c r="K29" s="50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 t="s">
        <v>247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 t="s">
        <v>247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134">
        <v>12</v>
      </c>
      <c r="AH29" s="54">
        <f t="shared" si="2"/>
        <v>12</v>
      </c>
      <c r="AI29" s="55">
        <f t="shared" si="3"/>
        <v>12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7</v>
      </c>
      <c r="C30" s="50">
        <v>7</v>
      </c>
      <c r="D30" s="50">
        <v>7</v>
      </c>
      <c r="E30" s="50">
        <v>7</v>
      </c>
      <c r="F30" s="50">
        <v>7</v>
      </c>
      <c r="G30" s="50">
        <v>7</v>
      </c>
      <c r="H30" s="50">
        <v>7</v>
      </c>
      <c r="I30" s="50">
        <v>7</v>
      </c>
      <c r="J30" s="50">
        <v>7</v>
      </c>
      <c r="K30" s="50">
        <v>7</v>
      </c>
      <c r="L30" s="50">
        <v>7</v>
      </c>
      <c r="M30" s="50">
        <v>7</v>
      </c>
      <c r="N30" s="50">
        <v>7</v>
      </c>
      <c r="O30" s="50">
        <v>7</v>
      </c>
      <c r="P30" s="50">
        <v>7</v>
      </c>
      <c r="Q30" s="50">
        <v>7</v>
      </c>
      <c r="R30" s="50">
        <v>7</v>
      </c>
      <c r="S30" s="50" t="s">
        <v>254</v>
      </c>
      <c r="T30" s="50">
        <v>7</v>
      </c>
      <c r="U30" s="50">
        <v>7</v>
      </c>
      <c r="V30" s="50">
        <v>7</v>
      </c>
      <c r="W30" s="50">
        <v>7</v>
      </c>
      <c r="X30" s="50">
        <v>7</v>
      </c>
      <c r="Y30" s="50">
        <v>7</v>
      </c>
      <c r="Z30" s="50">
        <v>7</v>
      </c>
      <c r="AA30" s="50" t="s">
        <v>254</v>
      </c>
      <c r="AB30" s="50">
        <v>7</v>
      </c>
      <c r="AC30" s="50">
        <v>7</v>
      </c>
      <c r="AD30" s="50">
        <v>7</v>
      </c>
      <c r="AE30" s="50">
        <v>7</v>
      </c>
      <c r="AF30" s="50">
        <v>7</v>
      </c>
      <c r="AG30" s="134">
        <v>12</v>
      </c>
      <c r="AH30" s="54">
        <f t="shared" si="2"/>
        <v>7</v>
      </c>
      <c r="AI30" s="55">
        <f t="shared" si="3"/>
        <v>7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9</v>
      </c>
      <c r="C31" s="50">
        <v>9</v>
      </c>
      <c r="D31" s="50">
        <v>9</v>
      </c>
      <c r="E31" s="50">
        <v>9</v>
      </c>
      <c r="F31" s="50">
        <v>9</v>
      </c>
      <c r="G31" s="50">
        <v>9</v>
      </c>
      <c r="H31" s="50">
        <v>9</v>
      </c>
      <c r="I31" s="50">
        <v>9</v>
      </c>
      <c r="J31" s="50">
        <v>9</v>
      </c>
      <c r="K31" s="50">
        <v>9</v>
      </c>
      <c r="L31" s="50">
        <v>9</v>
      </c>
      <c r="M31" s="50">
        <v>9</v>
      </c>
      <c r="N31" s="50">
        <v>9</v>
      </c>
      <c r="O31" s="50">
        <v>9</v>
      </c>
      <c r="P31" s="50">
        <v>9</v>
      </c>
      <c r="Q31" s="50">
        <v>9</v>
      </c>
      <c r="R31" s="50">
        <v>9</v>
      </c>
      <c r="S31" s="50" t="s">
        <v>255</v>
      </c>
      <c r="T31" s="50">
        <v>9</v>
      </c>
      <c r="U31" s="50">
        <v>9</v>
      </c>
      <c r="V31" s="50">
        <v>9</v>
      </c>
      <c r="W31" s="50">
        <v>9</v>
      </c>
      <c r="X31" s="50">
        <v>9</v>
      </c>
      <c r="Y31" s="50">
        <v>9</v>
      </c>
      <c r="Z31" s="50">
        <v>9</v>
      </c>
      <c r="AA31" s="50" t="s">
        <v>255</v>
      </c>
      <c r="AB31" s="50">
        <v>9</v>
      </c>
      <c r="AC31" s="50">
        <v>9</v>
      </c>
      <c r="AD31" s="50">
        <v>9</v>
      </c>
      <c r="AE31" s="50">
        <v>9</v>
      </c>
      <c r="AF31" s="50">
        <v>9</v>
      </c>
      <c r="AG31" s="178">
        <v>22</v>
      </c>
      <c r="AH31" s="54">
        <f>MAX(B31:AF31)</f>
        <v>9</v>
      </c>
      <c r="AI31" s="55">
        <f>MIN(B31:AF31)</f>
        <v>9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5</v>
      </c>
      <c r="C32" s="50">
        <v>5</v>
      </c>
      <c r="D32" s="50">
        <v>5</v>
      </c>
      <c r="E32" s="50">
        <v>5</v>
      </c>
      <c r="F32" s="50">
        <v>5</v>
      </c>
      <c r="G32" s="50">
        <v>5</v>
      </c>
      <c r="H32" s="50">
        <v>5</v>
      </c>
      <c r="I32" s="50">
        <v>5</v>
      </c>
      <c r="J32" s="50">
        <v>5</v>
      </c>
      <c r="K32" s="50">
        <v>5</v>
      </c>
      <c r="L32" s="50">
        <v>5</v>
      </c>
      <c r="M32" s="50">
        <v>5</v>
      </c>
      <c r="N32" s="50">
        <v>5</v>
      </c>
      <c r="O32" s="50">
        <v>5</v>
      </c>
      <c r="P32" s="50">
        <v>5</v>
      </c>
      <c r="Q32" s="50">
        <v>5</v>
      </c>
      <c r="R32" s="50">
        <v>5</v>
      </c>
      <c r="S32" s="50"/>
      <c r="T32" s="50">
        <v>5</v>
      </c>
      <c r="U32" s="50">
        <v>5</v>
      </c>
      <c r="V32" s="50">
        <v>5</v>
      </c>
      <c r="W32" s="50">
        <v>5</v>
      </c>
      <c r="X32" s="50">
        <v>5</v>
      </c>
      <c r="Y32" s="50">
        <v>5</v>
      </c>
      <c r="Z32" s="50">
        <v>5</v>
      </c>
      <c r="AA32" s="50"/>
      <c r="AB32" s="50">
        <v>5</v>
      </c>
      <c r="AC32" s="50">
        <v>5</v>
      </c>
      <c r="AD32" s="50">
        <v>5</v>
      </c>
      <c r="AE32" s="50">
        <v>5</v>
      </c>
      <c r="AF32" s="50">
        <v>5</v>
      </c>
      <c r="AG32" s="135">
        <v>11.88</v>
      </c>
      <c r="AH32" s="54">
        <f t="shared" si="2"/>
        <v>5</v>
      </c>
      <c r="AI32" s="55">
        <f t="shared" si="3"/>
        <v>5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/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/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9</v>
      </c>
      <c r="C34" s="50">
        <v>9</v>
      </c>
      <c r="D34" s="50">
        <v>9</v>
      </c>
      <c r="E34" s="50">
        <v>9</v>
      </c>
      <c r="F34" s="50">
        <v>9</v>
      </c>
      <c r="G34" s="50">
        <v>9</v>
      </c>
      <c r="H34" s="50">
        <v>9</v>
      </c>
      <c r="I34" s="50">
        <v>9</v>
      </c>
      <c r="J34" s="50">
        <v>9</v>
      </c>
      <c r="K34" s="50">
        <v>0</v>
      </c>
      <c r="L34" s="50">
        <v>0</v>
      </c>
      <c r="M34" s="50">
        <v>0</v>
      </c>
      <c r="N34" s="50">
        <v>0</v>
      </c>
      <c r="O34" s="50">
        <v>9</v>
      </c>
      <c r="P34" s="50">
        <v>9</v>
      </c>
      <c r="Q34" s="50">
        <v>9</v>
      </c>
      <c r="R34" s="50">
        <v>9</v>
      </c>
      <c r="S34" s="50" t="s">
        <v>256</v>
      </c>
      <c r="T34" s="50">
        <v>9</v>
      </c>
      <c r="U34" s="50">
        <v>9</v>
      </c>
      <c r="V34" s="50">
        <v>9</v>
      </c>
      <c r="W34" s="50">
        <v>9</v>
      </c>
      <c r="X34" s="50">
        <v>9</v>
      </c>
      <c r="Y34" s="50">
        <v>9</v>
      </c>
      <c r="Z34" s="50">
        <v>9</v>
      </c>
      <c r="AA34" s="50" t="s">
        <v>256</v>
      </c>
      <c r="AB34" s="50">
        <v>9</v>
      </c>
      <c r="AC34" s="50">
        <v>9</v>
      </c>
      <c r="AD34" s="50">
        <v>9</v>
      </c>
      <c r="AE34" s="50">
        <v>9</v>
      </c>
      <c r="AF34" s="50">
        <v>9</v>
      </c>
      <c r="AG34" s="136">
        <v>10</v>
      </c>
      <c r="AH34" s="54">
        <f t="shared" si="2"/>
        <v>9</v>
      </c>
      <c r="AI34" s="55">
        <f t="shared" si="3"/>
        <v>0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4</v>
      </c>
      <c r="N35" s="50">
        <v>4</v>
      </c>
      <c r="O35" s="50">
        <v>4</v>
      </c>
      <c r="P35" s="50">
        <v>4</v>
      </c>
      <c r="Q35" s="50">
        <v>4</v>
      </c>
      <c r="R35" s="50">
        <v>4</v>
      </c>
      <c r="S35" s="50" t="s">
        <v>257</v>
      </c>
      <c r="T35" s="50">
        <v>4</v>
      </c>
      <c r="U35" s="50">
        <v>4</v>
      </c>
      <c r="V35" s="50">
        <v>4</v>
      </c>
      <c r="W35" s="50">
        <v>4</v>
      </c>
      <c r="X35" s="50">
        <v>4</v>
      </c>
      <c r="Y35" s="50">
        <v>4</v>
      </c>
      <c r="Z35" s="50">
        <v>4</v>
      </c>
      <c r="AA35" s="50" t="s">
        <v>257</v>
      </c>
      <c r="AB35" s="50">
        <v>4</v>
      </c>
      <c r="AC35" s="50">
        <v>4</v>
      </c>
      <c r="AD35" s="50">
        <v>4</v>
      </c>
      <c r="AE35" s="50">
        <v>4</v>
      </c>
      <c r="AF35" s="50">
        <v>4</v>
      </c>
      <c r="AG35" s="136">
        <v>10</v>
      </c>
      <c r="AH35" s="54">
        <f t="shared" si="2"/>
        <v>4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302</v>
      </c>
      <c r="C36" s="62">
        <v>302</v>
      </c>
      <c r="D36" s="62">
        <v>302</v>
      </c>
      <c r="E36" s="62">
        <v>302</v>
      </c>
      <c r="F36" s="62">
        <v>302</v>
      </c>
      <c r="G36" s="62">
        <v>302</v>
      </c>
      <c r="H36" s="62">
        <v>302</v>
      </c>
      <c r="I36" s="62">
        <v>302</v>
      </c>
      <c r="J36" s="62">
        <v>302</v>
      </c>
      <c r="K36" s="62">
        <v>302</v>
      </c>
      <c r="L36" s="62">
        <v>302</v>
      </c>
      <c r="M36" s="62">
        <v>302</v>
      </c>
      <c r="N36" s="62">
        <v>302</v>
      </c>
      <c r="O36" s="62">
        <v>302</v>
      </c>
      <c r="P36" s="62">
        <v>302</v>
      </c>
      <c r="Q36" s="62">
        <v>302</v>
      </c>
      <c r="R36" s="62">
        <v>302</v>
      </c>
      <c r="S36" s="62" t="s">
        <v>251</v>
      </c>
      <c r="T36" s="62">
        <v>302</v>
      </c>
      <c r="U36" s="62">
        <v>302</v>
      </c>
      <c r="V36" s="62">
        <v>302</v>
      </c>
      <c r="W36" s="62">
        <v>302</v>
      </c>
      <c r="X36" s="62">
        <v>302</v>
      </c>
      <c r="Y36" s="62">
        <v>302</v>
      </c>
      <c r="Z36" s="62">
        <v>302</v>
      </c>
      <c r="AA36" s="62" t="s">
        <v>251</v>
      </c>
      <c r="AB36" s="62">
        <v>302</v>
      </c>
      <c r="AC36" s="62">
        <v>302</v>
      </c>
      <c r="AD36" s="62">
        <v>302</v>
      </c>
      <c r="AE36" s="62">
        <v>302</v>
      </c>
      <c r="AF36" s="62">
        <v>302</v>
      </c>
      <c r="AG36" s="136">
        <v>85</v>
      </c>
      <c r="AH36" s="54">
        <f t="shared" si="2"/>
        <v>302</v>
      </c>
      <c r="AI36" s="55">
        <f t="shared" si="3"/>
        <v>302</v>
      </c>
      <c r="AK36" s="56"/>
    </row>
    <row r="37" spans="1:88" ht="15.75" thickBot="1" x14ac:dyDescent="0.3">
      <c r="A37" s="63" t="s">
        <v>21</v>
      </c>
      <c r="B37" s="64">
        <f>98.8+69.4</f>
        <v>168.2</v>
      </c>
      <c r="C37" s="62">
        <f>84.4+69.2</f>
        <v>153.60000000000002</v>
      </c>
      <c r="D37" s="62">
        <f>99.4+68.8</f>
        <v>168.2</v>
      </c>
      <c r="E37" s="62">
        <v>171</v>
      </c>
      <c r="F37" s="62">
        <v>171</v>
      </c>
      <c r="G37" s="62">
        <v>155</v>
      </c>
      <c r="H37" s="62">
        <v>164</v>
      </c>
      <c r="I37" s="62">
        <v>164</v>
      </c>
      <c r="J37" s="62">
        <v>118</v>
      </c>
      <c r="K37" s="62">
        <v>118</v>
      </c>
      <c r="L37" s="62">
        <f>81.1+39.5</f>
        <v>120.6</v>
      </c>
      <c r="M37" s="62">
        <f>30.1+92.4</f>
        <v>122.5</v>
      </c>
      <c r="N37" s="62">
        <f>39.1+98.2</f>
        <v>137.30000000000001</v>
      </c>
      <c r="O37" s="62">
        <f>38.7+93.2</f>
        <v>131.9</v>
      </c>
      <c r="P37" s="62">
        <f>38.9+95.3</f>
        <v>134.19999999999999</v>
      </c>
      <c r="Q37" s="62">
        <f>51.3+98.5</f>
        <v>149.80000000000001</v>
      </c>
      <c r="R37" s="62">
        <f>72.9+90.1</f>
        <v>163</v>
      </c>
      <c r="S37" s="64" t="s">
        <v>251</v>
      </c>
      <c r="T37" s="62">
        <f>72.9+90.1</f>
        <v>163</v>
      </c>
      <c r="U37" s="62">
        <f>72.9+90.1</f>
        <v>163</v>
      </c>
      <c r="V37" s="62">
        <f>72.9+98.8</f>
        <v>171.7</v>
      </c>
      <c r="W37" s="62">
        <f>72.9+98.8</f>
        <v>171.7</v>
      </c>
      <c r="X37" s="62">
        <f>72.9+69.9</f>
        <v>142.80000000000001</v>
      </c>
      <c r="Y37" s="62">
        <f>72.9+79.9</f>
        <v>152.80000000000001</v>
      </c>
      <c r="Z37" s="62">
        <f>72.9+76.9</f>
        <v>149.80000000000001</v>
      </c>
      <c r="AA37" s="64" t="s">
        <v>251</v>
      </c>
      <c r="AB37" s="64">
        <f>97+70</f>
        <v>167</v>
      </c>
      <c r="AC37" s="64">
        <f t="shared" ref="AC37:AE37" si="4">97+70</f>
        <v>167</v>
      </c>
      <c r="AD37" s="64">
        <f t="shared" si="4"/>
        <v>167</v>
      </c>
      <c r="AE37" s="64">
        <f t="shared" si="4"/>
        <v>167</v>
      </c>
      <c r="AF37" s="64">
        <v>171</v>
      </c>
      <c r="AG37" s="136">
        <v>240</v>
      </c>
      <c r="AH37" s="54">
        <f t="shared" si="2"/>
        <v>171.7</v>
      </c>
      <c r="AI37" s="55">
        <f t="shared" si="3"/>
        <v>118</v>
      </c>
      <c r="AK37" s="56"/>
    </row>
    <row r="38" spans="1:88" ht="15.75" thickBot="1" x14ac:dyDescent="0.3">
      <c r="A38" s="131" t="s">
        <v>22</v>
      </c>
      <c r="B38" s="66">
        <f t="shared" ref="B38:R38" si="5">SUM(B11:B36)</f>
        <v>791.1</v>
      </c>
      <c r="C38" s="66">
        <f t="shared" si="5"/>
        <v>791.1</v>
      </c>
      <c r="D38" s="66">
        <f t="shared" si="5"/>
        <v>791.1</v>
      </c>
      <c r="E38" s="66">
        <f t="shared" si="5"/>
        <v>765.6</v>
      </c>
      <c r="F38" s="66">
        <f t="shared" si="5"/>
        <v>755.6</v>
      </c>
      <c r="G38" s="66">
        <f t="shared" si="5"/>
        <v>768.1</v>
      </c>
      <c r="H38" s="66">
        <f t="shared" si="5"/>
        <v>768.1</v>
      </c>
      <c r="I38" s="66">
        <f t="shared" si="5"/>
        <v>714.1</v>
      </c>
      <c r="J38" s="66">
        <f t="shared" si="5"/>
        <v>734.1</v>
      </c>
      <c r="K38" s="66">
        <f t="shared" si="5"/>
        <v>694.40000000000009</v>
      </c>
      <c r="L38" s="66">
        <f t="shared" si="5"/>
        <v>704.80000000000007</v>
      </c>
      <c r="M38" s="66">
        <f t="shared" si="5"/>
        <v>719.80000000000007</v>
      </c>
      <c r="N38" s="66">
        <f t="shared" si="5"/>
        <v>719.80000000000007</v>
      </c>
      <c r="O38" s="66">
        <f t="shared" si="5"/>
        <v>789.5</v>
      </c>
      <c r="P38" s="66">
        <f t="shared" si="5"/>
        <v>789.6</v>
      </c>
      <c r="Q38" s="66">
        <f t="shared" si="5"/>
        <v>814.6</v>
      </c>
      <c r="R38" s="66">
        <f t="shared" si="5"/>
        <v>828.6</v>
      </c>
      <c r="S38" s="66" t="s">
        <v>250</v>
      </c>
      <c r="T38" s="66">
        <f t="shared" ref="T38:Z38" si="6">SUM(T11:T36)</f>
        <v>798.40000000000009</v>
      </c>
      <c r="U38" s="66">
        <f t="shared" si="6"/>
        <v>783.40000000000009</v>
      </c>
      <c r="V38" s="66">
        <f t="shared" si="6"/>
        <v>761.40000000000009</v>
      </c>
      <c r="W38" s="66">
        <f t="shared" si="6"/>
        <v>756.40000000000009</v>
      </c>
      <c r="X38" s="66">
        <f t="shared" si="6"/>
        <v>756.40000000000009</v>
      </c>
      <c r="Y38" s="66">
        <f t="shared" si="6"/>
        <v>756.40000000000009</v>
      </c>
      <c r="Z38" s="66">
        <f t="shared" si="6"/>
        <v>756.40000000000009</v>
      </c>
      <c r="AA38" s="66" t="s">
        <v>250</v>
      </c>
      <c r="AB38" s="66">
        <f t="shared" ref="AB38:AG38" si="7">SUM(AB11:AB36)</f>
        <v>743.9</v>
      </c>
      <c r="AC38" s="66">
        <f t="shared" si="7"/>
        <v>794.8</v>
      </c>
      <c r="AD38" s="66">
        <f t="shared" si="7"/>
        <v>802.40000000000009</v>
      </c>
      <c r="AE38" s="66">
        <f t="shared" si="7"/>
        <v>802.40000000000009</v>
      </c>
      <c r="AF38" s="66">
        <f t="shared" si="7"/>
        <v>802.40000000000009</v>
      </c>
      <c r="AG38" s="143">
        <f t="shared" si="7"/>
        <v>665.78</v>
      </c>
      <c r="AH38" s="54">
        <f t="shared" si="2"/>
        <v>828.6</v>
      </c>
      <c r="AI38" s="55">
        <f t="shared" si="3"/>
        <v>694.40000000000009</v>
      </c>
      <c r="AK38" s="56"/>
    </row>
    <row r="39" spans="1:88" x14ac:dyDescent="0.25">
      <c r="A39" s="159" t="s">
        <v>130</v>
      </c>
      <c r="B39" s="50">
        <v>456</v>
      </c>
      <c r="C39" s="50">
        <v>456</v>
      </c>
      <c r="D39" s="50">
        <v>456</v>
      </c>
      <c r="E39" s="50">
        <v>456</v>
      </c>
      <c r="F39" s="50">
        <v>456</v>
      </c>
      <c r="G39" s="50">
        <v>456</v>
      </c>
      <c r="H39" s="50">
        <v>456</v>
      </c>
      <c r="I39" s="50">
        <v>456</v>
      </c>
      <c r="J39" s="50">
        <v>456</v>
      </c>
      <c r="K39" s="50">
        <v>456</v>
      </c>
      <c r="L39" s="50">
        <v>456</v>
      </c>
      <c r="M39" s="50">
        <v>456</v>
      </c>
      <c r="N39" s="50">
        <v>456</v>
      </c>
      <c r="O39" s="50">
        <v>456</v>
      </c>
      <c r="P39" s="50">
        <v>456</v>
      </c>
      <c r="Q39" s="50">
        <v>456</v>
      </c>
      <c r="R39" s="50">
        <v>456</v>
      </c>
      <c r="S39" s="50" t="s">
        <v>258</v>
      </c>
      <c r="T39" s="50">
        <v>456</v>
      </c>
      <c r="U39" s="50">
        <v>456</v>
      </c>
      <c r="V39" s="50">
        <v>456</v>
      </c>
      <c r="W39" s="50">
        <v>456</v>
      </c>
      <c r="X39" s="50">
        <v>456</v>
      </c>
      <c r="Y39" s="50">
        <v>456</v>
      </c>
      <c r="Z39" s="50">
        <v>456</v>
      </c>
      <c r="AA39" s="50" t="s">
        <v>258</v>
      </c>
      <c r="AB39" s="50">
        <v>456</v>
      </c>
      <c r="AC39" s="50">
        <v>456</v>
      </c>
      <c r="AD39" s="50">
        <v>456</v>
      </c>
      <c r="AE39" s="50">
        <v>456</v>
      </c>
      <c r="AF39" s="50">
        <v>456</v>
      </c>
      <c r="AG39" s="135">
        <v>456</v>
      </c>
      <c r="AH39" s="54">
        <f t="shared" si="2"/>
        <v>456</v>
      </c>
      <c r="AI39" s="55">
        <f t="shared" si="3"/>
        <v>456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 t="s">
        <v>246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 t="s">
        <v>246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 t="s">
        <v>254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 t="s">
        <v>254</v>
      </c>
      <c r="AB41" s="70">
        <v>20</v>
      </c>
      <c r="AC41" s="70">
        <v>20</v>
      </c>
      <c r="AD41" s="70">
        <v>20</v>
      </c>
      <c r="AE41" s="70">
        <v>20</v>
      </c>
      <c r="AF41" s="70">
        <v>20</v>
      </c>
      <c r="AG41" s="137">
        <v>22.1</v>
      </c>
      <c r="AH41" s="54">
        <f t="shared" si="2"/>
        <v>22</v>
      </c>
      <c r="AI41" s="55">
        <f t="shared" si="3"/>
        <v>20</v>
      </c>
      <c r="AK41" s="56"/>
    </row>
    <row r="42" spans="1:88" ht="15.75" thickBot="1" x14ac:dyDescent="0.3">
      <c r="A42" s="132" t="s">
        <v>129</v>
      </c>
      <c r="B42" s="66">
        <f t="shared" ref="B42" si="8">SUM(B39:B41)</f>
        <v>538</v>
      </c>
      <c r="C42" s="66">
        <f t="shared" ref="C42:AG42" si="9">SUM(C39:C41)</f>
        <v>538</v>
      </c>
      <c r="D42" s="66">
        <f t="shared" si="9"/>
        <v>538</v>
      </c>
      <c r="E42" s="66">
        <f t="shared" si="9"/>
        <v>538</v>
      </c>
      <c r="F42" s="66">
        <f t="shared" si="9"/>
        <v>538</v>
      </c>
      <c r="G42" s="66">
        <f t="shared" si="9"/>
        <v>538</v>
      </c>
      <c r="H42" s="66">
        <f t="shared" si="9"/>
        <v>538</v>
      </c>
      <c r="I42" s="66">
        <f t="shared" si="9"/>
        <v>538</v>
      </c>
      <c r="J42" s="66">
        <f t="shared" si="9"/>
        <v>538</v>
      </c>
      <c r="K42" s="66">
        <f t="shared" si="9"/>
        <v>538</v>
      </c>
      <c r="L42" s="66">
        <f t="shared" si="9"/>
        <v>538</v>
      </c>
      <c r="M42" s="66">
        <f t="shared" si="9"/>
        <v>538</v>
      </c>
      <c r="N42" s="66">
        <f t="shared" si="9"/>
        <v>538</v>
      </c>
      <c r="O42" s="66">
        <f t="shared" si="9"/>
        <v>538</v>
      </c>
      <c r="P42" s="66">
        <f t="shared" si="9"/>
        <v>538</v>
      </c>
      <c r="Q42" s="66">
        <f t="shared" si="9"/>
        <v>538</v>
      </c>
      <c r="R42" s="66">
        <f t="shared" si="9"/>
        <v>538</v>
      </c>
      <c r="S42" s="66">
        <f t="shared" si="9"/>
        <v>0</v>
      </c>
      <c r="T42" s="66">
        <f t="shared" si="9"/>
        <v>538</v>
      </c>
      <c r="U42" s="66">
        <f t="shared" si="9"/>
        <v>538</v>
      </c>
      <c r="V42" s="66">
        <f t="shared" si="9"/>
        <v>538</v>
      </c>
      <c r="W42" s="66">
        <f t="shared" si="9"/>
        <v>538</v>
      </c>
      <c r="X42" s="66">
        <f t="shared" si="9"/>
        <v>538</v>
      </c>
      <c r="Y42" s="66">
        <f t="shared" si="9"/>
        <v>538</v>
      </c>
      <c r="Z42" s="66">
        <f t="shared" si="9"/>
        <v>538</v>
      </c>
      <c r="AA42" s="66">
        <f t="shared" si="9"/>
        <v>0</v>
      </c>
      <c r="AB42" s="66">
        <f t="shared" si="9"/>
        <v>536</v>
      </c>
      <c r="AC42" s="66">
        <f t="shared" si="9"/>
        <v>536</v>
      </c>
      <c r="AD42" s="66">
        <f t="shared" si="9"/>
        <v>536</v>
      </c>
      <c r="AE42" s="66">
        <f t="shared" si="9"/>
        <v>536</v>
      </c>
      <c r="AF42" s="66">
        <f t="shared" si="9"/>
        <v>536</v>
      </c>
      <c r="AG42" s="143">
        <f t="shared" si="9"/>
        <v>538.1</v>
      </c>
      <c r="AH42" s="54">
        <f t="shared" si="2"/>
        <v>538</v>
      </c>
      <c r="AI42" s="55">
        <f t="shared" si="3"/>
        <v>0</v>
      </c>
      <c r="AK42" s="56"/>
    </row>
    <row r="43" spans="1:88" x14ac:dyDescent="0.25">
      <c r="A43" s="57" t="s">
        <v>23</v>
      </c>
      <c r="B43" s="50">
        <v>142.9</v>
      </c>
      <c r="C43" s="50">
        <v>142.5</v>
      </c>
      <c r="D43" s="50">
        <v>143.19999999999999</v>
      </c>
      <c r="E43" s="50">
        <v>143.19999999999999</v>
      </c>
      <c r="F43" s="50">
        <v>143.19999999999999</v>
      </c>
      <c r="G43" s="50">
        <v>143.19999999999999</v>
      </c>
      <c r="H43" s="50">
        <v>143.19999999999999</v>
      </c>
      <c r="I43" s="50">
        <v>142.30000000000001</v>
      </c>
      <c r="J43" s="50">
        <v>142.30000000000001</v>
      </c>
      <c r="K43" s="50">
        <v>142</v>
      </c>
      <c r="L43" s="50">
        <v>141.80000000000001</v>
      </c>
      <c r="M43" s="50">
        <v>142.80000000000001</v>
      </c>
      <c r="N43" s="50">
        <v>142</v>
      </c>
      <c r="O43" s="50">
        <v>142.30000000000001</v>
      </c>
      <c r="P43" s="50">
        <v>142.19999999999999</v>
      </c>
      <c r="Q43" s="50">
        <v>142.19999999999999</v>
      </c>
      <c r="R43" s="50">
        <v>142.19999999999999</v>
      </c>
      <c r="S43" s="50"/>
      <c r="T43" s="50">
        <v>142.19999999999999</v>
      </c>
      <c r="U43" s="50">
        <v>142.19999999999999</v>
      </c>
      <c r="V43" s="50">
        <v>142.19999999999999</v>
      </c>
      <c r="W43" s="50">
        <v>142.19999999999999</v>
      </c>
      <c r="X43" s="50">
        <v>142.19999999999999</v>
      </c>
      <c r="Y43" s="50">
        <v>142.19999999999999</v>
      </c>
      <c r="Z43" s="50">
        <v>142.19999999999999</v>
      </c>
      <c r="AA43" s="50"/>
      <c r="AB43" s="50">
        <v>96</v>
      </c>
      <c r="AC43" s="50">
        <v>143.5</v>
      </c>
      <c r="AD43" s="50">
        <v>143.5</v>
      </c>
      <c r="AE43" s="50">
        <v>143.5</v>
      </c>
      <c r="AF43" s="50">
        <v>143.5</v>
      </c>
      <c r="AG43" s="135">
        <v>144</v>
      </c>
      <c r="AH43" s="54">
        <f t="shared" si="2"/>
        <v>143.5</v>
      </c>
      <c r="AI43" s="55">
        <f t="shared" si="3"/>
        <v>96</v>
      </c>
      <c r="AK43" s="56"/>
    </row>
    <row r="44" spans="1:88" x14ac:dyDescent="0.25">
      <c r="A44" s="60" t="s">
        <v>24</v>
      </c>
      <c r="B44" s="48">
        <v>69.900000000000006</v>
      </c>
      <c r="C44" s="48">
        <v>69.900000000000006</v>
      </c>
      <c r="D44" s="48">
        <v>71.099999999999994</v>
      </c>
      <c r="E44" s="48">
        <v>71.099999999999994</v>
      </c>
      <c r="F44" s="48">
        <v>71.099999999999994</v>
      </c>
      <c r="G44" s="48">
        <v>71.099999999999994</v>
      </c>
      <c r="H44" s="48">
        <v>71.099999999999994</v>
      </c>
      <c r="I44" s="48">
        <v>69.7</v>
      </c>
      <c r="J44" s="48">
        <v>69.7</v>
      </c>
      <c r="K44" s="48">
        <v>70.900000000000006</v>
      </c>
      <c r="L44" s="48">
        <v>71.2</v>
      </c>
      <c r="M44" s="50">
        <v>72.5</v>
      </c>
      <c r="N44" s="50">
        <v>71.8</v>
      </c>
      <c r="O44" s="50">
        <v>70.8</v>
      </c>
      <c r="P44" s="50">
        <v>70.900000000000006</v>
      </c>
      <c r="Q44" s="50">
        <v>70.900000000000006</v>
      </c>
      <c r="R44" s="50">
        <v>70.900000000000006</v>
      </c>
      <c r="S44" s="48"/>
      <c r="T44" s="50">
        <v>73.5</v>
      </c>
      <c r="U44" s="50">
        <v>73.5</v>
      </c>
      <c r="V44" s="50">
        <v>73.5</v>
      </c>
      <c r="W44" s="50">
        <v>73.5</v>
      </c>
      <c r="X44" s="50">
        <v>73.5</v>
      </c>
      <c r="Y44" s="50">
        <v>73.5</v>
      </c>
      <c r="Z44" s="50">
        <v>73.5</v>
      </c>
      <c r="AA44" s="48"/>
      <c r="AB44" s="48">
        <v>70.400000000000006</v>
      </c>
      <c r="AC44" s="48">
        <v>70.599999999999994</v>
      </c>
      <c r="AD44" s="48">
        <v>70.599999999999994</v>
      </c>
      <c r="AE44" s="48">
        <v>70.599999999999994</v>
      </c>
      <c r="AF44" s="48">
        <v>70.599999999999994</v>
      </c>
      <c r="AG44" s="136">
        <v>70</v>
      </c>
      <c r="AH44" s="54">
        <f t="shared" si="2"/>
        <v>73.5</v>
      </c>
      <c r="AI44" s="55">
        <f t="shared" si="3"/>
        <v>69.7</v>
      </c>
      <c r="AK44" s="56"/>
    </row>
    <row r="45" spans="1:88" x14ac:dyDescent="0.25">
      <c r="A45" s="60" t="s">
        <v>25</v>
      </c>
      <c r="B45" s="48">
        <v>62.9</v>
      </c>
      <c r="C45" s="48">
        <v>61.6</v>
      </c>
      <c r="D45" s="48">
        <v>62.2</v>
      </c>
      <c r="E45" s="48">
        <v>62.2</v>
      </c>
      <c r="F45" s="48">
        <v>62.2</v>
      </c>
      <c r="G45" s="48">
        <v>62.2</v>
      </c>
      <c r="H45" s="48">
        <v>42.9</v>
      </c>
      <c r="I45" s="48">
        <v>42.8</v>
      </c>
      <c r="J45" s="48">
        <v>42.8</v>
      </c>
      <c r="K45" s="48">
        <v>42.4</v>
      </c>
      <c r="L45" s="48">
        <v>42.5</v>
      </c>
      <c r="M45" s="50">
        <v>42.6</v>
      </c>
      <c r="N45" s="50">
        <v>43.3</v>
      </c>
      <c r="O45" s="50">
        <v>43.1</v>
      </c>
      <c r="P45" s="50">
        <v>43.7</v>
      </c>
      <c r="Q45" s="50">
        <v>43.3</v>
      </c>
      <c r="R45" s="50">
        <v>43.3</v>
      </c>
      <c r="S45" s="48"/>
      <c r="T45" s="50">
        <v>44</v>
      </c>
      <c r="U45" s="50">
        <v>44</v>
      </c>
      <c r="V45" s="50">
        <v>44</v>
      </c>
      <c r="W45" s="50">
        <v>44</v>
      </c>
      <c r="X45" s="50">
        <v>44</v>
      </c>
      <c r="Y45" s="50">
        <v>44</v>
      </c>
      <c r="Z45" s="50">
        <v>44</v>
      </c>
      <c r="AA45" s="48"/>
      <c r="AB45" s="48">
        <v>43.7</v>
      </c>
      <c r="AC45" s="48">
        <v>43.7</v>
      </c>
      <c r="AD45" s="48">
        <v>43.7</v>
      </c>
      <c r="AE45" s="48">
        <v>43.7</v>
      </c>
      <c r="AF45" s="48">
        <v>43.7</v>
      </c>
      <c r="AG45" s="136">
        <v>69</v>
      </c>
      <c r="AH45" s="54">
        <f t="shared" si="2"/>
        <v>62.9</v>
      </c>
      <c r="AI45" s="55">
        <f t="shared" si="3"/>
        <v>42.4</v>
      </c>
      <c r="AK45" s="56"/>
    </row>
    <row r="46" spans="1:88" x14ac:dyDescent="0.25">
      <c r="A46" s="60" t="s">
        <v>26</v>
      </c>
      <c r="B46" s="62">
        <v>60</v>
      </c>
      <c r="C46" s="62">
        <v>60.2</v>
      </c>
      <c r="D46" s="62">
        <v>60.2</v>
      </c>
      <c r="E46" s="62">
        <v>60.2</v>
      </c>
      <c r="F46" s="62">
        <v>60.2</v>
      </c>
      <c r="G46" s="62">
        <v>60.2</v>
      </c>
      <c r="H46" s="62">
        <v>60.2</v>
      </c>
      <c r="I46" s="62">
        <v>60</v>
      </c>
      <c r="J46" s="62">
        <v>60</v>
      </c>
      <c r="K46" s="62">
        <v>60.7</v>
      </c>
      <c r="L46" s="62">
        <v>60.7</v>
      </c>
      <c r="M46" s="50">
        <v>60.9</v>
      </c>
      <c r="N46" s="50">
        <v>60.7</v>
      </c>
      <c r="O46" s="50">
        <v>60.7</v>
      </c>
      <c r="P46" s="50">
        <v>60.7</v>
      </c>
      <c r="Q46" s="50">
        <v>60.7</v>
      </c>
      <c r="R46" s="50">
        <v>60.7</v>
      </c>
      <c r="S46" s="50"/>
      <c r="T46" s="50">
        <v>60.7</v>
      </c>
      <c r="U46" s="50">
        <v>60.7</v>
      </c>
      <c r="V46" s="50">
        <v>60.7</v>
      </c>
      <c r="W46" s="50">
        <v>60.7</v>
      </c>
      <c r="X46" s="50">
        <v>60.7</v>
      </c>
      <c r="Y46" s="50">
        <v>60.7</v>
      </c>
      <c r="Z46" s="50">
        <v>60.7</v>
      </c>
      <c r="AA46" s="48"/>
      <c r="AB46" s="62">
        <v>30.7</v>
      </c>
      <c r="AC46" s="62">
        <v>30.7</v>
      </c>
      <c r="AD46" s="62">
        <v>30.7</v>
      </c>
      <c r="AE46" s="62">
        <v>30.7</v>
      </c>
      <c r="AF46" s="62">
        <v>30.7</v>
      </c>
      <c r="AG46" s="136">
        <v>60</v>
      </c>
      <c r="AH46" s="54">
        <f t="shared" si="2"/>
        <v>60.9</v>
      </c>
      <c r="AI46" s="55">
        <f t="shared" si="3"/>
        <v>30.7</v>
      </c>
      <c r="AK46" s="56"/>
    </row>
    <row r="47" spans="1:88" x14ac:dyDescent="0.25">
      <c r="A47" s="60" t="s">
        <v>27</v>
      </c>
      <c r="B47" s="62">
        <v>28.3</v>
      </c>
      <c r="C47" s="62">
        <v>28.1</v>
      </c>
      <c r="D47" s="62">
        <v>28.1</v>
      </c>
      <c r="E47" s="62">
        <v>28.1</v>
      </c>
      <c r="F47" s="62">
        <v>28.1</v>
      </c>
      <c r="G47" s="62">
        <v>28.1</v>
      </c>
      <c r="H47" s="62">
        <v>28.1</v>
      </c>
      <c r="I47" s="62">
        <v>28.5</v>
      </c>
      <c r="J47" s="62">
        <v>28.5</v>
      </c>
      <c r="K47" s="62">
        <v>28.5</v>
      </c>
      <c r="L47" s="62">
        <v>28.5</v>
      </c>
      <c r="M47" s="50">
        <v>28.5</v>
      </c>
      <c r="N47" s="50">
        <v>28.5</v>
      </c>
      <c r="O47" s="50">
        <v>28.5</v>
      </c>
      <c r="P47" s="50">
        <v>28.4</v>
      </c>
      <c r="Q47" s="50">
        <v>28.4</v>
      </c>
      <c r="R47" s="50">
        <v>28.4</v>
      </c>
      <c r="S47" s="50"/>
      <c r="T47" s="50">
        <v>28.4</v>
      </c>
      <c r="U47" s="50">
        <v>28.4</v>
      </c>
      <c r="V47" s="50">
        <v>0</v>
      </c>
      <c r="W47" s="50">
        <v>0</v>
      </c>
      <c r="X47" s="50">
        <v>0</v>
      </c>
      <c r="Y47" s="50">
        <v>0</v>
      </c>
      <c r="Z47" s="50">
        <v>0</v>
      </c>
      <c r="AA47" s="48"/>
      <c r="AB47" s="62">
        <v>28.5</v>
      </c>
      <c r="AC47" s="62">
        <v>28.5</v>
      </c>
      <c r="AD47" s="62">
        <v>28.5</v>
      </c>
      <c r="AE47" s="62">
        <v>28.5</v>
      </c>
      <c r="AF47" s="62">
        <v>28.5</v>
      </c>
      <c r="AG47" s="136">
        <v>30</v>
      </c>
      <c r="AH47" s="54">
        <f t="shared" si="2"/>
        <v>28.5</v>
      </c>
      <c r="AI47" s="55">
        <f t="shared" si="3"/>
        <v>0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48">
        <v>0</v>
      </c>
      <c r="M48" s="50">
        <v>8</v>
      </c>
      <c r="N48" s="50">
        <v>8</v>
      </c>
      <c r="O48" s="50">
        <v>8</v>
      </c>
      <c r="P48" s="50">
        <v>8</v>
      </c>
      <c r="Q48" s="50">
        <v>8</v>
      </c>
      <c r="R48" s="50">
        <v>8</v>
      </c>
      <c r="S48" s="50"/>
      <c r="T48" s="50">
        <v>8</v>
      </c>
      <c r="U48" s="50">
        <v>8</v>
      </c>
      <c r="V48" s="50">
        <v>8</v>
      </c>
      <c r="W48" s="50">
        <v>8</v>
      </c>
      <c r="X48" s="50">
        <v>8</v>
      </c>
      <c r="Y48" s="50">
        <v>8</v>
      </c>
      <c r="Z48" s="50">
        <v>8</v>
      </c>
      <c r="AA48" s="50">
        <v>0</v>
      </c>
      <c r="AB48" s="48">
        <v>0</v>
      </c>
      <c r="AC48" s="48">
        <v>0</v>
      </c>
      <c r="AD48" s="48">
        <v>0</v>
      </c>
      <c r="AE48" s="48">
        <v>0</v>
      </c>
      <c r="AF48" s="48">
        <v>0</v>
      </c>
      <c r="AG48" s="136">
        <v>25</v>
      </c>
      <c r="AH48" s="54">
        <f t="shared" si="2"/>
        <v>8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13.3</v>
      </c>
      <c r="C49" s="48">
        <v>13</v>
      </c>
      <c r="D49" s="48">
        <v>10.7</v>
      </c>
      <c r="E49" s="48">
        <v>10.7</v>
      </c>
      <c r="F49" s="48">
        <v>10.7</v>
      </c>
      <c r="G49" s="48">
        <v>10.7</v>
      </c>
      <c r="H49" s="48">
        <v>10.7</v>
      </c>
      <c r="I49" s="48">
        <v>10.7</v>
      </c>
      <c r="J49" s="48">
        <v>10.7</v>
      </c>
      <c r="K49" s="48">
        <v>10.7</v>
      </c>
      <c r="L49" s="48">
        <v>10.7</v>
      </c>
      <c r="M49" s="50">
        <v>9.3000000000000007</v>
      </c>
      <c r="N49" s="50">
        <v>9</v>
      </c>
      <c r="O49" s="50">
        <v>2.2999999999999998</v>
      </c>
      <c r="P49" s="50">
        <v>0</v>
      </c>
      <c r="Q49" s="50">
        <v>0</v>
      </c>
      <c r="R49" s="50">
        <v>0</v>
      </c>
      <c r="S49" s="50"/>
      <c r="T49" s="50">
        <v>0</v>
      </c>
      <c r="U49" s="50">
        <v>14.2</v>
      </c>
      <c r="V49" s="50">
        <v>15.2</v>
      </c>
      <c r="W49" s="50">
        <v>15.2</v>
      </c>
      <c r="X49" s="50">
        <v>15.2</v>
      </c>
      <c r="Y49" s="50">
        <v>15.2</v>
      </c>
      <c r="Z49" s="50">
        <v>15.2</v>
      </c>
      <c r="AA49" s="50"/>
      <c r="AB49" s="48">
        <v>16</v>
      </c>
      <c r="AC49" s="48">
        <v>16</v>
      </c>
      <c r="AD49" s="48">
        <v>16</v>
      </c>
      <c r="AE49" s="48">
        <v>16</v>
      </c>
      <c r="AF49" s="48">
        <v>16</v>
      </c>
      <c r="AG49" s="136">
        <v>24</v>
      </c>
      <c r="AH49" s="54">
        <f t="shared" si="2"/>
        <v>16</v>
      </c>
      <c r="AI49" s="55">
        <f t="shared" si="3"/>
        <v>0</v>
      </c>
      <c r="AK49" s="56"/>
    </row>
    <row r="50" spans="1:41" x14ac:dyDescent="0.25">
      <c r="A50" s="60" t="s">
        <v>30</v>
      </c>
      <c r="B50" s="48">
        <v>2</v>
      </c>
      <c r="C50" s="48">
        <v>2</v>
      </c>
      <c r="D50" s="48">
        <v>2</v>
      </c>
      <c r="E50" s="48">
        <v>2</v>
      </c>
      <c r="F50" s="48">
        <v>2</v>
      </c>
      <c r="G50" s="48">
        <v>2</v>
      </c>
      <c r="H50" s="48">
        <v>2</v>
      </c>
      <c r="I50" s="48">
        <v>2</v>
      </c>
      <c r="J50" s="48">
        <v>2</v>
      </c>
      <c r="K50" s="48">
        <v>2</v>
      </c>
      <c r="L50" s="48">
        <v>2</v>
      </c>
      <c r="M50" s="50">
        <v>2</v>
      </c>
      <c r="N50" s="50">
        <v>2</v>
      </c>
      <c r="O50" s="50">
        <v>2</v>
      </c>
      <c r="P50" s="50">
        <v>0</v>
      </c>
      <c r="Q50" s="50">
        <v>0</v>
      </c>
      <c r="R50" s="50">
        <v>0</v>
      </c>
      <c r="S50" s="50"/>
      <c r="T50" s="50">
        <v>2.8</v>
      </c>
      <c r="U50" s="50">
        <v>2.8</v>
      </c>
      <c r="V50" s="50">
        <v>2.8</v>
      </c>
      <c r="W50" s="50">
        <v>2.8</v>
      </c>
      <c r="X50" s="50">
        <v>2.8</v>
      </c>
      <c r="Y50" s="50">
        <v>2.8</v>
      </c>
      <c r="Z50" s="50">
        <v>2.8</v>
      </c>
      <c r="AA50" s="50"/>
      <c r="AB50" s="48">
        <v>2.8</v>
      </c>
      <c r="AC50" s="48">
        <v>2.8</v>
      </c>
      <c r="AD50" s="48">
        <v>2.8</v>
      </c>
      <c r="AE50" s="48">
        <v>2.8</v>
      </c>
      <c r="AF50" s="48">
        <v>2.8</v>
      </c>
      <c r="AG50" s="136">
        <v>15</v>
      </c>
      <c r="AH50" s="54">
        <f t="shared" si="2"/>
        <v>2.8</v>
      </c>
      <c r="AI50" s="55">
        <f t="shared" si="3"/>
        <v>0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10.8</v>
      </c>
      <c r="C51" s="48">
        <v>11</v>
      </c>
      <c r="D51" s="48">
        <v>8</v>
      </c>
      <c r="E51" s="48">
        <v>8</v>
      </c>
      <c r="F51" s="48">
        <v>8</v>
      </c>
      <c r="G51" s="48">
        <v>8</v>
      </c>
      <c r="H51" s="48">
        <v>8</v>
      </c>
      <c r="I51" s="48">
        <v>8</v>
      </c>
      <c r="J51" s="48">
        <v>8</v>
      </c>
      <c r="K51" s="48">
        <v>0</v>
      </c>
      <c r="L51" s="48">
        <v>8</v>
      </c>
      <c r="M51" s="50">
        <v>9.1</v>
      </c>
      <c r="N51" s="50">
        <v>9</v>
      </c>
      <c r="O51" s="50">
        <v>6.6</v>
      </c>
      <c r="P51" s="50">
        <v>0</v>
      </c>
      <c r="Q51" s="50">
        <v>0</v>
      </c>
      <c r="R51" s="50">
        <v>0</v>
      </c>
      <c r="S51" s="50"/>
      <c r="T51" s="50">
        <v>0</v>
      </c>
      <c r="U51" s="50">
        <v>4.5</v>
      </c>
      <c r="V51" s="50">
        <v>9.1</v>
      </c>
      <c r="W51" s="50">
        <v>9.1</v>
      </c>
      <c r="X51" s="50">
        <v>9.1</v>
      </c>
      <c r="Y51" s="50">
        <v>9.1</v>
      </c>
      <c r="Z51" s="50">
        <v>9.1</v>
      </c>
      <c r="AA51" s="50"/>
      <c r="AB51" s="48">
        <v>4.5</v>
      </c>
      <c r="AC51" s="48">
        <v>4.5</v>
      </c>
      <c r="AD51" s="48">
        <v>4.5</v>
      </c>
      <c r="AE51" s="48">
        <v>4.5</v>
      </c>
      <c r="AF51" s="48">
        <v>4.5</v>
      </c>
      <c r="AG51" s="136">
        <v>14.1</v>
      </c>
      <c r="AH51" s="54">
        <f t="shared" si="2"/>
        <v>11</v>
      </c>
      <c r="AI51" s="55">
        <f t="shared" si="3"/>
        <v>0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13.8</v>
      </c>
      <c r="C52" s="48">
        <v>5.7</v>
      </c>
      <c r="D52" s="48">
        <v>14</v>
      </c>
      <c r="E52" s="48">
        <v>14</v>
      </c>
      <c r="F52" s="48">
        <v>14</v>
      </c>
      <c r="G52" s="48">
        <v>6</v>
      </c>
      <c r="H52" s="48">
        <v>7</v>
      </c>
      <c r="I52" s="48">
        <v>7</v>
      </c>
      <c r="J52" s="48">
        <v>7</v>
      </c>
      <c r="K52" s="48">
        <v>0</v>
      </c>
      <c r="L52" s="48">
        <v>0</v>
      </c>
      <c r="M52" s="50">
        <v>0</v>
      </c>
      <c r="N52" s="50">
        <v>7</v>
      </c>
      <c r="O52" s="50">
        <v>6.8</v>
      </c>
      <c r="P52" s="50">
        <v>7.1</v>
      </c>
      <c r="Q52" s="50">
        <v>7.1</v>
      </c>
      <c r="R52" s="50">
        <v>7.1</v>
      </c>
      <c r="S52" s="50"/>
      <c r="T52" s="50">
        <v>13.9</v>
      </c>
      <c r="U52" s="50">
        <v>13.9</v>
      </c>
      <c r="V52" s="50">
        <v>13.9</v>
      </c>
      <c r="W52" s="50">
        <v>13.9</v>
      </c>
      <c r="X52" s="50">
        <v>13.9</v>
      </c>
      <c r="Y52" s="50">
        <v>13.9</v>
      </c>
      <c r="Z52" s="50">
        <v>13.9</v>
      </c>
      <c r="AA52" s="50"/>
      <c r="AB52" s="48">
        <v>13.7</v>
      </c>
      <c r="AC52" s="48">
        <v>13.7</v>
      </c>
      <c r="AD52" s="48">
        <v>13.7</v>
      </c>
      <c r="AE52" s="48">
        <v>13.7</v>
      </c>
      <c r="AF52" s="48">
        <v>4</v>
      </c>
      <c r="AG52" s="136">
        <v>14</v>
      </c>
      <c r="AH52" s="54">
        <f t="shared" si="2"/>
        <v>14</v>
      </c>
      <c r="AI52" s="55">
        <f t="shared" si="3"/>
        <v>0</v>
      </c>
      <c r="AK52" s="56"/>
    </row>
    <row r="53" spans="1:41" x14ac:dyDescent="0.25">
      <c r="A53" s="60" t="s">
        <v>33</v>
      </c>
      <c r="B53" s="48">
        <v>6.1</v>
      </c>
      <c r="C53" s="48">
        <v>6.1</v>
      </c>
      <c r="D53" s="48">
        <v>6.1</v>
      </c>
      <c r="E53" s="48">
        <v>6.1</v>
      </c>
      <c r="F53" s="48">
        <v>6.1</v>
      </c>
      <c r="G53" s="48">
        <v>6.1</v>
      </c>
      <c r="H53" s="48">
        <v>6.1</v>
      </c>
      <c r="I53" s="48">
        <v>6.1</v>
      </c>
      <c r="J53" s="48">
        <v>6.1</v>
      </c>
      <c r="K53" s="48">
        <v>6.1</v>
      </c>
      <c r="L53" s="48">
        <v>6.1</v>
      </c>
      <c r="M53" s="50">
        <v>6.2</v>
      </c>
      <c r="N53" s="50">
        <v>6.2</v>
      </c>
      <c r="O53" s="50">
        <v>6.2</v>
      </c>
      <c r="P53" s="50">
        <v>6.2</v>
      </c>
      <c r="Q53" s="50">
        <v>6.2</v>
      </c>
      <c r="R53" s="50">
        <v>6.2</v>
      </c>
      <c r="S53" s="50"/>
      <c r="T53" s="50">
        <v>6.2</v>
      </c>
      <c r="U53" s="50">
        <v>6.2</v>
      </c>
      <c r="V53" s="50">
        <v>6.2</v>
      </c>
      <c r="W53" s="50">
        <v>6.2</v>
      </c>
      <c r="X53" s="50">
        <v>6.2</v>
      </c>
      <c r="Y53" s="50">
        <v>6.2</v>
      </c>
      <c r="Z53" s="50">
        <v>6.2</v>
      </c>
      <c r="AA53" s="50"/>
      <c r="AB53" s="48">
        <v>6.3</v>
      </c>
      <c r="AC53" s="48">
        <v>6.3</v>
      </c>
      <c r="AD53" s="48">
        <v>6.3</v>
      </c>
      <c r="AE53" s="48">
        <v>6.3</v>
      </c>
      <c r="AF53" s="48">
        <v>6.3</v>
      </c>
      <c r="AG53" s="136">
        <v>10.050000000000001</v>
      </c>
      <c r="AH53" s="54">
        <f t="shared" si="2"/>
        <v>6.3</v>
      </c>
      <c r="AI53" s="55">
        <f t="shared" si="3"/>
        <v>6.1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50">
        <v>6.2</v>
      </c>
      <c r="N54" s="50">
        <v>6.2</v>
      </c>
      <c r="O54" s="50">
        <v>6.2</v>
      </c>
      <c r="P54" s="50">
        <v>6.2</v>
      </c>
      <c r="Q54" s="50">
        <v>6.2</v>
      </c>
      <c r="R54" s="50">
        <v>6.2</v>
      </c>
      <c r="S54" s="50"/>
      <c r="T54" s="50">
        <v>6.2</v>
      </c>
      <c r="U54" s="50">
        <v>6.2</v>
      </c>
      <c r="V54" s="50">
        <v>6.2</v>
      </c>
      <c r="W54" s="50">
        <v>6.2</v>
      </c>
      <c r="X54" s="50">
        <v>6.2</v>
      </c>
      <c r="Y54" s="50">
        <v>6.2</v>
      </c>
      <c r="Z54" s="50">
        <v>6.2</v>
      </c>
      <c r="AA54" s="50"/>
      <c r="AB54" s="48">
        <v>6.2</v>
      </c>
      <c r="AC54" s="48">
        <v>6.2</v>
      </c>
      <c r="AD54" s="48">
        <v>6.2</v>
      </c>
      <c r="AE54" s="48">
        <v>6.2</v>
      </c>
      <c r="AF54" s="48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10">AG220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 t="shared" ref="B56" si="11">SUM(B43:B55)</f>
        <v>419.74000000000007</v>
      </c>
      <c r="C56" s="66">
        <f t="shared" ref="C56:AG56" si="12">SUM(C43:C55)</f>
        <v>409.84000000000003</v>
      </c>
      <c r="D56" s="66">
        <f t="shared" si="12"/>
        <v>415.34000000000003</v>
      </c>
      <c r="E56" s="66">
        <f t="shared" si="12"/>
        <v>415.34000000000003</v>
      </c>
      <c r="F56" s="66">
        <f t="shared" si="12"/>
        <v>415.34000000000003</v>
      </c>
      <c r="G56" s="66">
        <f t="shared" si="12"/>
        <v>407.34000000000003</v>
      </c>
      <c r="H56" s="66">
        <f t="shared" si="12"/>
        <v>389.04</v>
      </c>
      <c r="I56" s="66">
        <f t="shared" si="12"/>
        <v>386.84000000000003</v>
      </c>
      <c r="J56" s="66">
        <f t="shared" si="12"/>
        <v>386.84000000000003</v>
      </c>
      <c r="K56" s="66">
        <f t="shared" si="12"/>
        <v>373.04</v>
      </c>
      <c r="L56" s="66">
        <f t="shared" ref="L56" si="13">SUM(L43:L55)</f>
        <v>381.24</v>
      </c>
      <c r="M56" s="66">
        <f t="shared" si="12"/>
        <v>391.64000000000004</v>
      </c>
      <c r="N56" s="66">
        <f t="shared" si="12"/>
        <v>397.24</v>
      </c>
      <c r="O56" s="66">
        <f t="shared" si="12"/>
        <v>387.04000000000008</v>
      </c>
      <c r="P56" s="66">
        <f t="shared" si="12"/>
        <v>376.94</v>
      </c>
      <c r="Q56" s="66">
        <f t="shared" si="12"/>
        <v>376.53999999999996</v>
      </c>
      <c r="R56" s="66">
        <f t="shared" si="12"/>
        <v>376.53999999999996</v>
      </c>
      <c r="S56" s="66">
        <f t="shared" si="12"/>
        <v>3.54</v>
      </c>
      <c r="T56" s="66">
        <f t="shared" si="12"/>
        <v>389.43999999999994</v>
      </c>
      <c r="U56" s="66">
        <f t="shared" si="12"/>
        <v>408.13999999999993</v>
      </c>
      <c r="V56" s="66">
        <f t="shared" si="12"/>
        <v>385.34</v>
      </c>
      <c r="W56" s="66">
        <f t="shared" si="12"/>
        <v>385.34</v>
      </c>
      <c r="X56" s="66">
        <f t="shared" si="12"/>
        <v>385.34</v>
      </c>
      <c r="Y56" s="66">
        <f t="shared" si="12"/>
        <v>385.34</v>
      </c>
      <c r="Z56" s="66">
        <f t="shared" si="12"/>
        <v>385.34</v>
      </c>
      <c r="AA56" s="66">
        <f t="shared" si="12"/>
        <v>3.54</v>
      </c>
      <c r="AB56" s="66">
        <f t="shared" si="12"/>
        <v>322.34000000000003</v>
      </c>
      <c r="AC56" s="66">
        <f t="shared" si="12"/>
        <v>370.04</v>
      </c>
      <c r="AD56" s="66">
        <f t="shared" si="12"/>
        <v>370.04</v>
      </c>
      <c r="AE56" s="66">
        <f t="shared" si="12"/>
        <v>370.04</v>
      </c>
      <c r="AF56" s="66">
        <f t="shared" si="12"/>
        <v>360.34000000000003</v>
      </c>
      <c r="AG56" s="143">
        <f t="shared" si="12"/>
        <v>489.91</v>
      </c>
      <c r="AH56" s="54">
        <f t="shared" si="2"/>
        <v>419.74000000000007</v>
      </c>
      <c r="AI56" s="55">
        <f t="shared" si="3"/>
        <v>3.54</v>
      </c>
      <c r="AK56" s="56"/>
    </row>
    <row r="57" spans="1:41" x14ac:dyDescent="0.25">
      <c r="A57" s="57" t="s">
        <v>37</v>
      </c>
      <c r="B57" s="50">
        <v>10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29.9</v>
      </c>
      <c r="N57" s="50">
        <v>10.199999999999999</v>
      </c>
      <c r="O57" s="50">
        <v>29.7</v>
      </c>
      <c r="P57" s="50">
        <v>29.7</v>
      </c>
      <c r="Q57" s="50">
        <v>29.9</v>
      </c>
      <c r="R57" s="50">
        <v>10.7</v>
      </c>
      <c r="S57" s="50"/>
      <c r="T57" s="50">
        <v>10.7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/>
      <c r="AB57" s="50">
        <v>60</v>
      </c>
      <c r="AC57" s="50">
        <v>35</v>
      </c>
      <c r="AD57" s="50">
        <v>35</v>
      </c>
      <c r="AE57" s="50">
        <v>14</v>
      </c>
      <c r="AF57" s="50">
        <v>0</v>
      </c>
      <c r="AG57" s="135">
        <v>60</v>
      </c>
      <c r="AH57" s="54">
        <f t="shared" si="2"/>
        <v>60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4.7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15.2</v>
      </c>
      <c r="N58" s="48">
        <v>6.1</v>
      </c>
      <c r="O58" s="48">
        <v>16.100000000000001</v>
      </c>
      <c r="P58" s="48">
        <v>16.100000000000001</v>
      </c>
      <c r="Q58" s="48">
        <v>16</v>
      </c>
      <c r="R58" s="48">
        <v>6.1</v>
      </c>
      <c r="S58" s="48"/>
      <c r="T58" s="48">
        <v>6.1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/>
      <c r="AB58" s="48">
        <v>30</v>
      </c>
      <c r="AC58" s="48">
        <v>19</v>
      </c>
      <c r="AD58" s="48">
        <v>19</v>
      </c>
      <c r="AE58" s="48">
        <v>11</v>
      </c>
      <c r="AF58" s="48">
        <v>0</v>
      </c>
      <c r="AG58" s="136">
        <v>32</v>
      </c>
      <c r="AH58" s="54">
        <f t="shared" si="2"/>
        <v>30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1.7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5.6</v>
      </c>
      <c r="N59" s="70">
        <v>2.2000000000000002</v>
      </c>
      <c r="O59" s="70">
        <v>5.9</v>
      </c>
      <c r="P59" s="70">
        <v>5.9</v>
      </c>
      <c r="Q59" s="70">
        <v>5.9</v>
      </c>
      <c r="R59" s="70">
        <v>2.2000000000000002</v>
      </c>
      <c r="S59" s="70"/>
      <c r="T59" s="70">
        <v>2.2000000000000002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70"/>
      <c r="AB59" s="70">
        <v>11</v>
      </c>
      <c r="AC59" s="70">
        <v>7</v>
      </c>
      <c r="AD59" s="70">
        <v>7</v>
      </c>
      <c r="AE59" s="70">
        <v>4.2</v>
      </c>
      <c r="AF59" s="70">
        <v>0</v>
      </c>
      <c r="AG59" s="137">
        <v>14</v>
      </c>
      <c r="AH59" s="54">
        <f t="shared" si="2"/>
        <v>11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 t="shared" ref="B60" si="14">SUM(B57:B59)</f>
        <v>16.399999999999999</v>
      </c>
      <c r="C60" s="66">
        <f t="shared" ref="C60:AG60" si="15">SUM(C57:C59)</f>
        <v>0</v>
      </c>
      <c r="D60" s="66">
        <f t="shared" si="15"/>
        <v>0</v>
      </c>
      <c r="E60" s="66">
        <f t="shared" si="15"/>
        <v>0</v>
      </c>
      <c r="F60" s="66">
        <f t="shared" si="15"/>
        <v>0</v>
      </c>
      <c r="G60" s="66">
        <f t="shared" si="15"/>
        <v>0</v>
      </c>
      <c r="H60" s="66">
        <f t="shared" si="15"/>
        <v>0</v>
      </c>
      <c r="I60" s="66">
        <f t="shared" si="15"/>
        <v>0</v>
      </c>
      <c r="J60" s="66">
        <f t="shared" si="15"/>
        <v>0</v>
      </c>
      <c r="K60" s="66">
        <f t="shared" si="15"/>
        <v>0</v>
      </c>
      <c r="L60" s="66">
        <f t="shared" si="15"/>
        <v>0</v>
      </c>
      <c r="M60" s="66">
        <f t="shared" si="15"/>
        <v>50.699999999999996</v>
      </c>
      <c r="N60" s="66">
        <f t="shared" si="15"/>
        <v>18.499999999999996</v>
      </c>
      <c r="O60" s="66">
        <f t="shared" si="15"/>
        <v>51.699999999999996</v>
      </c>
      <c r="P60" s="66">
        <f t="shared" si="15"/>
        <v>51.699999999999996</v>
      </c>
      <c r="Q60" s="66">
        <f t="shared" si="15"/>
        <v>51.8</v>
      </c>
      <c r="R60" s="66">
        <f t="shared" si="15"/>
        <v>18.999999999999996</v>
      </c>
      <c r="S60" s="66">
        <f t="shared" si="15"/>
        <v>0</v>
      </c>
      <c r="T60" s="66">
        <f t="shared" si="15"/>
        <v>18.999999999999996</v>
      </c>
      <c r="U60" s="66">
        <f t="shared" si="15"/>
        <v>0</v>
      </c>
      <c r="V60" s="66">
        <f t="shared" si="15"/>
        <v>0</v>
      </c>
      <c r="W60" s="66">
        <f t="shared" si="15"/>
        <v>0</v>
      </c>
      <c r="X60" s="66">
        <f t="shared" si="15"/>
        <v>0</v>
      </c>
      <c r="Y60" s="66">
        <f t="shared" si="15"/>
        <v>0</v>
      </c>
      <c r="Z60" s="66">
        <f t="shared" si="15"/>
        <v>0</v>
      </c>
      <c r="AA60" s="66">
        <f t="shared" si="15"/>
        <v>0</v>
      </c>
      <c r="AB60" s="66">
        <f t="shared" si="15"/>
        <v>101</v>
      </c>
      <c r="AC60" s="66">
        <f t="shared" si="15"/>
        <v>61</v>
      </c>
      <c r="AD60" s="66">
        <f t="shared" si="15"/>
        <v>61</v>
      </c>
      <c r="AE60" s="66">
        <f t="shared" si="15"/>
        <v>29.2</v>
      </c>
      <c r="AF60" s="66">
        <f t="shared" si="15"/>
        <v>0</v>
      </c>
      <c r="AG60" s="143">
        <f t="shared" si="15"/>
        <v>106</v>
      </c>
      <c r="AH60" s="54">
        <f t="shared" si="2"/>
        <v>101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21.5</v>
      </c>
      <c r="C61" s="50">
        <v>27.1</v>
      </c>
      <c r="D61" s="50">
        <v>24.9</v>
      </c>
      <c r="E61" s="50">
        <v>11.9</v>
      </c>
      <c r="F61" s="50">
        <v>12.9</v>
      </c>
      <c r="G61" s="50">
        <v>9.9</v>
      </c>
      <c r="H61" s="50">
        <v>5.7</v>
      </c>
      <c r="I61" s="50">
        <v>1.2</v>
      </c>
      <c r="J61" s="50">
        <v>10</v>
      </c>
      <c r="K61" s="50">
        <v>26</v>
      </c>
      <c r="L61" s="50">
        <v>32</v>
      </c>
      <c r="M61" s="50">
        <v>39</v>
      </c>
      <c r="N61" s="50">
        <v>40.6</v>
      </c>
      <c r="O61" s="50">
        <v>45.6</v>
      </c>
      <c r="P61" s="50">
        <v>49.3</v>
      </c>
      <c r="Q61" s="50">
        <v>48.7</v>
      </c>
      <c r="R61" s="50">
        <v>50.5</v>
      </c>
      <c r="S61" s="50"/>
      <c r="T61" s="50">
        <v>34.4</v>
      </c>
      <c r="U61" s="50">
        <v>40.799999999999997</v>
      </c>
      <c r="V61" s="50">
        <v>50.2</v>
      </c>
      <c r="W61" s="50">
        <v>47.7</v>
      </c>
      <c r="X61" s="50">
        <v>38.5</v>
      </c>
      <c r="Y61" s="50">
        <v>36.4</v>
      </c>
      <c r="Z61" s="50">
        <v>36</v>
      </c>
      <c r="AA61" s="50"/>
      <c r="AB61" s="50">
        <v>61</v>
      </c>
      <c r="AC61" s="50">
        <v>61</v>
      </c>
      <c r="AD61" s="50">
        <v>68</v>
      </c>
      <c r="AE61" s="50">
        <v>65</v>
      </c>
      <c r="AF61" s="50">
        <v>31</v>
      </c>
      <c r="AG61" s="135"/>
      <c r="AH61" s="54">
        <f t="shared" si="2"/>
        <v>68</v>
      </c>
      <c r="AI61" s="55">
        <f t="shared" si="3"/>
        <v>1.2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/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/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-324.10000000000002</v>
      </c>
      <c r="C63" s="48">
        <v>-367</v>
      </c>
      <c r="D63" s="48">
        <v>-374.5</v>
      </c>
      <c r="E63" s="48">
        <v>-372</v>
      </c>
      <c r="F63" s="48">
        <v>-370</v>
      </c>
      <c r="G63" s="48">
        <v>-384</v>
      </c>
      <c r="H63" s="48">
        <v>-410</v>
      </c>
      <c r="I63" s="48">
        <v>-396</v>
      </c>
      <c r="J63" s="48">
        <v>-380</v>
      </c>
      <c r="K63" s="48">
        <v>-363</v>
      </c>
      <c r="L63" s="48">
        <v>-364.5</v>
      </c>
      <c r="M63" s="48">
        <v>-367.6</v>
      </c>
      <c r="N63" s="48">
        <v>-368.8</v>
      </c>
      <c r="O63" s="48">
        <v>-369.9</v>
      </c>
      <c r="P63" s="48">
        <v>-356</v>
      </c>
      <c r="Q63" s="48">
        <v>-368</v>
      </c>
      <c r="R63" s="48">
        <v>-369.8</v>
      </c>
      <c r="S63" s="48"/>
      <c r="T63" s="48">
        <v>-370</v>
      </c>
      <c r="U63" s="48">
        <v>-385</v>
      </c>
      <c r="V63" s="48">
        <v>-418</v>
      </c>
      <c r="W63" s="48">
        <v>-402</v>
      </c>
      <c r="X63" s="48">
        <v>-439</v>
      </c>
      <c r="Y63" s="48">
        <v>-425</v>
      </c>
      <c r="Z63" s="48">
        <v>-391</v>
      </c>
      <c r="AA63" s="48"/>
      <c r="AB63" s="48">
        <v>-320</v>
      </c>
      <c r="AC63" s="48">
        <v>-290</v>
      </c>
      <c r="AD63" s="48">
        <v>-340</v>
      </c>
      <c r="AE63" s="48">
        <v>-365</v>
      </c>
      <c r="AF63" s="48">
        <v>-368</v>
      </c>
      <c r="AG63" s="140"/>
      <c r="AH63" s="54">
        <f t="shared" si="2"/>
        <v>-290</v>
      </c>
      <c r="AI63" s="55">
        <f t="shared" si="3"/>
        <v>-439</v>
      </c>
      <c r="AK63" s="56"/>
    </row>
    <row r="64" spans="1:41" x14ac:dyDescent="0.25">
      <c r="A64" s="60" t="s">
        <v>44</v>
      </c>
      <c r="B64" s="71">
        <v>0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/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140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/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5</v>
      </c>
      <c r="C66" s="72">
        <v>5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/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0</v>
      </c>
      <c r="AD66" s="72">
        <v>0</v>
      </c>
      <c r="AE66" s="72">
        <v>0</v>
      </c>
      <c r="AF66" s="72">
        <v>0</v>
      </c>
      <c r="AG66" s="140"/>
      <c r="AH66" s="54">
        <f t="shared" si="2"/>
        <v>5</v>
      </c>
      <c r="AI66" s="55">
        <f t="shared" si="3"/>
        <v>0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/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5</v>
      </c>
      <c r="AF67" s="72">
        <v>5</v>
      </c>
      <c r="AG67" s="140"/>
      <c r="AH67" s="54">
        <f t="shared" si="2"/>
        <v>5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1">
        <v>0</v>
      </c>
      <c r="D68" s="71">
        <v>0</v>
      </c>
      <c r="E68" s="71">
        <v>0</v>
      </c>
      <c r="F68" s="71">
        <v>0</v>
      </c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/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1">
        <v>0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/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4">
        <v>0</v>
      </c>
      <c r="C70" s="74">
        <v>0</v>
      </c>
      <c r="D70" s="74">
        <v>0</v>
      </c>
      <c r="E70" s="74">
        <v>0</v>
      </c>
      <c r="F70" s="74">
        <v>0</v>
      </c>
      <c r="G70" s="74">
        <v>0</v>
      </c>
      <c r="H70" s="74">
        <v>0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/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4">
        <v>0</v>
      </c>
      <c r="C71" s="74">
        <v>0</v>
      </c>
      <c r="D71" s="74">
        <v>0</v>
      </c>
      <c r="E71" s="74">
        <v>0</v>
      </c>
      <c r="F71" s="74">
        <v>0</v>
      </c>
      <c r="G71" s="74">
        <v>0</v>
      </c>
      <c r="H71" s="74">
        <v>0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/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 t="shared" ref="B72" si="16">SUMIF(B61:B71,"&gt;0")</f>
        <v>26.5</v>
      </c>
      <c r="C72" s="66">
        <f t="shared" ref="C72:L72" si="17">SUMIF(C61:C71,"&gt;0")</f>
        <v>32.1</v>
      </c>
      <c r="D72" s="66">
        <f t="shared" si="17"/>
        <v>24.9</v>
      </c>
      <c r="E72" s="66">
        <f t="shared" si="17"/>
        <v>11.9</v>
      </c>
      <c r="F72" s="66">
        <f t="shared" si="17"/>
        <v>12.9</v>
      </c>
      <c r="G72" s="66">
        <f t="shared" si="17"/>
        <v>9.9</v>
      </c>
      <c r="H72" s="66">
        <f t="shared" si="17"/>
        <v>5.7</v>
      </c>
      <c r="I72" s="66">
        <f t="shared" si="17"/>
        <v>1.2</v>
      </c>
      <c r="J72" s="66">
        <f t="shared" si="17"/>
        <v>10</v>
      </c>
      <c r="K72" s="66">
        <f t="shared" si="17"/>
        <v>26</v>
      </c>
      <c r="L72" s="66">
        <f t="shared" si="17"/>
        <v>32</v>
      </c>
      <c r="M72" s="66">
        <f>SUMIF(M61:M71,"&gt;0")</f>
        <v>39</v>
      </c>
      <c r="N72" s="66">
        <f t="shared" ref="N72:AF72" si="18">SUMIF(N61:N71,"&gt;0")</f>
        <v>40.6</v>
      </c>
      <c r="O72" s="66">
        <f t="shared" si="18"/>
        <v>45.6</v>
      </c>
      <c r="P72" s="66">
        <f t="shared" si="18"/>
        <v>49.3</v>
      </c>
      <c r="Q72" s="66">
        <f t="shared" si="18"/>
        <v>48.7</v>
      </c>
      <c r="R72" s="66">
        <f t="shared" si="18"/>
        <v>50.5</v>
      </c>
      <c r="S72" s="66">
        <f t="shared" si="18"/>
        <v>0</v>
      </c>
      <c r="T72" s="66">
        <f t="shared" si="18"/>
        <v>34.4</v>
      </c>
      <c r="U72" s="66">
        <f t="shared" si="18"/>
        <v>40.799999999999997</v>
      </c>
      <c r="V72" s="66">
        <f t="shared" si="18"/>
        <v>50.2</v>
      </c>
      <c r="W72" s="66">
        <f t="shared" si="18"/>
        <v>47.7</v>
      </c>
      <c r="X72" s="66">
        <f t="shared" si="18"/>
        <v>38.5</v>
      </c>
      <c r="Y72" s="66">
        <f t="shared" si="18"/>
        <v>36.4</v>
      </c>
      <c r="Z72" s="66">
        <f t="shared" si="18"/>
        <v>36</v>
      </c>
      <c r="AA72" s="66">
        <f t="shared" si="18"/>
        <v>0</v>
      </c>
      <c r="AB72" s="66">
        <f t="shared" si="18"/>
        <v>61</v>
      </c>
      <c r="AC72" s="66">
        <f t="shared" si="18"/>
        <v>61</v>
      </c>
      <c r="AD72" s="66">
        <f t="shared" si="18"/>
        <v>68</v>
      </c>
      <c r="AE72" s="66">
        <f t="shared" si="18"/>
        <v>70</v>
      </c>
      <c r="AF72" s="66">
        <f t="shared" si="18"/>
        <v>36</v>
      </c>
      <c r="AG72" s="138">
        <f>SUM(AG61:AG71)</f>
        <v>0</v>
      </c>
      <c r="AH72" s="54">
        <f t="shared" si="2"/>
        <v>70</v>
      </c>
      <c r="AI72" s="55">
        <f t="shared" si="3"/>
        <v>0</v>
      </c>
      <c r="AK72" s="56"/>
    </row>
    <row r="73" spans="1:88" x14ac:dyDescent="0.25">
      <c r="A73" s="57" t="s">
        <v>53</v>
      </c>
      <c r="B73" s="71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/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/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>
        <v>0</v>
      </c>
      <c r="C75" s="74">
        <v>0</v>
      </c>
      <c r="D75" s="74">
        <v>0</v>
      </c>
      <c r="E75" s="74">
        <v>0</v>
      </c>
      <c r="F75" s="74">
        <v>0</v>
      </c>
      <c r="G75" s="74">
        <v>0</v>
      </c>
      <c r="H75" s="74">
        <v>0</v>
      </c>
      <c r="I75" s="74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/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>B38+B42+B60+B56+B72+B76</f>
        <v>1791.74</v>
      </c>
      <c r="C77" s="75">
        <f t="shared" ref="C77:AF77" si="19">C38+C42+C60+C56+C72+C76</f>
        <v>1771.04</v>
      </c>
      <c r="D77" s="75">
        <f t="shared" si="19"/>
        <v>1769.3400000000001</v>
      </c>
      <c r="E77" s="75">
        <f t="shared" si="19"/>
        <v>1730.8400000000001</v>
      </c>
      <c r="F77" s="75">
        <f t="shared" si="19"/>
        <v>1721.8400000000001</v>
      </c>
      <c r="G77" s="75">
        <f t="shared" si="19"/>
        <v>1723.3400000000001</v>
      </c>
      <c r="H77" s="75">
        <f t="shared" si="19"/>
        <v>1700.84</v>
      </c>
      <c r="I77" s="75">
        <f t="shared" si="19"/>
        <v>1640.14</v>
      </c>
      <c r="J77" s="75">
        <f t="shared" si="19"/>
        <v>1668.94</v>
      </c>
      <c r="K77" s="75">
        <f t="shared" si="19"/>
        <v>1631.44</v>
      </c>
      <c r="L77" s="75">
        <f t="shared" si="19"/>
        <v>1656.0400000000002</v>
      </c>
      <c r="M77" s="75">
        <f t="shared" si="19"/>
        <v>1739.1400000000003</v>
      </c>
      <c r="N77" s="75">
        <f t="shared" si="19"/>
        <v>1714.14</v>
      </c>
      <c r="O77" s="75">
        <f t="shared" si="19"/>
        <v>1811.8400000000001</v>
      </c>
      <c r="P77" s="75">
        <f t="shared" si="19"/>
        <v>1805.54</v>
      </c>
      <c r="Q77" s="75">
        <f t="shared" si="19"/>
        <v>1829.6399999999999</v>
      </c>
      <c r="R77" s="75">
        <f t="shared" si="19"/>
        <v>1812.6399999999999</v>
      </c>
      <c r="S77" s="75" t="e">
        <f t="shared" si="19"/>
        <v>#VALUE!</v>
      </c>
      <c r="T77" s="75">
        <f t="shared" si="19"/>
        <v>1779.2400000000002</v>
      </c>
      <c r="U77" s="75">
        <f t="shared" si="19"/>
        <v>1770.34</v>
      </c>
      <c r="V77" s="75">
        <f t="shared" si="19"/>
        <v>1734.94</v>
      </c>
      <c r="W77" s="75">
        <f t="shared" si="19"/>
        <v>1727.44</v>
      </c>
      <c r="X77" s="75">
        <f t="shared" si="19"/>
        <v>1718.24</v>
      </c>
      <c r="Y77" s="75">
        <f t="shared" si="19"/>
        <v>1716.14</v>
      </c>
      <c r="Z77" s="75">
        <f t="shared" si="19"/>
        <v>1715.74</v>
      </c>
      <c r="AA77" s="75" t="e">
        <f t="shared" si="19"/>
        <v>#VALUE!</v>
      </c>
      <c r="AB77" s="75">
        <f t="shared" si="19"/>
        <v>1764.2400000000002</v>
      </c>
      <c r="AC77" s="75">
        <f t="shared" si="19"/>
        <v>1822.84</v>
      </c>
      <c r="AD77" s="75">
        <f t="shared" si="19"/>
        <v>1837.44</v>
      </c>
      <c r="AE77" s="75">
        <f t="shared" si="19"/>
        <v>1807.64</v>
      </c>
      <c r="AF77" s="75">
        <f t="shared" si="19"/>
        <v>1734.7400000000002</v>
      </c>
      <c r="AG77" s="143">
        <f>AG38+AG42+AG60+AG56+AG72+AG76</f>
        <v>1855.1900000000003</v>
      </c>
      <c r="AH77" s="54" t="e">
        <f t="shared" si="2"/>
        <v>#VALUE!</v>
      </c>
      <c r="AI77" s="55" t="e">
        <f t="shared" si="3"/>
        <v>#VALUE!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0</v>
      </c>
      <c r="AI78" s="55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>B77+B78</f>
        <v>1791.74</v>
      </c>
      <c r="C79" s="75">
        <f t="shared" ref="C79:AF79" si="20">C77+C78</f>
        <v>1771.04</v>
      </c>
      <c r="D79" s="75">
        <f t="shared" si="20"/>
        <v>1769.3400000000001</v>
      </c>
      <c r="E79" s="75">
        <f t="shared" si="20"/>
        <v>1730.8400000000001</v>
      </c>
      <c r="F79" s="75">
        <f t="shared" si="20"/>
        <v>1721.8400000000001</v>
      </c>
      <c r="G79" s="75">
        <f t="shared" si="20"/>
        <v>1723.3400000000001</v>
      </c>
      <c r="H79" s="75">
        <f t="shared" si="20"/>
        <v>1700.84</v>
      </c>
      <c r="I79" s="75">
        <f t="shared" si="20"/>
        <v>1640.14</v>
      </c>
      <c r="J79" s="75">
        <f t="shared" si="20"/>
        <v>1668.94</v>
      </c>
      <c r="K79" s="75">
        <f t="shared" si="20"/>
        <v>1631.44</v>
      </c>
      <c r="L79" s="75">
        <f t="shared" si="20"/>
        <v>1656.0400000000002</v>
      </c>
      <c r="M79" s="75">
        <f t="shared" si="20"/>
        <v>1739.1400000000003</v>
      </c>
      <c r="N79" s="75">
        <f t="shared" si="20"/>
        <v>1714.14</v>
      </c>
      <c r="O79" s="75">
        <f t="shared" si="20"/>
        <v>1811.8400000000001</v>
      </c>
      <c r="P79" s="75">
        <f t="shared" si="20"/>
        <v>1805.54</v>
      </c>
      <c r="Q79" s="75">
        <f t="shared" si="20"/>
        <v>1829.6399999999999</v>
      </c>
      <c r="R79" s="75">
        <f t="shared" si="20"/>
        <v>1812.6399999999999</v>
      </c>
      <c r="S79" s="75" t="e">
        <f t="shared" si="20"/>
        <v>#VALUE!</v>
      </c>
      <c r="T79" s="75">
        <f t="shared" si="20"/>
        <v>1779.2400000000002</v>
      </c>
      <c r="U79" s="75">
        <f t="shared" si="20"/>
        <v>1770.34</v>
      </c>
      <c r="V79" s="75">
        <f t="shared" si="20"/>
        <v>1734.94</v>
      </c>
      <c r="W79" s="75">
        <f t="shared" si="20"/>
        <v>1727.44</v>
      </c>
      <c r="X79" s="75">
        <f t="shared" si="20"/>
        <v>1718.24</v>
      </c>
      <c r="Y79" s="75">
        <f t="shared" si="20"/>
        <v>1716.14</v>
      </c>
      <c r="Z79" s="75">
        <f t="shared" si="20"/>
        <v>1715.74</v>
      </c>
      <c r="AA79" s="75" t="e">
        <f t="shared" si="20"/>
        <v>#VALUE!</v>
      </c>
      <c r="AB79" s="75">
        <f t="shared" si="20"/>
        <v>1764.2400000000002</v>
      </c>
      <c r="AC79" s="75">
        <f t="shared" si="20"/>
        <v>1822.84</v>
      </c>
      <c r="AD79" s="75">
        <f t="shared" si="20"/>
        <v>1837.44</v>
      </c>
      <c r="AE79" s="75">
        <f t="shared" si="20"/>
        <v>1807.64</v>
      </c>
      <c r="AF79" s="75">
        <f t="shared" si="20"/>
        <v>1734.7400000000002</v>
      </c>
      <c r="AG79" s="138">
        <f>AG76+AG72+AG60+AG56+AG38+AG78</f>
        <v>1317.0900000000001</v>
      </c>
      <c r="AH79" s="54" t="e">
        <f t="shared" si="2"/>
        <v>#VALUE!</v>
      </c>
      <c r="AI79" s="55" t="e">
        <f t="shared" si="3"/>
        <v>#VALUE!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:AF80" si="21">B79-B87</f>
        <v>1467.6399999999999</v>
      </c>
      <c r="C80" s="75">
        <f t="shared" si="21"/>
        <v>1404.04</v>
      </c>
      <c r="D80" s="75">
        <f t="shared" si="21"/>
        <v>1394.8400000000001</v>
      </c>
      <c r="E80" s="75">
        <f t="shared" si="21"/>
        <v>1358.8400000000001</v>
      </c>
      <c r="F80" s="75">
        <f t="shared" si="21"/>
        <v>1351.8400000000001</v>
      </c>
      <c r="G80" s="75">
        <f t="shared" si="21"/>
        <v>1339.3400000000001</v>
      </c>
      <c r="H80" s="75">
        <f t="shared" si="21"/>
        <v>1290.8399999999999</v>
      </c>
      <c r="I80" s="75">
        <f t="shared" si="21"/>
        <v>1244.1400000000001</v>
      </c>
      <c r="J80" s="75">
        <f t="shared" si="21"/>
        <v>1288.94</v>
      </c>
      <c r="K80" s="75">
        <f t="shared" si="21"/>
        <v>1268.44</v>
      </c>
      <c r="L80" s="75">
        <f t="shared" si="21"/>
        <v>1291.5400000000002</v>
      </c>
      <c r="M80" s="75">
        <f t="shared" si="21"/>
        <v>1371.5400000000004</v>
      </c>
      <c r="N80" s="75">
        <f t="shared" si="21"/>
        <v>1345.3400000000001</v>
      </c>
      <c r="O80" s="75">
        <f t="shared" si="21"/>
        <v>1441.94</v>
      </c>
      <c r="P80" s="75">
        <f t="shared" si="21"/>
        <v>1449.54</v>
      </c>
      <c r="Q80" s="75">
        <f t="shared" si="21"/>
        <v>1461.6399999999999</v>
      </c>
      <c r="R80" s="75">
        <f t="shared" si="21"/>
        <v>1442.84</v>
      </c>
      <c r="S80" s="75" t="e">
        <f t="shared" si="21"/>
        <v>#VALUE!</v>
      </c>
      <c r="T80" s="75">
        <f t="shared" si="21"/>
        <v>1409.2400000000002</v>
      </c>
      <c r="U80" s="75">
        <f t="shared" si="21"/>
        <v>1385.34</v>
      </c>
      <c r="V80" s="75">
        <f t="shared" si="21"/>
        <v>1316.94</v>
      </c>
      <c r="W80" s="75">
        <f t="shared" si="21"/>
        <v>1325.44</v>
      </c>
      <c r="X80" s="75">
        <f t="shared" si="21"/>
        <v>1279.24</v>
      </c>
      <c r="Y80" s="75">
        <f t="shared" si="21"/>
        <v>1291.1400000000001</v>
      </c>
      <c r="Z80" s="75">
        <f t="shared" si="21"/>
        <v>1324.74</v>
      </c>
      <c r="AA80" s="75" t="e">
        <f t="shared" si="21"/>
        <v>#VALUE!</v>
      </c>
      <c r="AB80" s="75">
        <f t="shared" si="21"/>
        <v>1444.2400000000002</v>
      </c>
      <c r="AC80" s="75">
        <f t="shared" si="21"/>
        <v>1532.84</v>
      </c>
      <c r="AD80" s="75">
        <f t="shared" si="21"/>
        <v>1497.44</v>
      </c>
      <c r="AE80" s="75">
        <f t="shared" si="21"/>
        <v>1442.64</v>
      </c>
      <c r="AF80" s="75">
        <f t="shared" si="21"/>
        <v>1366.7400000000002</v>
      </c>
      <c r="AG80" s="138"/>
      <c r="AH80" s="54" t="e">
        <f t="shared" ref="AH80:AH97" si="22">MAX(B80:AF80)</f>
        <v>#VALUE!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>IF(B64&lt;0,B64*-1,0)</f>
        <v>0</v>
      </c>
      <c r="C81" s="71">
        <f t="shared" ref="C81:AF81" si="23">IF(C64&lt;0,C64*-1,0)</f>
        <v>0</v>
      </c>
      <c r="D81" s="71">
        <f t="shared" si="23"/>
        <v>0</v>
      </c>
      <c r="E81" s="71">
        <f t="shared" si="23"/>
        <v>0</v>
      </c>
      <c r="F81" s="71">
        <f t="shared" si="23"/>
        <v>0</v>
      </c>
      <c r="G81" s="71">
        <f t="shared" si="23"/>
        <v>0</v>
      </c>
      <c r="H81" s="71">
        <f t="shared" si="23"/>
        <v>0</v>
      </c>
      <c r="I81" s="71">
        <f t="shared" si="23"/>
        <v>0</v>
      </c>
      <c r="J81" s="71">
        <f t="shared" si="23"/>
        <v>0</v>
      </c>
      <c r="K81" s="71">
        <f t="shared" si="23"/>
        <v>0</v>
      </c>
      <c r="L81" s="71">
        <f t="shared" si="23"/>
        <v>0</v>
      </c>
      <c r="M81" s="71">
        <f t="shared" si="23"/>
        <v>0</v>
      </c>
      <c r="N81" s="71">
        <f t="shared" si="23"/>
        <v>0</v>
      </c>
      <c r="O81" s="71">
        <f t="shared" si="23"/>
        <v>0</v>
      </c>
      <c r="P81" s="71">
        <f t="shared" si="23"/>
        <v>0</v>
      </c>
      <c r="Q81" s="71">
        <f t="shared" si="23"/>
        <v>0</v>
      </c>
      <c r="R81" s="71">
        <f t="shared" si="23"/>
        <v>0</v>
      </c>
      <c r="S81" s="71">
        <f t="shared" si="23"/>
        <v>0</v>
      </c>
      <c r="T81" s="71">
        <f t="shared" si="23"/>
        <v>0</v>
      </c>
      <c r="U81" s="71">
        <f t="shared" si="23"/>
        <v>0</v>
      </c>
      <c r="V81" s="71">
        <f t="shared" si="23"/>
        <v>0</v>
      </c>
      <c r="W81" s="71">
        <f t="shared" si="23"/>
        <v>0</v>
      </c>
      <c r="X81" s="71">
        <f t="shared" si="23"/>
        <v>0</v>
      </c>
      <c r="Y81" s="71">
        <f t="shared" si="23"/>
        <v>0</v>
      </c>
      <c r="Z81" s="71">
        <f t="shared" si="23"/>
        <v>0</v>
      </c>
      <c r="AA81" s="71">
        <f t="shared" si="23"/>
        <v>0</v>
      </c>
      <c r="AB81" s="71">
        <f t="shared" si="23"/>
        <v>0</v>
      </c>
      <c r="AC81" s="71">
        <f t="shared" si="23"/>
        <v>0</v>
      </c>
      <c r="AD81" s="71">
        <f t="shared" si="23"/>
        <v>0</v>
      </c>
      <c r="AE81" s="71">
        <f t="shared" si="23"/>
        <v>0</v>
      </c>
      <c r="AF81" s="71">
        <f t="shared" si="23"/>
        <v>0</v>
      </c>
      <c r="AG81" s="135"/>
      <c r="AH81" s="54">
        <f t="shared" si="22"/>
        <v>0</v>
      </c>
      <c r="AI81" s="55">
        <f t="shared" ref="AI81:AI97" si="24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>IF(B62&lt;0,B62*-1,0)</f>
        <v>0</v>
      </c>
      <c r="C82" s="71">
        <f t="shared" ref="C82:AF82" si="25">IF(C62&lt;0,C62*-1,0)</f>
        <v>0</v>
      </c>
      <c r="D82" s="71">
        <f t="shared" si="25"/>
        <v>0</v>
      </c>
      <c r="E82" s="71">
        <f t="shared" si="25"/>
        <v>0</v>
      </c>
      <c r="F82" s="71">
        <f t="shared" si="25"/>
        <v>0</v>
      </c>
      <c r="G82" s="71">
        <f t="shared" si="25"/>
        <v>0</v>
      </c>
      <c r="H82" s="71">
        <f t="shared" si="25"/>
        <v>0</v>
      </c>
      <c r="I82" s="71">
        <f t="shared" si="25"/>
        <v>0</v>
      </c>
      <c r="J82" s="71">
        <f t="shared" si="25"/>
        <v>0</v>
      </c>
      <c r="K82" s="71">
        <f t="shared" si="25"/>
        <v>0</v>
      </c>
      <c r="L82" s="71">
        <f t="shared" si="25"/>
        <v>0</v>
      </c>
      <c r="M82" s="71">
        <f t="shared" si="25"/>
        <v>0</v>
      </c>
      <c r="N82" s="71">
        <f t="shared" si="25"/>
        <v>0</v>
      </c>
      <c r="O82" s="71">
        <f t="shared" si="25"/>
        <v>0</v>
      </c>
      <c r="P82" s="71">
        <f t="shared" si="25"/>
        <v>0</v>
      </c>
      <c r="Q82" s="71">
        <f t="shared" si="25"/>
        <v>0</v>
      </c>
      <c r="R82" s="71">
        <f t="shared" si="25"/>
        <v>0</v>
      </c>
      <c r="S82" s="71">
        <f t="shared" si="25"/>
        <v>0</v>
      </c>
      <c r="T82" s="71">
        <f t="shared" si="25"/>
        <v>0</v>
      </c>
      <c r="U82" s="71">
        <f t="shared" si="25"/>
        <v>0</v>
      </c>
      <c r="V82" s="71">
        <f t="shared" si="25"/>
        <v>0</v>
      </c>
      <c r="W82" s="71">
        <f t="shared" si="25"/>
        <v>0</v>
      </c>
      <c r="X82" s="71">
        <f t="shared" si="25"/>
        <v>0</v>
      </c>
      <c r="Y82" s="71">
        <f t="shared" si="25"/>
        <v>0</v>
      </c>
      <c r="Z82" s="71">
        <f t="shared" si="25"/>
        <v>0</v>
      </c>
      <c r="AA82" s="71">
        <f t="shared" si="25"/>
        <v>0</v>
      </c>
      <c r="AB82" s="71">
        <f t="shared" si="25"/>
        <v>0</v>
      </c>
      <c r="AC82" s="71">
        <f t="shared" si="25"/>
        <v>0</v>
      </c>
      <c r="AD82" s="71">
        <f t="shared" si="25"/>
        <v>0</v>
      </c>
      <c r="AE82" s="71">
        <f t="shared" si="25"/>
        <v>0</v>
      </c>
      <c r="AF82" s="71">
        <f t="shared" si="25"/>
        <v>0</v>
      </c>
      <c r="AG82" s="136"/>
      <c r="AH82" s="54">
        <f t="shared" si="22"/>
        <v>0</v>
      </c>
      <c r="AI82" s="55">
        <f t="shared" si="24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>IF(B65&lt;0,B65*-1,0)</f>
        <v>0</v>
      </c>
      <c r="C83" s="71">
        <f t="shared" ref="C83:AF83" si="26">IF(C65&lt;0,C65*-1,0)</f>
        <v>0</v>
      </c>
      <c r="D83" s="71">
        <f t="shared" si="26"/>
        <v>0</v>
      </c>
      <c r="E83" s="71">
        <f t="shared" si="26"/>
        <v>0</v>
      </c>
      <c r="F83" s="71">
        <f t="shared" si="26"/>
        <v>0</v>
      </c>
      <c r="G83" s="71">
        <f t="shared" si="26"/>
        <v>0</v>
      </c>
      <c r="H83" s="71">
        <f t="shared" si="26"/>
        <v>0</v>
      </c>
      <c r="I83" s="71">
        <f t="shared" si="26"/>
        <v>0</v>
      </c>
      <c r="J83" s="71">
        <f t="shared" si="26"/>
        <v>0</v>
      </c>
      <c r="K83" s="71">
        <f t="shared" si="26"/>
        <v>0</v>
      </c>
      <c r="L83" s="71">
        <f t="shared" si="26"/>
        <v>0</v>
      </c>
      <c r="M83" s="71">
        <f t="shared" si="26"/>
        <v>0</v>
      </c>
      <c r="N83" s="71">
        <f t="shared" si="26"/>
        <v>0</v>
      </c>
      <c r="O83" s="71">
        <f t="shared" si="26"/>
        <v>0</v>
      </c>
      <c r="P83" s="71">
        <f t="shared" si="26"/>
        <v>0</v>
      </c>
      <c r="Q83" s="71">
        <f t="shared" si="26"/>
        <v>0</v>
      </c>
      <c r="R83" s="71">
        <f t="shared" si="26"/>
        <v>0</v>
      </c>
      <c r="S83" s="71">
        <f t="shared" si="26"/>
        <v>0</v>
      </c>
      <c r="T83" s="71">
        <f t="shared" si="26"/>
        <v>0</v>
      </c>
      <c r="U83" s="71">
        <f t="shared" si="26"/>
        <v>0</v>
      </c>
      <c r="V83" s="71">
        <f t="shared" si="26"/>
        <v>0</v>
      </c>
      <c r="W83" s="71">
        <f t="shared" si="26"/>
        <v>0</v>
      </c>
      <c r="X83" s="71">
        <f t="shared" si="26"/>
        <v>0</v>
      </c>
      <c r="Y83" s="71">
        <f t="shared" si="26"/>
        <v>0</v>
      </c>
      <c r="Z83" s="71">
        <f t="shared" si="26"/>
        <v>0</v>
      </c>
      <c r="AA83" s="71">
        <f t="shared" si="26"/>
        <v>0</v>
      </c>
      <c r="AB83" s="71">
        <f t="shared" si="26"/>
        <v>0</v>
      </c>
      <c r="AC83" s="71">
        <f t="shared" si="26"/>
        <v>0</v>
      </c>
      <c r="AD83" s="71">
        <f t="shared" si="26"/>
        <v>0</v>
      </c>
      <c r="AE83" s="71">
        <f t="shared" si="26"/>
        <v>0</v>
      </c>
      <c r="AF83" s="71">
        <f t="shared" si="26"/>
        <v>0</v>
      </c>
      <c r="AG83" s="144"/>
      <c r="AH83" s="54">
        <f t="shared" si="22"/>
        <v>0</v>
      </c>
      <c r="AI83" s="55">
        <f t="shared" si="24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>IF(B63&lt;0,B63*-1,0)</f>
        <v>324.10000000000002</v>
      </c>
      <c r="C84" s="71">
        <f t="shared" ref="C84:AF84" si="27">IF(C63&lt;0,C63*-1,0)</f>
        <v>367</v>
      </c>
      <c r="D84" s="71">
        <f t="shared" si="27"/>
        <v>374.5</v>
      </c>
      <c r="E84" s="71">
        <f t="shared" si="27"/>
        <v>372</v>
      </c>
      <c r="F84" s="71">
        <f t="shared" si="27"/>
        <v>370</v>
      </c>
      <c r="G84" s="71">
        <f t="shared" si="27"/>
        <v>384</v>
      </c>
      <c r="H84" s="71">
        <f t="shared" si="27"/>
        <v>410</v>
      </c>
      <c r="I84" s="71">
        <f t="shared" si="27"/>
        <v>396</v>
      </c>
      <c r="J84" s="71">
        <f t="shared" si="27"/>
        <v>380</v>
      </c>
      <c r="K84" s="71">
        <f t="shared" si="27"/>
        <v>363</v>
      </c>
      <c r="L84" s="71">
        <f t="shared" si="27"/>
        <v>364.5</v>
      </c>
      <c r="M84" s="71">
        <f t="shared" si="27"/>
        <v>367.6</v>
      </c>
      <c r="N84" s="71">
        <f t="shared" si="27"/>
        <v>368.8</v>
      </c>
      <c r="O84" s="71">
        <f t="shared" si="27"/>
        <v>369.9</v>
      </c>
      <c r="P84" s="71">
        <f t="shared" si="27"/>
        <v>356</v>
      </c>
      <c r="Q84" s="71">
        <f t="shared" si="27"/>
        <v>368</v>
      </c>
      <c r="R84" s="71">
        <f t="shared" si="27"/>
        <v>369.8</v>
      </c>
      <c r="S84" s="71">
        <f t="shared" si="27"/>
        <v>0</v>
      </c>
      <c r="T84" s="71">
        <f t="shared" si="27"/>
        <v>370</v>
      </c>
      <c r="U84" s="71">
        <f t="shared" si="27"/>
        <v>385</v>
      </c>
      <c r="V84" s="71">
        <f t="shared" si="27"/>
        <v>418</v>
      </c>
      <c r="W84" s="71">
        <f t="shared" si="27"/>
        <v>402</v>
      </c>
      <c r="X84" s="71">
        <f t="shared" si="27"/>
        <v>439</v>
      </c>
      <c r="Y84" s="71">
        <f t="shared" si="27"/>
        <v>425</v>
      </c>
      <c r="Z84" s="71">
        <f t="shared" si="27"/>
        <v>391</v>
      </c>
      <c r="AA84" s="71">
        <f t="shared" si="27"/>
        <v>0</v>
      </c>
      <c r="AB84" s="71">
        <f t="shared" si="27"/>
        <v>320</v>
      </c>
      <c r="AC84" s="71">
        <f t="shared" si="27"/>
        <v>290</v>
      </c>
      <c r="AD84" s="71">
        <f t="shared" si="27"/>
        <v>340</v>
      </c>
      <c r="AE84" s="71">
        <f t="shared" si="27"/>
        <v>365</v>
      </c>
      <c r="AF84" s="71">
        <f t="shared" si="27"/>
        <v>368</v>
      </c>
      <c r="AG84" s="144"/>
      <c r="AH84" s="54">
        <f t="shared" si="22"/>
        <v>439</v>
      </c>
      <c r="AI84" s="55">
        <f t="shared" si="24"/>
        <v>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>IF(B61&lt;0,B61*-1,0)</f>
        <v>0</v>
      </c>
      <c r="C85" s="71">
        <f t="shared" ref="C85:AF85" si="28">IF(C61&lt;0,C61*-1,0)</f>
        <v>0</v>
      </c>
      <c r="D85" s="71">
        <f t="shared" si="28"/>
        <v>0</v>
      </c>
      <c r="E85" s="71">
        <f t="shared" si="28"/>
        <v>0</v>
      </c>
      <c r="F85" s="71">
        <f t="shared" si="28"/>
        <v>0</v>
      </c>
      <c r="G85" s="71">
        <f t="shared" si="28"/>
        <v>0</v>
      </c>
      <c r="H85" s="71">
        <f t="shared" si="28"/>
        <v>0</v>
      </c>
      <c r="I85" s="71">
        <f t="shared" si="28"/>
        <v>0</v>
      </c>
      <c r="J85" s="71">
        <f t="shared" si="28"/>
        <v>0</v>
      </c>
      <c r="K85" s="71">
        <f t="shared" si="28"/>
        <v>0</v>
      </c>
      <c r="L85" s="71">
        <f t="shared" si="28"/>
        <v>0</v>
      </c>
      <c r="M85" s="71">
        <f t="shared" si="28"/>
        <v>0</v>
      </c>
      <c r="N85" s="71">
        <f t="shared" si="28"/>
        <v>0</v>
      </c>
      <c r="O85" s="71">
        <f t="shared" si="28"/>
        <v>0</v>
      </c>
      <c r="P85" s="71">
        <f t="shared" si="28"/>
        <v>0</v>
      </c>
      <c r="Q85" s="71">
        <f t="shared" si="28"/>
        <v>0</v>
      </c>
      <c r="R85" s="71">
        <f t="shared" si="28"/>
        <v>0</v>
      </c>
      <c r="S85" s="71">
        <f t="shared" si="28"/>
        <v>0</v>
      </c>
      <c r="T85" s="71">
        <f t="shared" si="28"/>
        <v>0</v>
      </c>
      <c r="U85" s="71">
        <f t="shared" si="28"/>
        <v>0</v>
      </c>
      <c r="V85" s="71">
        <f t="shared" si="28"/>
        <v>0</v>
      </c>
      <c r="W85" s="71">
        <f t="shared" si="28"/>
        <v>0</v>
      </c>
      <c r="X85" s="71">
        <f t="shared" si="28"/>
        <v>0</v>
      </c>
      <c r="Y85" s="71">
        <f t="shared" si="28"/>
        <v>0</v>
      </c>
      <c r="Z85" s="71">
        <f t="shared" si="28"/>
        <v>0</v>
      </c>
      <c r="AA85" s="71">
        <f t="shared" si="28"/>
        <v>0</v>
      </c>
      <c r="AB85" s="71">
        <f t="shared" si="28"/>
        <v>0</v>
      </c>
      <c r="AC85" s="71">
        <f t="shared" si="28"/>
        <v>0</v>
      </c>
      <c r="AD85" s="71">
        <f t="shared" si="28"/>
        <v>0</v>
      </c>
      <c r="AE85" s="71">
        <f t="shared" si="28"/>
        <v>0</v>
      </c>
      <c r="AF85" s="71">
        <f t="shared" si="28"/>
        <v>0</v>
      </c>
      <c r="AG85" s="144"/>
      <c r="AH85" s="54">
        <f t="shared" si="22"/>
        <v>0</v>
      </c>
      <c r="AI85" s="55">
        <f t="shared" si="24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/>
      <c r="AD86" s="74"/>
      <c r="AE86" s="74"/>
      <c r="AF86" s="74"/>
      <c r="AG86" s="141"/>
      <c r="AH86" s="54">
        <f t="shared" si="22"/>
        <v>0</v>
      </c>
      <c r="AI86" s="55">
        <f t="shared" si="24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>SUM(B81:B86)</f>
        <v>324.10000000000002</v>
      </c>
      <c r="C87" s="66">
        <f t="shared" ref="C87:AF87" si="29">SUM(C81:C86)</f>
        <v>367</v>
      </c>
      <c r="D87" s="66">
        <f t="shared" si="29"/>
        <v>374.5</v>
      </c>
      <c r="E87" s="66">
        <f t="shared" si="29"/>
        <v>372</v>
      </c>
      <c r="F87" s="66">
        <f t="shared" si="29"/>
        <v>370</v>
      </c>
      <c r="G87" s="66">
        <f t="shared" si="29"/>
        <v>384</v>
      </c>
      <c r="H87" s="66">
        <f t="shared" si="29"/>
        <v>410</v>
      </c>
      <c r="I87" s="66">
        <f t="shared" si="29"/>
        <v>396</v>
      </c>
      <c r="J87" s="66">
        <f t="shared" si="29"/>
        <v>380</v>
      </c>
      <c r="K87" s="66">
        <f t="shared" si="29"/>
        <v>363</v>
      </c>
      <c r="L87" s="66">
        <f t="shared" si="29"/>
        <v>364.5</v>
      </c>
      <c r="M87" s="66">
        <f t="shared" si="29"/>
        <v>367.6</v>
      </c>
      <c r="N87" s="66">
        <f t="shared" si="29"/>
        <v>368.8</v>
      </c>
      <c r="O87" s="66">
        <f t="shared" si="29"/>
        <v>369.9</v>
      </c>
      <c r="P87" s="66">
        <f t="shared" si="29"/>
        <v>356</v>
      </c>
      <c r="Q87" s="66">
        <f t="shared" si="29"/>
        <v>368</v>
      </c>
      <c r="R87" s="66">
        <f t="shared" si="29"/>
        <v>369.8</v>
      </c>
      <c r="S87" s="66">
        <f t="shared" si="29"/>
        <v>0</v>
      </c>
      <c r="T87" s="66">
        <f t="shared" si="29"/>
        <v>370</v>
      </c>
      <c r="U87" s="66">
        <f t="shared" si="29"/>
        <v>385</v>
      </c>
      <c r="V87" s="66">
        <f t="shared" si="29"/>
        <v>418</v>
      </c>
      <c r="W87" s="66">
        <f t="shared" si="29"/>
        <v>402</v>
      </c>
      <c r="X87" s="66">
        <f t="shared" si="29"/>
        <v>439</v>
      </c>
      <c r="Y87" s="66">
        <f t="shared" si="29"/>
        <v>425</v>
      </c>
      <c r="Z87" s="66">
        <f t="shared" si="29"/>
        <v>391</v>
      </c>
      <c r="AA87" s="66">
        <f t="shared" si="29"/>
        <v>0</v>
      </c>
      <c r="AB87" s="66">
        <f t="shared" si="29"/>
        <v>320</v>
      </c>
      <c r="AC87" s="66">
        <f t="shared" si="29"/>
        <v>290</v>
      </c>
      <c r="AD87" s="66">
        <f t="shared" si="29"/>
        <v>340</v>
      </c>
      <c r="AE87" s="66">
        <f t="shared" si="29"/>
        <v>365</v>
      </c>
      <c r="AF87" s="66">
        <f t="shared" si="29"/>
        <v>368</v>
      </c>
      <c r="AG87" s="138"/>
      <c r="AH87" s="54">
        <f t="shared" si="22"/>
        <v>439</v>
      </c>
      <c r="AI87" s="55">
        <f t="shared" si="24"/>
        <v>0</v>
      </c>
      <c r="AK87" s="56"/>
    </row>
    <row r="88" spans="1:88" s="1" customFormat="1" ht="15.75" thickBot="1" x14ac:dyDescent="0.3">
      <c r="A88" s="65" t="s">
        <v>64</v>
      </c>
      <c r="B88" s="66">
        <f>B72-B87</f>
        <v>-297.60000000000002</v>
      </c>
      <c r="C88" s="66">
        <f t="shared" ref="C88:AF88" si="30">C72-C87</f>
        <v>-334.9</v>
      </c>
      <c r="D88" s="66">
        <f t="shared" si="30"/>
        <v>-349.6</v>
      </c>
      <c r="E88" s="66">
        <f t="shared" si="30"/>
        <v>-360.1</v>
      </c>
      <c r="F88" s="66">
        <f t="shared" si="30"/>
        <v>-357.1</v>
      </c>
      <c r="G88" s="66">
        <f t="shared" si="30"/>
        <v>-374.1</v>
      </c>
      <c r="H88" s="66">
        <f t="shared" si="30"/>
        <v>-404.3</v>
      </c>
      <c r="I88" s="66">
        <f t="shared" si="30"/>
        <v>-394.8</v>
      </c>
      <c r="J88" s="66">
        <f t="shared" si="30"/>
        <v>-370</v>
      </c>
      <c r="K88" s="66">
        <f t="shared" si="30"/>
        <v>-337</v>
      </c>
      <c r="L88" s="66">
        <f t="shared" si="30"/>
        <v>-332.5</v>
      </c>
      <c r="M88" s="66">
        <f t="shared" si="30"/>
        <v>-328.6</v>
      </c>
      <c r="N88" s="66">
        <f t="shared" si="30"/>
        <v>-328.2</v>
      </c>
      <c r="O88" s="66">
        <f t="shared" si="30"/>
        <v>-324.29999999999995</v>
      </c>
      <c r="P88" s="66">
        <f t="shared" si="30"/>
        <v>-306.7</v>
      </c>
      <c r="Q88" s="66">
        <f t="shared" si="30"/>
        <v>-319.3</v>
      </c>
      <c r="R88" s="66">
        <f t="shared" si="30"/>
        <v>-319.3</v>
      </c>
      <c r="S88" s="66">
        <f t="shared" si="30"/>
        <v>0</v>
      </c>
      <c r="T88" s="66">
        <f t="shared" si="30"/>
        <v>-335.6</v>
      </c>
      <c r="U88" s="66">
        <f t="shared" si="30"/>
        <v>-344.2</v>
      </c>
      <c r="V88" s="66">
        <f t="shared" si="30"/>
        <v>-367.8</v>
      </c>
      <c r="W88" s="66">
        <f t="shared" si="30"/>
        <v>-354.3</v>
      </c>
      <c r="X88" s="66">
        <f t="shared" si="30"/>
        <v>-400.5</v>
      </c>
      <c r="Y88" s="66">
        <f t="shared" si="30"/>
        <v>-388.6</v>
      </c>
      <c r="Z88" s="66">
        <f t="shared" si="30"/>
        <v>-355</v>
      </c>
      <c r="AA88" s="66">
        <f t="shared" si="30"/>
        <v>0</v>
      </c>
      <c r="AB88" s="66">
        <f t="shared" si="30"/>
        <v>-259</v>
      </c>
      <c r="AC88" s="66">
        <f t="shared" si="30"/>
        <v>-229</v>
      </c>
      <c r="AD88" s="66">
        <f t="shared" si="30"/>
        <v>-272</v>
      </c>
      <c r="AE88" s="66">
        <v>49.97</v>
      </c>
      <c r="AF88" s="66">
        <f t="shared" si="30"/>
        <v>-332</v>
      </c>
      <c r="AG88" s="138"/>
      <c r="AH88" s="54">
        <f t="shared" si="22"/>
        <v>49.97</v>
      </c>
      <c r="AI88" s="55">
        <f t="shared" si="24"/>
        <v>-404.3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50.000999999999998</v>
      </c>
      <c r="C89" s="80">
        <v>50.015999999999998</v>
      </c>
      <c r="D89" s="80">
        <v>49.947000000000003</v>
      </c>
      <c r="E89" s="80">
        <v>49.987000000000002</v>
      </c>
      <c r="F89" s="80">
        <v>49.987000000000002</v>
      </c>
      <c r="G89" s="80">
        <v>49.994999999999997</v>
      </c>
      <c r="H89" s="80">
        <v>49.999000000000002</v>
      </c>
      <c r="I89" s="80">
        <v>50.027000000000001</v>
      </c>
      <c r="J89" s="80">
        <v>50.023000000000003</v>
      </c>
      <c r="K89" s="80">
        <v>50.04</v>
      </c>
      <c r="L89" s="80">
        <v>50.042000000000002</v>
      </c>
      <c r="M89" s="80">
        <v>49.895000000000003</v>
      </c>
      <c r="N89" s="80">
        <v>49.966000000000001</v>
      </c>
      <c r="O89" s="80">
        <v>50.034999999999997</v>
      </c>
      <c r="P89" s="80">
        <v>50.05</v>
      </c>
      <c r="Q89" s="80">
        <v>50.09</v>
      </c>
      <c r="R89" s="80">
        <v>49.920999999999999</v>
      </c>
      <c r="S89" s="80"/>
      <c r="T89" s="80">
        <v>49.976999999999997</v>
      </c>
      <c r="U89" s="80">
        <v>50.037999999999997</v>
      </c>
      <c r="V89" s="80">
        <v>50.008000000000003</v>
      </c>
      <c r="W89" s="80">
        <v>50.027999999999999</v>
      </c>
      <c r="X89" s="80">
        <v>50.006999999999998</v>
      </c>
      <c r="Y89" s="80">
        <v>50.012999999999998</v>
      </c>
      <c r="Z89" s="80">
        <v>50.015999999999998</v>
      </c>
      <c r="AA89" s="80"/>
      <c r="AB89" s="80">
        <v>50.082999999999998</v>
      </c>
      <c r="AC89" s="80">
        <v>50.082999999999998</v>
      </c>
      <c r="AD89" s="80">
        <v>50.012999999999998</v>
      </c>
      <c r="AE89" s="80">
        <v>49.98</v>
      </c>
      <c r="AF89" s="80">
        <v>50</v>
      </c>
      <c r="AG89" s="145"/>
      <c r="AH89" s="54">
        <f t="shared" si="22"/>
        <v>50.09</v>
      </c>
      <c r="AI89" s="55">
        <f t="shared" si="24"/>
        <v>49.895000000000003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124.7</v>
      </c>
      <c r="C90" s="48">
        <v>125.4</v>
      </c>
      <c r="D90" s="48">
        <v>124.6</v>
      </c>
      <c r="E90" s="48">
        <v>123.9</v>
      </c>
      <c r="F90" s="48">
        <v>123.9</v>
      </c>
      <c r="G90" s="48">
        <v>124.8</v>
      </c>
      <c r="H90" s="48">
        <v>124.8</v>
      </c>
      <c r="I90" s="48">
        <v>126</v>
      </c>
      <c r="J90" s="48">
        <v>126</v>
      </c>
      <c r="K90" s="48">
        <v>126</v>
      </c>
      <c r="L90" s="48">
        <v>124.4</v>
      </c>
      <c r="M90" s="48">
        <v>124.1</v>
      </c>
      <c r="N90" s="48">
        <v>122.5</v>
      </c>
      <c r="O90" s="48">
        <v>123.8</v>
      </c>
      <c r="P90" s="48">
        <v>122.9</v>
      </c>
      <c r="Q90" s="48">
        <v>122.2</v>
      </c>
      <c r="R90" s="48">
        <v>121.4</v>
      </c>
      <c r="S90" s="48"/>
      <c r="T90" s="48">
        <v>123.2</v>
      </c>
      <c r="U90" s="48">
        <v>123.8</v>
      </c>
      <c r="V90" s="48">
        <v>125.6</v>
      </c>
      <c r="W90" s="48">
        <v>125.6</v>
      </c>
      <c r="X90" s="48">
        <v>124.9</v>
      </c>
      <c r="Y90" s="48">
        <v>124.5</v>
      </c>
      <c r="Z90" s="48">
        <v>124.4</v>
      </c>
      <c r="AA90" s="48"/>
      <c r="AB90" s="48">
        <v>124.8</v>
      </c>
      <c r="AC90" s="48">
        <v>124.8</v>
      </c>
      <c r="AD90" s="48">
        <v>126</v>
      </c>
      <c r="AE90" s="48">
        <v>124.6</v>
      </c>
      <c r="AF90" s="48">
        <v>125</v>
      </c>
      <c r="AG90" s="146"/>
      <c r="AH90" s="54">
        <f t="shared" si="22"/>
        <v>126</v>
      </c>
      <c r="AI90" s="55">
        <f t="shared" si="24"/>
        <v>121.4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129.9</v>
      </c>
      <c r="C91" s="48">
        <v>130.19999999999999</v>
      </c>
      <c r="D91" s="48">
        <v>129.9</v>
      </c>
      <c r="E91" s="48">
        <v>129</v>
      </c>
      <c r="F91" s="48">
        <v>129</v>
      </c>
      <c r="G91" s="48">
        <v>130</v>
      </c>
      <c r="H91" s="48">
        <v>130</v>
      </c>
      <c r="I91" s="48">
        <v>130</v>
      </c>
      <c r="J91" s="48">
        <v>130</v>
      </c>
      <c r="K91" s="48">
        <v>130</v>
      </c>
      <c r="L91" s="48">
        <v>1275</v>
      </c>
      <c r="M91" s="48">
        <v>127.7</v>
      </c>
      <c r="N91" s="48">
        <v>126.4</v>
      </c>
      <c r="O91" s="48">
        <v>127.2</v>
      </c>
      <c r="P91" s="48">
        <v>127.3</v>
      </c>
      <c r="Q91" s="48">
        <v>127.1</v>
      </c>
      <c r="R91" s="48">
        <v>126.1</v>
      </c>
      <c r="S91" s="48"/>
      <c r="T91" s="48">
        <v>127.6</v>
      </c>
      <c r="U91" s="48">
        <v>127.8</v>
      </c>
      <c r="V91" s="48">
        <v>129.4</v>
      </c>
      <c r="W91" s="48">
        <v>128.9</v>
      </c>
      <c r="X91" s="48">
        <v>128.5</v>
      </c>
      <c r="Y91" s="48">
        <v>127.7</v>
      </c>
      <c r="Z91" s="48">
        <v>127.6</v>
      </c>
      <c r="AA91" s="48"/>
      <c r="AB91" s="48">
        <v>127</v>
      </c>
      <c r="AC91" s="48">
        <v>127</v>
      </c>
      <c r="AD91" s="48">
        <v>129</v>
      </c>
      <c r="AE91" s="48">
        <v>129</v>
      </c>
      <c r="AF91" s="48">
        <v>130</v>
      </c>
      <c r="AG91" s="146"/>
      <c r="AH91" s="54">
        <f t="shared" si="22"/>
        <v>1275</v>
      </c>
      <c r="AI91" s="55">
        <f t="shared" si="24"/>
        <v>126.1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128</v>
      </c>
      <c r="C92" s="48">
        <v>131.69999999999999</v>
      </c>
      <c r="D92" s="48">
        <v>129.69999999999999</v>
      </c>
      <c r="E92" s="48">
        <v>129.69999999999999</v>
      </c>
      <c r="F92" s="48">
        <v>129.69999999999999</v>
      </c>
      <c r="G92" s="48">
        <v>18.600000000000001</v>
      </c>
      <c r="H92" s="48">
        <v>18.600000000000001</v>
      </c>
      <c r="I92" s="48">
        <v>130</v>
      </c>
      <c r="J92" s="48">
        <v>130</v>
      </c>
      <c r="K92" s="48">
        <v>130</v>
      </c>
      <c r="L92" s="48">
        <v>127.4</v>
      </c>
      <c r="M92" s="48">
        <v>127.1</v>
      </c>
      <c r="N92" s="48">
        <v>128.69999999999999</v>
      </c>
      <c r="O92" s="48">
        <v>128.5</v>
      </c>
      <c r="P92" s="48">
        <v>128.6</v>
      </c>
      <c r="Q92" s="48">
        <v>129</v>
      </c>
      <c r="R92" s="48">
        <v>127.6</v>
      </c>
      <c r="S92" s="48"/>
      <c r="T92" s="48">
        <v>128.80000000000001</v>
      </c>
      <c r="U92" s="48">
        <v>128.9</v>
      </c>
      <c r="V92" s="48">
        <v>130.4</v>
      </c>
      <c r="W92" s="48">
        <v>130</v>
      </c>
      <c r="X92" s="48">
        <v>128.9</v>
      </c>
      <c r="Y92" s="48">
        <v>130.4</v>
      </c>
      <c r="Z92" s="48">
        <v>129.6</v>
      </c>
      <c r="AA92" s="48"/>
      <c r="AB92" s="48">
        <v>126</v>
      </c>
      <c r="AC92" s="48">
        <v>126</v>
      </c>
      <c r="AD92" s="48">
        <v>131</v>
      </c>
      <c r="AE92" s="48">
        <v>129</v>
      </c>
      <c r="AF92" s="48">
        <v>128</v>
      </c>
      <c r="AG92" s="146"/>
      <c r="AH92" s="54">
        <f t="shared" si="22"/>
        <v>131.69999999999999</v>
      </c>
      <c r="AI92" s="55">
        <f t="shared" si="24"/>
        <v>18.600000000000001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>
        <v>134</v>
      </c>
      <c r="C93" s="48">
        <v>135.1</v>
      </c>
      <c r="D93" s="48">
        <v>134</v>
      </c>
      <c r="E93" s="48">
        <v>134.69999999999999</v>
      </c>
      <c r="F93" s="48">
        <v>134.69999999999999</v>
      </c>
      <c r="G93" s="48">
        <v>134</v>
      </c>
      <c r="H93" s="48">
        <v>134</v>
      </c>
      <c r="I93" s="48">
        <v>135</v>
      </c>
      <c r="J93" s="48">
        <v>135</v>
      </c>
      <c r="K93" s="48">
        <v>135</v>
      </c>
      <c r="L93" s="48">
        <v>132.1</v>
      </c>
      <c r="M93" s="48">
        <v>133.1</v>
      </c>
      <c r="N93" s="48">
        <v>134.19999999999999</v>
      </c>
      <c r="O93" s="48">
        <v>133.5</v>
      </c>
      <c r="P93" s="48">
        <v>133.30000000000001</v>
      </c>
      <c r="Q93" s="48">
        <v>134.30000000000001</v>
      </c>
      <c r="R93" s="48">
        <v>132.9</v>
      </c>
      <c r="S93" s="48"/>
      <c r="T93" s="48">
        <v>134.6</v>
      </c>
      <c r="U93" s="48">
        <v>134.5</v>
      </c>
      <c r="V93" s="48">
        <v>136</v>
      </c>
      <c r="W93" s="48">
        <v>134.9</v>
      </c>
      <c r="X93" s="48">
        <v>135.6</v>
      </c>
      <c r="Y93" s="48">
        <v>134.80000000000001</v>
      </c>
      <c r="Z93" s="48">
        <v>135.4</v>
      </c>
      <c r="AA93" s="48"/>
      <c r="AB93" s="48">
        <v>132</v>
      </c>
      <c r="AC93" s="48">
        <v>132</v>
      </c>
      <c r="AD93" s="48">
        <v>132</v>
      </c>
      <c r="AE93" s="48">
        <v>133</v>
      </c>
      <c r="AF93" s="48">
        <v>133.5</v>
      </c>
      <c r="AG93" s="146"/>
      <c r="AH93" s="54">
        <f t="shared" si="22"/>
        <v>136</v>
      </c>
      <c r="AI93" s="55">
        <f t="shared" si="24"/>
        <v>132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132.1</v>
      </c>
      <c r="C94" s="82">
        <v>134.4</v>
      </c>
      <c r="D94" s="82">
        <v>134.6</v>
      </c>
      <c r="E94" s="82">
        <v>134</v>
      </c>
      <c r="F94" s="82">
        <v>134</v>
      </c>
      <c r="G94" s="82">
        <v>134.6</v>
      </c>
      <c r="H94" s="82">
        <v>134.6</v>
      </c>
      <c r="I94" s="82">
        <v>132</v>
      </c>
      <c r="J94" s="82">
        <v>132</v>
      </c>
      <c r="K94" s="82">
        <v>132</v>
      </c>
      <c r="L94" s="82">
        <v>132.19999999999999</v>
      </c>
      <c r="M94" s="82">
        <v>133</v>
      </c>
      <c r="N94" s="82">
        <v>129.80000000000001</v>
      </c>
      <c r="O94" s="82">
        <v>132.9</v>
      </c>
      <c r="P94" s="82">
        <v>131.80000000000001</v>
      </c>
      <c r="Q94" s="82">
        <v>132.9</v>
      </c>
      <c r="R94" s="82">
        <v>132.4</v>
      </c>
      <c r="S94" s="82"/>
      <c r="T94" s="82">
        <v>131.30000000000001</v>
      </c>
      <c r="U94" s="82">
        <v>134.30000000000001</v>
      </c>
      <c r="V94" s="82">
        <v>133.6</v>
      </c>
      <c r="W94" s="82">
        <v>133.6</v>
      </c>
      <c r="X94" s="82">
        <v>132.9</v>
      </c>
      <c r="Y94" s="82">
        <v>135.1</v>
      </c>
      <c r="Z94" s="82">
        <v>132.19999999999999</v>
      </c>
      <c r="AA94" s="82"/>
      <c r="AB94" s="82">
        <v>131</v>
      </c>
      <c r="AC94" s="82">
        <v>131</v>
      </c>
      <c r="AD94" s="82">
        <v>131</v>
      </c>
      <c r="AE94" s="82">
        <v>131</v>
      </c>
      <c r="AF94" s="82">
        <v>132</v>
      </c>
      <c r="AG94" s="147"/>
      <c r="AH94" s="54">
        <f t="shared" si="22"/>
        <v>135.1</v>
      </c>
      <c r="AI94" s="55">
        <f t="shared" si="24"/>
        <v>129.80000000000001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130.9</v>
      </c>
      <c r="C95" s="48">
        <v>131.4</v>
      </c>
      <c r="D95" s="48">
        <v>129.30000000000001</v>
      </c>
      <c r="E95" s="48">
        <v>129</v>
      </c>
      <c r="F95" s="48">
        <v>129</v>
      </c>
      <c r="G95" s="48">
        <v>130.69999999999999</v>
      </c>
      <c r="H95" s="48">
        <v>130.69999999999999</v>
      </c>
      <c r="I95" s="48">
        <v>130.6</v>
      </c>
      <c r="J95" s="48">
        <v>130.6</v>
      </c>
      <c r="K95" s="48">
        <v>130.6</v>
      </c>
      <c r="L95" s="48">
        <v>125.5</v>
      </c>
      <c r="M95" s="48">
        <v>125.6</v>
      </c>
      <c r="N95" s="48">
        <v>121.9</v>
      </c>
      <c r="O95" s="48">
        <v>121.3</v>
      </c>
      <c r="P95" s="48">
        <v>129.80000000000001</v>
      </c>
      <c r="Q95" s="48">
        <v>128.6</v>
      </c>
      <c r="R95" s="48">
        <v>122.7</v>
      </c>
      <c r="S95" s="48"/>
      <c r="T95" s="48">
        <v>129.19999999999999</v>
      </c>
      <c r="U95" s="48">
        <v>134</v>
      </c>
      <c r="V95" s="48">
        <v>133.80000000000001</v>
      </c>
      <c r="W95" s="48">
        <v>123.4</v>
      </c>
      <c r="X95" s="48">
        <v>127.9</v>
      </c>
      <c r="Y95" s="48">
        <v>130.5</v>
      </c>
      <c r="Z95" s="48">
        <v>126.4</v>
      </c>
      <c r="AA95" s="48"/>
      <c r="AB95" s="48">
        <v>124</v>
      </c>
      <c r="AC95" s="48">
        <v>124</v>
      </c>
      <c r="AD95" s="48">
        <v>124</v>
      </c>
      <c r="AE95" s="48">
        <v>129</v>
      </c>
      <c r="AF95" s="48">
        <v>123</v>
      </c>
      <c r="AG95" s="146"/>
      <c r="AH95" s="54">
        <f t="shared" si="22"/>
        <v>134</v>
      </c>
      <c r="AI95" s="55">
        <f t="shared" si="24"/>
        <v>121.3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65.7</v>
      </c>
      <c r="C96" s="83">
        <v>66</v>
      </c>
      <c r="D96" s="83">
        <v>65.900000000000006</v>
      </c>
      <c r="E96" s="83">
        <v>65.599999999999994</v>
      </c>
      <c r="F96" s="83">
        <v>65.599999999999994</v>
      </c>
      <c r="G96" s="83">
        <v>65.8</v>
      </c>
      <c r="H96" s="83">
        <v>65.8</v>
      </c>
      <c r="I96" s="83">
        <v>65.8</v>
      </c>
      <c r="J96" s="83">
        <v>65.8</v>
      </c>
      <c r="K96" s="83">
        <v>65.8</v>
      </c>
      <c r="L96" s="83">
        <v>65</v>
      </c>
      <c r="M96" s="83">
        <v>64.5</v>
      </c>
      <c r="N96" s="83">
        <v>63.9</v>
      </c>
      <c r="O96" s="83">
        <v>64.3</v>
      </c>
      <c r="P96" s="83">
        <v>64.3</v>
      </c>
      <c r="Q96" s="83">
        <v>64.2</v>
      </c>
      <c r="R96" s="83">
        <v>63.9</v>
      </c>
      <c r="S96" s="83"/>
      <c r="T96" s="83">
        <v>64.599999999999994</v>
      </c>
      <c r="U96" s="83">
        <v>64.5</v>
      </c>
      <c r="V96" s="83">
        <v>65.400000000000006</v>
      </c>
      <c r="W96" s="83">
        <v>65.400000000000006</v>
      </c>
      <c r="X96" s="83">
        <v>65.099999999999994</v>
      </c>
      <c r="Y96" s="83">
        <v>64.8</v>
      </c>
      <c r="Z96" s="83">
        <v>64.599999999999994</v>
      </c>
      <c r="AA96" s="83"/>
      <c r="AB96" s="83">
        <v>64.599999999999994</v>
      </c>
      <c r="AC96" s="83">
        <v>64.599999999999994</v>
      </c>
      <c r="AD96" s="83">
        <v>64.599999999999994</v>
      </c>
      <c r="AE96" s="83">
        <v>65.3</v>
      </c>
      <c r="AF96" s="83">
        <v>65.7</v>
      </c>
      <c r="AG96" s="148"/>
      <c r="AH96" s="54">
        <f t="shared" si="22"/>
        <v>66</v>
      </c>
      <c r="AI96" s="55">
        <f t="shared" si="24"/>
        <v>63.9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22"/>
        <v>0</v>
      </c>
      <c r="AI97" s="55">
        <f t="shared" si="24"/>
        <v>0</v>
      </c>
    </row>
    <row r="98" spans="1:37" ht="15.75" thickBot="1" x14ac:dyDescent="0.3">
      <c r="A98" s="85" t="s">
        <v>73</v>
      </c>
      <c r="B98" s="86">
        <f t="shared" ref="B98:AF98" si="31">SUM(B15,B18,B21:B22,B46,B48:B49,B51,B53,B99:B102,B123,B129,B135,B144,B146,B158,B165,B168:B169,B176,B178,B180,B184:B186,B188:B190,B195,B201:B202,B204:B206,B214,B219)</f>
        <v>62.500000000000014</v>
      </c>
      <c r="C98" s="86">
        <f t="shared" si="31"/>
        <v>190.44</v>
      </c>
      <c r="D98" s="86">
        <f t="shared" si="31"/>
        <v>55.839999999999982</v>
      </c>
      <c r="E98" s="86">
        <f t="shared" si="31"/>
        <v>40.239999999999981</v>
      </c>
      <c r="F98" s="86">
        <f t="shared" si="31"/>
        <v>36.540000000000006</v>
      </c>
      <c r="G98" s="86">
        <f t="shared" si="31"/>
        <v>51.539999999999992</v>
      </c>
      <c r="H98" s="86">
        <f t="shared" si="31"/>
        <v>70.739999999999981</v>
      </c>
      <c r="I98" s="86">
        <f t="shared" si="31"/>
        <v>69.44</v>
      </c>
      <c r="J98" s="86">
        <f t="shared" si="31"/>
        <v>76.339999999999975</v>
      </c>
      <c r="K98" s="86">
        <f t="shared" si="31"/>
        <v>127.53999999999999</v>
      </c>
      <c r="L98" s="86">
        <f t="shared" si="31"/>
        <v>158.94</v>
      </c>
      <c r="M98" s="86">
        <f t="shared" si="31"/>
        <v>201.04</v>
      </c>
      <c r="N98" s="86">
        <f t="shared" si="31"/>
        <v>220.54</v>
      </c>
      <c r="O98" s="86">
        <f t="shared" si="31"/>
        <v>192.84000000000003</v>
      </c>
      <c r="P98" s="86">
        <f t="shared" si="31"/>
        <v>192.04000000000002</v>
      </c>
      <c r="Q98" s="86">
        <f t="shared" si="31"/>
        <v>169.29999999999998</v>
      </c>
      <c r="R98" s="86">
        <f t="shared" si="31"/>
        <v>165.70000000000002</v>
      </c>
      <c r="S98" s="86">
        <f t="shared" si="31"/>
        <v>0</v>
      </c>
      <c r="T98" s="86">
        <f t="shared" si="31"/>
        <v>108.89999999999998</v>
      </c>
      <c r="U98" s="86">
        <f t="shared" si="31"/>
        <v>115.69999999999997</v>
      </c>
      <c r="V98" s="86">
        <f t="shared" si="31"/>
        <v>98.499999999999986</v>
      </c>
      <c r="W98" s="86">
        <f t="shared" si="31"/>
        <v>109.6</v>
      </c>
      <c r="X98" s="86">
        <f t="shared" si="31"/>
        <v>113.69999999999997</v>
      </c>
      <c r="Y98" s="86">
        <f t="shared" si="31"/>
        <v>142.79999999999998</v>
      </c>
      <c r="Z98" s="86">
        <f t="shared" si="31"/>
        <v>172</v>
      </c>
      <c r="AA98" s="86">
        <f t="shared" si="31"/>
        <v>0</v>
      </c>
      <c r="AB98" s="86">
        <f t="shared" si="31"/>
        <v>212.1</v>
      </c>
      <c r="AC98" s="86">
        <f t="shared" si="31"/>
        <v>285.60000000000002</v>
      </c>
      <c r="AD98" s="86">
        <f t="shared" si="31"/>
        <v>207.1</v>
      </c>
      <c r="AE98" s="86">
        <f t="shared" si="31"/>
        <v>48.099999999999994</v>
      </c>
      <c r="AF98" s="86">
        <f t="shared" si="31"/>
        <v>25.099999999999994</v>
      </c>
      <c r="AG98" s="150"/>
      <c r="AH98" s="54">
        <f>MAX(C98:AF98)</f>
        <v>285.60000000000002</v>
      </c>
      <c r="AI98" s="55">
        <f>MIN(C98:AF98)</f>
        <v>0</v>
      </c>
    </row>
    <row r="99" spans="1:37" x14ac:dyDescent="0.25">
      <c r="A99" s="170" t="s">
        <v>74</v>
      </c>
      <c r="B99" s="87">
        <v>25.5</v>
      </c>
      <c r="C99" s="87">
        <v>24.2</v>
      </c>
      <c r="D99" s="87">
        <v>24.7</v>
      </c>
      <c r="E99" s="87">
        <v>31.7</v>
      </c>
      <c r="F99" s="87">
        <v>28.8</v>
      </c>
      <c r="G99" s="87">
        <v>34</v>
      </c>
      <c r="H99" s="87">
        <v>34.6</v>
      </c>
      <c r="I99" s="87">
        <v>33</v>
      </c>
      <c r="J99" s="87">
        <v>28</v>
      </c>
      <c r="K99" s="87">
        <v>26.8</v>
      </c>
      <c r="L99" s="87">
        <v>24.6</v>
      </c>
      <c r="M99" s="87">
        <f>36.7+22.2</f>
        <v>58.900000000000006</v>
      </c>
      <c r="N99" s="87">
        <f>55.6+36.1</f>
        <v>91.7</v>
      </c>
      <c r="O99" s="87">
        <f>51.3+32.9</f>
        <v>84.199999999999989</v>
      </c>
      <c r="P99" s="87">
        <v>82.3</v>
      </c>
      <c r="Q99" s="87">
        <f>39.1+23.5</f>
        <v>62.6</v>
      </c>
      <c r="R99" s="87">
        <f>48.8+30.5</f>
        <v>79.3</v>
      </c>
      <c r="S99" s="87"/>
      <c r="T99" s="87">
        <v>29.5</v>
      </c>
      <c r="U99" s="87">
        <v>23.2</v>
      </c>
      <c r="V99" s="87">
        <v>17.3</v>
      </c>
      <c r="W99" s="87">
        <v>9.3000000000000007</v>
      </c>
      <c r="X99" s="87">
        <v>12.5</v>
      </c>
      <c r="Y99" s="87">
        <v>16</v>
      </c>
      <c r="Z99" s="87">
        <v>17.399999999999999</v>
      </c>
      <c r="AA99" s="87"/>
      <c r="AB99" s="87">
        <v>24</v>
      </c>
      <c r="AC99" s="87">
        <v>21.5</v>
      </c>
      <c r="AD99" s="87">
        <v>23</v>
      </c>
      <c r="AE99" s="87">
        <v>18</v>
      </c>
      <c r="AF99" s="87">
        <v>12</v>
      </c>
      <c r="AG99" s="151">
        <v>75</v>
      </c>
      <c r="AH99" s="54">
        <f t="shared" ref="AH99:AH105" si="32">IF(ABS(MAX(C99:AF99))&gt;ABS(MIN(C99:AF99)),MAX(C99:AF99),MIN(C99:AF99))</f>
        <v>91.7</v>
      </c>
      <c r="AI99" s="89">
        <f t="shared" ref="AI99:AI105" si="33">INDEX($C$9:$AF$9,1,MATCH(AH99,C99:AF99,0))</f>
        <v>0.375</v>
      </c>
    </row>
    <row r="100" spans="1:37" x14ac:dyDescent="0.25">
      <c r="A100" s="163" t="s">
        <v>75</v>
      </c>
      <c r="B100" s="90">
        <v>-133</v>
      </c>
      <c r="C100" s="90"/>
      <c r="D100" s="90">
        <v>-124.3</v>
      </c>
      <c r="E100" s="90">
        <v>-143</v>
      </c>
      <c r="F100" s="90">
        <v>-135</v>
      </c>
      <c r="G100" s="90">
        <v>-135</v>
      </c>
      <c r="H100" s="90">
        <v>-120</v>
      </c>
      <c r="I100" s="90">
        <v>-103</v>
      </c>
      <c r="J100" s="90">
        <v>-120</v>
      </c>
      <c r="K100" s="90">
        <v>-116</v>
      </c>
      <c r="L100" s="90">
        <v>-99.4</v>
      </c>
      <c r="M100" s="90">
        <v>-100</v>
      </c>
      <c r="N100" s="90">
        <v>-80</v>
      </c>
      <c r="O100" s="90">
        <v>-105</v>
      </c>
      <c r="P100" s="90">
        <f>-48-41</f>
        <v>-89</v>
      </c>
      <c r="Q100" s="90">
        <v>-96</v>
      </c>
      <c r="R100" s="90">
        <v>-102</v>
      </c>
      <c r="S100" s="90"/>
      <c r="T100" s="90">
        <f>-59.7-69.6+4+11.1</f>
        <v>-114.20000000000002</v>
      </c>
      <c r="U100" s="90">
        <f>-60.1-55.8</f>
        <v>-115.9</v>
      </c>
      <c r="V100" s="90">
        <f>-58.9-55.1</f>
        <v>-114</v>
      </c>
      <c r="W100" s="90">
        <f>-54.9-50.9</f>
        <v>-105.8</v>
      </c>
      <c r="X100" s="90">
        <f>-51.6-51.4</f>
        <v>-103</v>
      </c>
      <c r="Y100" s="90">
        <f>-47.2-44.5</f>
        <v>-91.7</v>
      </c>
      <c r="Z100" s="90">
        <f>-40.7-37.8</f>
        <v>-78.5</v>
      </c>
      <c r="AA100" s="90"/>
      <c r="AB100" s="90"/>
      <c r="AC100" s="90"/>
      <c r="AD100" s="90"/>
      <c r="AE100" s="90">
        <v>-133</v>
      </c>
      <c r="AF100" s="90">
        <v>-140</v>
      </c>
      <c r="AG100" s="151">
        <v>240</v>
      </c>
      <c r="AH100" s="54">
        <f t="shared" si="32"/>
        <v>-143</v>
      </c>
      <c r="AI100" s="89">
        <f t="shared" si="33"/>
        <v>0.125</v>
      </c>
    </row>
    <row r="101" spans="1:37" x14ac:dyDescent="0.25">
      <c r="A101" s="163" t="s">
        <v>76</v>
      </c>
      <c r="B101" s="90">
        <v>7.2</v>
      </c>
      <c r="C101" s="90">
        <v>2.4</v>
      </c>
      <c r="D101" s="90">
        <v>-3.1</v>
      </c>
      <c r="E101" s="90">
        <v>-7</v>
      </c>
      <c r="F101" s="90">
        <v>-5.8</v>
      </c>
      <c r="G101" s="90">
        <v>-6</v>
      </c>
      <c r="H101" s="90">
        <v>-2.4</v>
      </c>
      <c r="I101" s="90">
        <v>1.1000000000000001</v>
      </c>
      <c r="J101" s="90">
        <v>10</v>
      </c>
      <c r="K101" s="90">
        <v>6.3</v>
      </c>
      <c r="L101" s="90">
        <v>7.9</v>
      </c>
      <c r="M101" s="90">
        <v>25.6</v>
      </c>
      <c r="N101" s="90">
        <v>17.399999999999999</v>
      </c>
      <c r="O101" s="90">
        <v>31.3</v>
      </c>
      <c r="P101" s="90">
        <v>25.3</v>
      </c>
      <c r="Q101" s="90">
        <v>30.2</v>
      </c>
      <c r="R101" s="90">
        <v>15.9</v>
      </c>
      <c r="S101" s="90"/>
      <c r="T101" s="90">
        <v>16</v>
      </c>
      <c r="U101" s="90">
        <v>3.9</v>
      </c>
      <c r="V101" s="90">
        <v>4.5999999999999996</v>
      </c>
      <c r="W101" s="90">
        <v>5</v>
      </c>
      <c r="X101" s="90">
        <v>6.6</v>
      </c>
      <c r="Y101" s="90">
        <v>8.1</v>
      </c>
      <c r="Z101" s="90">
        <v>11.8</v>
      </c>
      <c r="AA101" s="90"/>
      <c r="AB101" s="90">
        <v>33</v>
      </c>
      <c r="AC101" s="90">
        <v>33</v>
      </c>
      <c r="AD101" s="90">
        <v>29</v>
      </c>
      <c r="AE101" s="90">
        <v>8</v>
      </c>
      <c r="AF101" s="90">
        <v>-2</v>
      </c>
      <c r="AG101" s="151">
        <v>60</v>
      </c>
      <c r="AH101" s="54">
        <f t="shared" si="32"/>
        <v>33</v>
      </c>
      <c r="AI101" s="89">
        <f t="shared" si="33"/>
        <v>0.83333333333333337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34.4</v>
      </c>
      <c r="L102" s="91">
        <v>41.8</v>
      </c>
      <c r="M102" s="91">
        <v>24.5</v>
      </c>
      <c r="N102" s="91">
        <v>0</v>
      </c>
      <c r="O102" s="91">
        <v>0</v>
      </c>
      <c r="P102" s="91">
        <v>0</v>
      </c>
      <c r="Q102" s="91">
        <v>0</v>
      </c>
      <c r="R102" s="91">
        <v>0</v>
      </c>
      <c r="S102" s="91"/>
      <c r="T102" s="91">
        <v>5.0999999999999996</v>
      </c>
      <c r="U102" s="91">
        <v>23.3</v>
      </c>
      <c r="V102" s="91">
        <v>18.8</v>
      </c>
      <c r="W102" s="91">
        <v>34.299999999999997</v>
      </c>
      <c r="X102" s="91">
        <v>30.8</v>
      </c>
      <c r="Y102" s="91">
        <v>43.6</v>
      </c>
      <c r="Z102" s="91">
        <v>54.5</v>
      </c>
      <c r="AA102" s="91"/>
      <c r="AB102" s="91">
        <v>0</v>
      </c>
      <c r="AC102" s="91">
        <v>76</v>
      </c>
      <c r="AD102" s="91">
        <v>0</v>
      </c>
      <c r="AE102" s="91">
        <v>0</v>
      </c>
      <c r="AF102" s="91">
        <v>0</v>
      </c>
      <c r="AG102" s="152">
        <v>120</v>
      </c>
      <c r="AH102" s="54">
        <f t="shared" si="32"/>
        <v>76</v>
      </c>
      <c r="AI102" s="89">
        <f t="shared" si="33"/>
        <v>0.85416666666666663</v>
      </c>
    </row>
    <row r="103" spans="1:37" x14ac:dyDescent="0.25">
      <c r="A103" s="164" t="s">
        <v>78</v>
      </c>
      <c r="B103" s="91">
        <v>38.4</v>
      </c>
      <c r="C103" s="91">
        <v>42.2</v>
      </c>
      <c r="D103" s="91">
        <v>52.8</v>
      </c>
      <c r="E103" s="91">
        <v>34.5</v>
      </c>
      <c r="F103" s="91">
        <v>36.6</v>
      </c>
      <c r="G103" s="91">
        <v>31.4</v>
      </c>
      <c r="H103" s="91">
        <v>21</v>
      </c>
      <c r="I103" s="91">
        <v>27.7</v>
      </c>
      <c r="J103" s="91">
        <v>30</v>
      </c>
      <c r="K103" s="91">
        <v>27.8</v>
      </c>
      <c r="L103" s="91">
        <v>37.1</v>
      </c>
      <c r="M103" s="91">
        <v>26.1</v>
      </c>
      <c r="N103" s="91">
        <v>38.799999999999997</v>
      </c>
      <c r="O103" s="91">
        <v>24.6</v>
      </c>
      <c r="P103" s="91">
        <v>39.9</v>
      </c>
      <c r="Q103" s="91">
        <v>51.3</v>
      </c>
      <c r="R103" s="91">
        <v>45.8</v>
      </c>
      <c r="S103" s="91"/>
      <c r="T103" s="91">
        <v>26.5</v>
      </c>
      <c r="U103" s="91">
        <v>35.4</v>
      </c>
      <c r="V103" s="91">
        <v>29</v>
      </c>
      <c r="W103" s="91">
        <v>42</v>
      </c>
      <c r="X103" s="91">
        <v>36.799999999999997</v>
      </c>
      <c r="Y103" s="91">
        <v>48.4</v>
      </c>
      <c r="Z103" s="91">
        <v>54.4</v>
      </c>
      <c r="AA103" s="91"/>
      <c r="AB103" s="91">
        <v>80</v>
      </c>
      <c r="AC103" s="91">
        <v>60</v>
      </c>
      <c r="AD103" s="91">
        <v>44</v>
      </c>
      <c r="AE103" s="91">
        <v>38</v>
      </c>
      <c r="AF103" s="91">
        <v>45</v>
      </c>
      <c r="AG103" s="152"/>
      <c r="AH103" s="54">
        <f t="shared" si="32"/>
        <v>80</v>
      </c>
      <c r="AI103" s="89">
        <f t="shared" si="33"/>
        <v>0.83333333333333337</v>
      </c>
    </row>
    <row r="104" spans="1:37" x14ac:dyDescent="0.25">
      <c r="A104" s="164" t="s">
        <v>105</v>
      </c>
      <c r="B104" s="91">
        <v>34.4</v>
      </c>
      <c r="C104" s="91">
        <v>46.2</v>
      </c>
      <c r="D104" s="91">
        <v>44.4</v>
      </c>
      <c r="E104" s="91">
        <v>11.9</v>
      </c>
      <c r="F104" s="91">
        <v>19.600000000000001</v>
      </c>
      <c r="G104" s="91">
        <v>8</v>
      </c>
      <c r="H104" s="91">
        <v>-8</v>
      </c>
      <c r="I104" s="91">
        <v>-14.6</v>
      </c>
      <c r="J104" s="91">
        <v>-10</v>
      </c>
      <c r="K104" s="91">
        <v>19.899999999999999</v>
      </c>
      <c r="L104" s="91">
        <v>23.4</v>
      </c>
      <c r="M104" s="91">
        <v>20.7</v>
      </c>
      <c r="N104" s="91">
        <v>-11.5</v>
      </c>
      <c r="O104" s="91">
        <v>-4.4000000000000004</v>
      </c>
      <c r="P104" s="91">
        <v>-8.9</v>
      </c>
      <c r="Q104" s="91">
        <v>26.6</v>
      </c>
      <c r="R104" s="91">
        <v>-0.8</v>
      </c>
      <c r="S104" s="91"/>
      <c r="T104" s="91">
        <v>-4.0999999999999996</v>
      </c>
      <c r="U104" s="91">
        <v>12.4</v>
      </c>
      <c r="V104" s="91">
        <v>16.7</v>
      </c>
      <c r="W104" s="91">
        <v>39.799999999999997</v>
      </c>
      <c r="X104" s="91">
        <v>33.4</v>
      </c>
      <c r="Y104" s="91">
        <v>22.6</v>
      </c>
      <c r="Z104" s="91">
        <v>16.100000000000001</v>
      </c>
      <c r="AA104" s="91"/>
      <c r="AB104" s="91">
        <v>20</v>
      </c>
      <c r="AC104" s="91">
        <v>25</v>
      </c>
      <c r="AD104" s="91">
        <v>14</v>
      </c>
      <c r="AE104" s="91">
        <v>26</v>
      </c>
      <c r="AF104" s="91">
        <v>54</v>
      </c>
      <c r="AG104" s="153"/>
      <c r="AH104" s="54">
        <f t="shared" si="32"/>
        <v>54</v>
      </c>
      <c r="AI104" s="89">
        <f t="shared" si="33"/>
        <v>0.95833333333333304</v>
      </c>
    </row>
    <row r="105" spans="1:37" ht="15.75" thickBot="1" x14ac:dyDescent="0.3">
      <c r="A105" s="171" t="s">
        <v>106</v>
      </c>
      <c r="B105" s="82">
        <v>98.3</v>
      </c>
      <c r="C105" s="82">
        <v>95.3</v>
      </c>
      <c r="D105" s="82">
        <v>105</v>
      </c>
      <c r="E105" s="82">
        <v>109</v>
      </c>
      <c r="F105" s="82">
        <v>116</v>
      </c>
      <c r="G105" s="82">
        <v>106.6</v>
      </c>
      <c r="H105" s="82">
        <v>116.9</v>
      </c>
      <c r="I105" s="82">
        <v>91</v>
      </c>
      <c r="J105" s="82">
        <v>65</v>
      </c>
      <c r="K105" s="82">
        <v>63</v>
      </c>
      <c r="L105" s="82">
        <v>62.5</v>
      </c>
      <c r="M105" s="82">
        <v>54.3</v>
      </c>
      <c r="N105" s="82">
        <v>67.7</v>
      </c>
      <c r="O105" s="82">
        <v>60.2</v>
      </c>
      <c r="P105" s="82">
        <v>47.6</v>
      </c>
      <c r="Q105" s="82">
        <v>83.2</v>
      </c>
      <c r="R105" s="82">
        <v>95.4</v>
      </c>
      <c r="S105" s="82"/>
      <c r="T105" s="82">
        <v>102.3</v>
      </c>
      <c r="U105" s="82">
        <v>35.1</v>
      </c>
      <c r="V105" s="82">
        <v>105</v>
      </c>
      <c r="W105" s="82">
        <v>114</v>
      </c>
      <c r="X105" s="82">
        <v>125</v>
      </c>
      <c r="Y105" s="82">
        <v>113.8</v>
      </c>
      <c r="Z105" s="82">
        <v>105</v>
      </c>
      <c r="AA105" s="82"/>
      <c r="AB105" s="82">
        <v>104</v>
      </c>
      <c r="AC105" s="82">
        <v>20</v>
      </c>
      <c r="AD105" s="82">
        <v>96</v>
      </c>
      <c r="AE105" s="82">
        <v>32</v>
      </c>
      <c r="AF105" s="82">
        <v>26</v>
      </c>
      <c r="AG105" s="153"/>
      <c r="AH105" s="54">
        <f t="shared" si="32"/>
        <v>125</v>
      </c>
      <c r="AI105" s="89">
        <f t="shared" si="33"/>
        <v>0.75</v>
      </c>
    </row>
    <row r="106" spans="1:37" ht="15.75" thickBot="1" x14ac:dyDescent="0.3">
      <c r="A106" s="92" t="s">
        <v>79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154"/>
      <c r="AH106" s="94"/>
      <c r="AI106" s="55"/>
      <c r="AK106" s="56"/>
    </row>
    <row r="107" spans="1:37" x14ac:dyDescent="0.25">
      <c r="A107" s="162" t="s">
        <v>133</v>
      </c>
      <c r="B107" s="95"/>
      <c r="C107" s="53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6">
        <v>9.94</v>
      </c>
      <c r="AH107" s="54"/>
      <c r="AI107" s="55"/>
      <c r="AK107" s="56"/>
    </row>
    <row r="108" spans="1:37" x14ac:dyDescent="0.25">
      <c r="A108" s="163" t="s">
        <v>134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/>
      <c r="AH108" s="54"/>
      <c r="AI108" s="55"/>
      <c r="AK108" s="56"/>
    </row>
    <row r="109" spans="1:37" x14ac:dyDescent="0.25">
      <c r="A109" s="163" t="s">
        <v>135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136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137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138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139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140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141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142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143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144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145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146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147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148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149</v>
      </c>
      <c r="B123" s="97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9">
        <v>9.9</v>
      </c>
      <c r="AH123" s="54"/>
      <c r="AI123" s="55"/>
      <c r="AK123" s="56"/>
    </row>
    <row r="124" spans="1:37" x14ac:dyDescent="0.25">
      <c r="A124" s="164" t="s">
        <v>80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100">
        <v>9.6579999999999995</v>
      </c>
      <c r="AH124" s="54"/>
      <c r="AI124" s="55"/>
      <c r="AK124" s="56"/>
    </row>
    <row r="125" spans="1:37" x14ac:dyDescent="0.25">
      <c r="A125" s="164" t="s">
        <v>150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</v>
      </c>
      <c r="AH125" s="54"/>
      <c r="AI125" s="55"/>
      <c r="AK125" s="56"/>
    </row>
    <row r="126" spans="1:37" x14ac:dyDescent="0.25">
      <c r="A126" s="164" t="s">
        <v>151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9.51</v>
      </c>
      <c r="AH126" s="54"/>
      <c r="AI126" s="55"/>
      <c r="AK126" s="56"/>
    </row>
    <row r="127" spans="1:37" x14ac:dyDescent="0.25">
      <c r="A127" s="164" t="s">
        <v>152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9.4</v>
      </c>
      <c r="AH127" s="54"/>
      <c r="AI127" s="55"/>
      <c r="AK127" s="56"/>
    </row>
    <row r="128" spans="1:37" x14ac:dyDescent="0.25">
      <c r="A128" s="164" t="s">
        <v>153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8.8000000000000007</v>
      </c>
      <c r="AH128" s="54"/>
      <c r="AI128" s="55"/>
      <c r="AK128" s="56"/>
    </row>
    <row r="129" spans="1:37" x14ac:dyDescent="0.25">
      <c r="A129" s="164" t="s">
        <v>154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8.5</v>
      </c>
      <c r="AH129" s="54"/>
      <c r="AI129" s="55"/>
      <c r="AK129" s="56"/>
    </row>
    <row r="130" spans="1:37" x14ac:dyDescent="0.25">
      <c r="A130" s="164" t="s">
        <v>155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156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8.4</v>
      </c>
      <c r="AH131" s="54"/>
      <c r="AI131" s="55"/>
      <c r="AK131" s="56"/>
    </row>
    <row r="132" spans="1:37" ht="13.5" customHeight="1" x14ac:dyDescent="0.25">
      <c r="A132" s="164" t="s">
        <v>157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</v>
      </c>
      <c r="AH132" s="54"/>
      <c r="AI132" s="55"/>
      <c r="AK132" s="56"/>
    </row>
    <row r="133" spans="1:37" x14ac:dyDescent="0.25">
      <c r="A133" s="164" t="s">
        <v>158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159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160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7.8</v>
      </c>
      <c r="AH135" s="54"/>
      <c r="AI135" s="55"/>
      <c r="AK135" s="56"/>
    </row>
    <row r="136" spans="1:37" x14ac:dyDescent="0.25">
      <c r="A136" s="164" t="s">
        <v>161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7.6</v>
      </c>
      <c r="AH136" s="54"/>
      <c r="AI136" s="55"/>
      <c r="AK136" s="56"/>
    </row>
    <row r="137" spans="1:37" x14ac:dyDescent="0.25">
      <c r="A137" s="164" t="s">
        <v>162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7.5</v>
      </c>
      <c r="AH137" s="54"/>
      <c r="AI137" s="55"/>
      <c r="AK137" s="56"/>
    </row>
    <row r="138" spans="1:37" x14ac:dyDescent="0.25">
      <c r="A138" s="164" t="s">
        <v>163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164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</v>
      </c>
      <c r="AH139" s="54"/>
      <c r="AI139" s="55"/>
      <c r="AK139" s="56"/>
    </row>
    <row r="140" spans="1:37" x14ac:dyDescent="0.25">
      <c r="A140" s="164" t="s">
        <v>165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166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167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168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6.6</v>
      </c>
      <c r="AH143" s="54"/>
      <c r="AI143" s="55"/>
      <c r="AK143" s="56"/>
    </row>
    <row r="144" spans="1:37" x14ac:dyDescent="0.25">
      <c r="A144" s="164" t="s">
        <v>169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170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6.4</v>
      </c>
      <c r="AH145" s="54"/>
      <c r="AI145" s="55"/>
      <c r="AK145" s="56"/>
    </row>
    <row r="146" spans="1:37" x14ac:dyDescent="0.25">
      <c r="A146" s="164" t="s">
        <v>171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</v>
      </c>
      <c r="AH146" s="54"/>
      <c r="AI146" s="55"/>
      <c r="AK146" s="56"/>
    </row>
    <row r="147" spans="1:37" x14ac:dyDescent="0.25">
      <c r="A147" s="164" t="s">
        <v>172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5.0999999999999996</v>
      </c>
      <c r="AH147" s="54"/>
      <c r="AI147" s="55"/>
      <c r="AK147" s="56"/>
    </row>
    <row r="148" spans="1:37" x14ac:dyDescent="0.25">
      <c r="A148" s="164" t="s">
        <v>173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</v>
      </c>
      <c r="AH148" s="54"/>
      <c r="AI148" s="55"/>
      <c r="AK148" s="56"/>
    </row>
    <row r="149" spans="1:37" x14ac:dyDescent="0.25">
      <c r="A149" s="163" t="s">
        <v>174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9">
        <v>5</v>
      </c>
      <c r="AH149" s="54"/>
      <c r="AI149" s="55"/>
      <c r="AK149" s="56"/>
    </row>
    <row r="150" spans="1:37" x14ac:dyDescent="0.25">
      <c r="A150" s="164" t="s">
        <v>175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100">
        <v>5</v>
      </c>
      <c r="AH150" s="54"/>
      <c r="AI150" s="55"/>
      <c r="AK150" s="56"/>
    </row>
    <row r="151" spans="1:37" x14ac:dyDescent="0.25">
      <c r="A151" s="164" t="s">
        <v>176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177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178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179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180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4.9930000000000003</v>
      </c>
      <c r="AH155" s="54"/>
      <c r="AI155" s="55"/>
      <c r="AK155" s="56"/>
    </row>
    <row r="156" spans="1:37" x14ac:dyDescent="0.25">
      <c r="A156" s="164" t="s">
        <v>181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4.9800000000000004</v>
      </c>
      <c r="AH156" s="54"/>
      <c r="AI156" s="55"/>
      <c r="AK156" s="56"/>
    </row>
    <row r="157" spans="1:37" x14ac:dyDescent="0.25">
      <c r="A157" s="164" t="s">
        <v>182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4.95</v>
      </c>
      <c r="AH157" s="54"/>
      <c r="AI157" s="55"/>
      <c r="AK157" s="56"/>
    </row>
    <row r="158" spans="1:37" x14ac:dyDescent="0.25">
      <c r="A158" s="164" t="s">
        <v>81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183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4.8</v>
      </c>
      <c r="AH159" s="54"/>
      <c r="AI159" s="55"/>
      <c r="AK159" s="56"/>
    </row>
    <row r="160" spans="1:37" x14ac:dyDescent="0.25">
      <c r="A160" s="164" t="s">
        <v>184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185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186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4.5</v>
      </c>
      <c r="AH162" s="54"/>
      <c r="AI162" s="55"/>
      <c r="AK162" s="56"/>
    </row>
    <row r="163" spans="1:37" x14ac:dyDescent="0.25">
      <c r="A163" s="164" t="s">
        <v>187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188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4.4550000000000001</v>
      </c>
      <c r="AH164" s="54"/>
      <c r="AI164" s="55"/>
      <c r="AK164" s="56"/>
    </row>
    <row r="165" spans="1:37" x14ac:dyDescent="0.25">
      <c r="A165" s="164" t="s">
        <v>189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4.41</v>
      </c>
      <c r="AH165" s="54"/>
      <c r="AI165" s="55"/>
      <c r="AK165" s="56"/>
    </row>
    <row r="166" spans="1:37" x14ac:dyDescent="0.25">
      <c r="A166" s="164" t="s">
        <v>190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4.4000000000000004</v>
      </c>
      <c r="AH166" s="54"/>
      <c r="AI166" s="55"/>
      <c r="AK166" s="56"/>
    </row>
    <row r="167" spans="1:37" x14ac:dyDescent="0.25">
      <c r="A167" s="164" t="s">
        <v>191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4.3600000000000003</v>
      </c>
      <c r="AH167" s="54"/>
      <c r="AI167" s="55"/>
      <c r="AK167" s="56"/>
    </row>
    <row r="168" spans="1:37" x14ac:dyDescent="0.25">
      <c r="A168" s="164" t="s">
        <v>192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4.2</v>
      </c>
      <c r="AH168" s="54"/>
      <c r="AI168" s="55"/>
      <c r="AK168" s="56"/>
    </row>
    <row r="169" spans="1:37" x14ac:dyDescent="0.25">
      <c r="A169" s="164" t="s">
        <v>193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</v>
      </c>
      <c r="AH169" s="54"/>
      <c r="AI169" s="55"/>
      <c r="AK169" s="56"/>
    </row>
    <row r="170" spans="1:37" x14ac:dyDescent="0.25">
      <c r="A170" s="164" t="s">
        <v>194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195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196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197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198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199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200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201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3.75</v>
      </c>
      <c r="AH177" s="54"/>
      <c r="AI177" s="55"/>
      <c r="AK177" s="56"/>
    </row>
    <row r="178" spans="1:37" x14ac:dyDescent="0.25">
      <c r="A178" s="164" t="s">
        <v>202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3.52</v>
      </c>
      <c r="AH178" s="54"/>
      <c r="AI178" s="55"/>
      <c r="AK178" s="56"/>
    </row>
    <row r="179" spans="1:37" x14ac:dyDescent="0.25">
      <c r="A179" s="164" t="s">
        <v>203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3.33</v>
      </c>
      <c r="AH179" s="54"/>
      <c r="AI179" s="55"/>
      <c r="AK179" s="56"/>
    </row>
    <row r="180" spans="1:37" x14ac:dyDescent="0.25">
      <c r="A180" s="164" t="s">
        <v>204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3.2</v>
      </c>
      <c r="AH180" s="54"/>
      <c r="AI180" s="55"/>
      <c r="AK180" s="56"/>
    </row>
    <row r="181" spans="1:37" x14ac:dyDescent="0.25">
      <c r="A181" s="164" t="s">
        <v>205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</v>
      </c>
      <c r="AH181" s="54"/>
      <c r="AI181" s="55"/>
      <c r="AK181" s="56"/>
    </row>
    <row r="182" spans="1:37" x14ac:dyDescent="0.25">
      <c r="A182" s="164" t="s">
        <v>206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207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208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209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210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211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212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213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2.83</v>
      </c>
      <c r="AH189" s="54"/>
      <c r="AI189" s="55"/>
      <c r="AK189" s="56"/>
    </row>
    <row r="190" spans="1:37" x14ac:dyDescent="0.25">
      <c r="A190" s="164" t="s">
        <v>214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2.5</v>
      </c>
      <c r="AH190" s="54"/>
      <c r="AI190" s="55"/>
      <c r="AK190" s="56"/>
    </row>
    <row r="191" spans="1:37" x14ac:dyDescent="0.25">
      <c r="A191" s="164" t="s">
        <v>215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216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2.4</v>
      </c>
      <c r="AH192" s="54"/>
      <c r="AI192" s="55"/>
      <c r="AK192" s="56"/>
    </row>
    <row r="193" spans="1:37" x14ac:dyDescent="0.25">
      <c r="A193" s="164" t="s">
        <v>217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218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2.2000000000000002</v>
      </c>
      <c r="AH194" s="54"/>
      <c r="AI194" s="55"/>
      <c r="AK194" s="56"/>
    </row>
    <row r="195" spans="1:37" x14ac:dyDescent="0.25">
      <c r="A195" s="164" t="s">
        <v>219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</v>
      </c>
      <c r="AH195" s="54"/>
      <c r="AI195" s="55"/>
      <c r="AK195" s="56"/>
    </row>
    <row r="196" spans="1:37" x14ac:dyDescent="0.25">
      <c r="A196" s="164" t="s">
        <v>220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221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222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1.8</v>
      </c>
      <c r="AH198" s="54"/>
      <c r="AI198" s="55"/>
      <c r="AK198" s="56"/>
    </row>
    <row r="199" spans="1:37" x14ac:dyDescent="0.25">
      <c r="A199" s="164" t="s">
        <v>223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224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1.65</v>
      </c>
      <c r="AH200" s="54"/>
      <c r="AI200" s="55"/>
      <c r="AK200" s="56"/>
    </row>
    <row r="201" spans="1:37" x14ac:dyDescent="0.25">
      <c r="A201" s="164" t="s">
        <v>225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1.5</v>
      </c>
      <c r="AH201" s="54"/>
      <c r="AI201" s="55"/>
      <c r="AK201" s="56"/>
    </row>
    <row r="202" spans="1:37" x14ac:dyDescent="0.25">
      <c r="A202" s="164" t="s">
        <v>226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0.998</v>
      </c>
      <c r="AH202" s="54"/>
      <c r="AI202" s="55"/>
      <c r="AK202" s="56"/>
    </row>
    <row r="203" spans="1:37" x14ac:dyDescent="0.25">
      <c r="A203" s="164" t="s">
        <v>227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0.997</v>
      </c>
      <c r="AH203" s="54"/>
      <c r="AI203" s="55"/>
      <c r="AK203" s="56"/>
    </row>
    <row r="204" spans="1:37" x14ac:dyDescent="0.25">
      <c r="A204" s="164" t="s">
        <v>228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229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0.996</v>
      </c>
      <c r="AH205" s="54"/>
      <c r="AI205" s="55"/>
      <c r="AK205" s="56"/>
    </row>
    <row r="206" spans="1:37" x14ac:dyDescent="0.25">
      <c r="A206" s="164" t="s">
        <v>230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231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232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0.995</v>
      </c>
      <c r="AH208" s="54"/>
      <c r="AI208" s="55"/>
      <c r="AK208" s="56"/>
    </row>
    <row r="209" spans="1:37" x14ac:dyDescent="0.25">
      <c r="A209" s="164" t="s">
        <v>233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0.99299999999999999</v>
      </c>
      <c r="AH209" s="54"/>
      <c r="AI209" s="55"/>
      <c r="AK209" s="56"/>
    </row>
    <row r="210" spans="1:37" x14ac:dyDescent="0.25">
      <c r="A210" s="164" t="s">
        <v>234</v>
      </c>
      <c r="B210" s="97"/>
      <c r="C210" s="53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</v>
      </c>
      <c r="AH210" s="54"/>
      <c r="AI210" s="55"/>
      <c r="AK210" s="56"/>
    </row>
    <row r="211" spans="1:37" ht="15.75" thickBot="1" x14ac:dyDescent="0.3">
      <c r="A211" s="164" t="s">
        <v>235</v>
      </c>
      <c r="B211" s="102"/>
      <c r="C211" s="166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0">
        <v>0.97899999999999998</v>
      </c>
      <c r="AH211" s="54"/>
      <c r="AI211" s="55"/>
      <c r="AK211" s="56"/>
    </row>
    <row r="212" spans="1:37" ht="15.75" thickBot="1" x14ac:dyDescent="0.3">
      <c r="A212" s="165" t="s">
        <v>82</v>
      </c>
      <c r="B212" s="167">
        <f>SUM(B107:B211)</f>
        <v>0</v>
      </c>
      <c r="C212" s="103">
        <f t="shared" ref="C212:AG212" si="34">SUM(C107:C211)</f>
        <v>0</v>
      </c>
      <c r="D212" s="103">
        <f t="shared" si="34"/>
        <v>0</v>
      </c>
      <c r="E212" s="103">
        <f t="shared" si="34"/>
        <v>0</v>
      </c>
      <c r="F212" s="103">
        <f t="shared" si="34"/>
        <v>0</v>
      </c>
      <c r="G212" s="103">
        <f t="shared" si="34"/>
        <v>0</v>
      </c>
      <c r="H212" s="103">
        <f t="shared" si="34"/>
        <v>0</v>
      </c>
      <c r="I212" s="103">
        <f t="shared" si="34"/>
        <v>0</v>
      </c>
      <c r="J212" s="103">
        <f t="shared" si="34"/>
        <v>0</v>
      </c>
      <c r="K212" s="103">
        <f t="shared" si="34"/>
        <v>0</v>
      </c>
      <c r="L212" s="103">
        <f t="shared" si="34"/>
        <v>0</v>
      </c>
      <c r="M212" s="103">
        <f t="shared" si="34"/>
        <v>0</v>
      </c>
      <c r="N212" s="103">
        <f t="shared" si="34"/>
        <v>0</v>
      </c>
      <c r="O212" s="103">
        <f t="shared" si="34"/>
        <v>0</v>
      </c>
      <c r="P212" s="103">
        <f t="shared" si="34"/>
        <v>0</v>
      </c>
      <c r="Q212" s="103">
        <f t="shared" si="34"/>
        <v>0</v>
      </c>
      <c r="R212" s="103">
        <f t="shared" si="34"/>
        <v>0</v>
      </c>
      <c r="S212" s="103">
        <f t="shared" si="34"/>
        <v>0</v>
      </c>
      <c r="T212" s="103">
        <f t="shared" si="34"/>
        <v>0</v>
      </c>
      <c r="U212" s="103">
        <f t="shared" si="34"/>
        <v>0</v>
      </c>
      <c r="V212" s="103">
        <f t="shared" si="34"/>
        <v>0</v>
      </c>
      <c r="W212" s="103">
        <f t="shared" si="34"/>
        <v>0</v>
      </c>
      <c r="X212" s="103">
        <f t="shared" si="34"/>
        <v>0</v>
      </c>
      <c r="Y212" s="103">
        <f t="shared" si="34"/>
        <v>0</v>
      </c>
      <c r="Z212" s="103">
        <f t="shared" si="34"/>
        <v>0</v>
      </c>
      <c r="AA212" s="103">
        <f t="shared" si="34"/>
        <v>0</v>
      </c>
      <c r="AB212" s="103">
        <f t="shared" si="34"/>
        <v>0</v>
      </c>
      <c r="AC212" s="103">
        <f t="shared" si="34"/>
        <v>0</v>
      </c>
      <c r="AD212" s="103">
        <f t="shared" si="34"/>
        <v>0</v>
      </c>
      <c r="AE212" s="103">
        <f t="shared" si="34"/>
        <v>0</v>
      </c>
      <c r="AF212" s="168">
        <f t="shared" si="34"/>
        <v>0</v>
      </c>
      <c r="AG212" s="169">
        <f t="shared" si="34"/>
        <v>412.72299999999984</v>
      </c>
      <c r="AH212" s="54"/>
      <c r="AI212" s="55"/>
      <c r="AK212" s="56"/>
    </row>
    <row r="213" spans="1:37" ht="15.75" thickBot="1" x14ac:dyDescent="0.3">
      <c r="A213" s="28" t="s">
        <v>35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149"/>
      <c r="AH213" s="54"/>
      <c r="AI213" s="55"/>
      <c r="AK213" s="56"/>
    </row>
    <row r="214" spans="1:37" x14ac:dyDescent="0.25">
      <c r="A214" s="170" t="s">
        <v>83</v>
      </c>
      <c r="B214" s="101">
        <f t="shared" ref="B214:B219" si="35">AF214</f>
        <v>0</v>
      </c>
      <c r="C214" s="101">
        <v>0.3</v>
      </c>
      <c r="D214" s="101">
        <f t="shared" ref="D214:P219" si="36">C214</f>
        <v>0.3</v>
      </c>
      <c r="E214" s="101">
        <f t="shared" si="36"/>
        <v>0.3</v>
      </c>
      <c r="F214" s="101">
        <f t="shared" si="36"/>
        <v>0.3</v>
      </c>
      <c r="G214" s="101">
        <f t="shared" si="36"/>
        <v>0.3</v>
      </c>
      <c r="H214" s="101">
        <f t="shared" si="36"/>
        <v>0.3</v>
      </c>
      <c r="I214" s="101">
        <f t="shared" si="36"/>
        <v>0.3</v>
      </c>
      <c r="J214" s="101">
        <f t="shared" si="36"/>
        <v>0.3</v>
      </c>
      <c r="K214" s="101">
        <f t="shared" si="36"/>
        <v>0.3</v>
      </c>
      <c r="L214" s="101">
        <f t="shared" si="36"/>
        <v>0.3</v>
      </c>
      <c r="M214" s="101">
        <f t="shared" si="36"/>
        <v>0.3</v>
      </c>
      <c r="N214" s="101">
        <f t="shared" si="36"/>
        <v>0.3</v>
      </c>
      <c r="O214" s="101">
        <f t="shared" si="36"/>
        <v>0.3</v>
      </c>
      <c r="P214" s="101">
        <f t="shared" si="36"/>
        <v>0.3</v>
      </c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55">
        <v>2.4</v>
      </c>
      <c r="AH214" s="54"/>
      <c r="AI214" s="55"/>
      <c r="AK214" s="56"/>
    </row>
    <row r="215" spans="1:37" x14ac:dyDescent="0.25">
      <c r="A215" s="163" t="s">
        <v>84</v>
      </c>
      <c r="B215" s="97">
        <f t="shared" si="35"/>
        <v>0</v>
      </c>
      <c r="C215" s="97">
        <v>0.4</v>
      </c>
      <c r="D215" s="97">
        <f t="shared" si="36"/>
        <v>0.4</v>
      </c>
      <c r="E215" s="97">
        <f t="shared" si="36"/>
        <v>0.4</v>
      </c>
      <c r="F215" s="97">
        <f t="shared" si="36"/>
        <v>0.4</v>
      </c>
      <c r="G215" s="97">
        <f t="shared" si="36"/>
        <v>0.4</v>
      </c>
      <c r="H215" s="97">
        <f t="shared" si="36"/>
        <v>0.4</v>
      </c>
      <c r="I215" s="97">
        <f t="shared" si="36"/>
        <v>0.4</v>
      </c>
      <c r="J215" s="97">
        <f t="shared" si="36"/>
        <v>0.4</v>
      </c>
      <c r="K215" s="97">
        <f t="shared" si="36"/>
        <v>0.4</v>
      </c>
      <c r="L215" s="97">
        <f t="shared" si="36"/>
        <v>0.4</v>
      </c>
      <c r="M215" s="97">
        <f t="shared" si="36"/>
        <v>0.4</v>
      </c>
      <c r="N215" s="97">
        <f t="shared" si="36"/>
        <v>0.4</v>
      </c>
      <c r="O215" s="97">
        <f t="shared" si="36"/>
        <v>0.4</v>
      </c>
      <c r="P215" s="97">
        <f t="shared" si="36"/>
        <v>0.4</v>
      </c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56">
        <v>2</v>
      </c>
      <c r="AH215" s="54"/>
      <c r="AI215" s="55"/>
      <c r="AK215" s="56"/>
    </row>
    <row r="216" spans="1:37" x14ac:dyDescent="0.25">
      <c r="A216" s="163" t="s">
        <v>85</v>
      </c>
      <c r="B216" s="97">
        <f t="shared" si="35"/>
        <v>0</v>
      </c>
      <c r="C216" s="97">
        <v>1.5</v>
      </c>
      <c r="D216" s="97">
        <f t="shared" si="36"/>
        <v>1.5</v>
      </c>
      <c r="E216" s="97">
        <f t="shared" si="36"/>
        <v>1.5</v>
      </c>
      <c r="F216" s="97">
        <f t="shared" si="36"/>
        <v>1.5</v>
      </c>
      <c r="G216" s="97">
        <f t="shared" si="36"/>
        <v>1.5</v>
      </c>
      <c r="H216" s="97">
        <f t="shared" si="36"/>
        <v>1.5</v>
      </c>
      <c r="I216" s="97">
        <f t="shared" si="36"/>
        <v>1.5</v>
      </c>
      <c r="J216" s="97">
        <f t="shared" si="36"/>
        <v>1.5</v>
      </c>
      <c r="K216" s="97">
        <f t="shared" si="36"/>
        <v>1.5</v>
      </c>
      <c r="L216" s="97">
        <f t="shared" si="36"/>
        <v>1.5</v>
      </c>
      <c r="M216" s="97">
        <f t="shared" si="36"/>
        <v>1.5</v>
      </c>
      <c r="N216" s="97">
        <f t="shared" si="36"/>
        <v>1.5</v>
      </c>
      <c r="O216" s="97">
        <f t="shared" si="36"/>
        <v>1.5</v>
      </c>
      <c r="P216" s="97">
        <f t="shared" si="36"/>
        <v>1.5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1.5</v>
      </c>
      <c r="AH216" s="54"/>
      <c r="AI216" s="55"/>
      <c r="AK216" s="56"/>
    </row>
    <row r="217" spans="1:37" x14ac:dyDescent="0.25">
      <c r="A217" s="163" t="s">
        <v>86</v>
      </c>
      <c r="B217" s="97">
        <f t="shared" si="35"/>
        <v>0</v>
      </c>
      <c r="C217" s="97">
        <v>0.3</v>
      </c>
      <c r="D217" s="97">
        <f t="shared" si="36"/>
        <v>0.3</v>
      </c>
      <c r="E217" s="97">
        <f t="shared" si="36"/>
        <v>0.3</v>
      </c>
      <c r="F217" s="97">
        <f t="shared" si="36"/>
        <v>0.3</v>
      </c>
      <c r="G217" s="97">
        <f t="shared" si="36"/>
        <v>0.3</v>
      </c>
      <c r="H217" s="97">
        <f t="shared" si="36"/>
        <v>0.3</v>
      </c>
      <c r="I217" s="97">
        <f t="shared" si="36"/>
        <v>0.3</v>
      </c>
      <c r="J217" s="97">
        <f t="shared" si="36"/>
        <v>0.3</v>
      </c>
      <c r="K217" s="97">
        <f t="shared" si="36"/>
        <v>0.3</v>
      </c>
      <c r="L217" s="97">
        <f t="shared" si="36"/>
        <v>0.3</v>
      </c>
      <c r="M217" s="97">
        <f t="shared" si="36"/>
        <v>0.3</v>
      </c>
      <c r="N217" s="97">
        <f t="shared" si="36"/>
        <v>0.3</v>
      </c>
      <c r="O217" s="97">
        <f t="shared" si="36"/>
        <v>0.3</v>
      </c>
      <c r="P217" s="97">
        <f t="shared" si="36"/>
        <v>0.3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</v>
      </c>
      <c r="AH217" s="54"/>
      <c r="AI217" s="55"/>
      <c r="AK217" s="56"/>
    </row>
    <row r="218" spans="1:37" x14ac:dyDescent="0.25">
      <c r="A218" s="163" t="s">
        <v>87</v>
      </c>
      <c r="B218" s="97">
        <f t="shared" si="35"/>
        <v>0</v>
      </c>
      <c r="C218" s="97">
        <v>0.4</v>
      </c>
      <c r="D218" s="97">
        <f t="shared" si="36"/>
        <v>0.4</v>
      </c>
      <c r="E218" s="97">
        <f t="shared" si="36"/>
        <v>0.4</v>
      </c>
      <c r="F218" s="97">
        <f t="shared" si="36"/>
        <v>0.4</v>
      </c>
      <c r="G218" s="97">
        <f t="shared" si="36"/>
        <v>0.4</v>
      </c>
      <c r="H218" s="97">
        <f t="shared" si="36"/>
        <v>0.4</v>
      </c>
      <c r="I218" s="97">
        <f t="shared" si="36"/>
        <v>0.4</v>
      </c>
      <c r="J218" s="97">
        <f t="shared" si="36"/>
        <v>0.4</v>
      </c>
      <c r="K218" s="97">
        <f t="shared" si="36"/>
        <v>0.4</v>
      </c>
      <c r="L218" s="97">
        <f t="shared" si="36"/>
        <v>0.4</v>
      </c>
      <c r="M218" s="97">
        <f t="shared" si="36"/>
        <v>0.4</v>
      </c>
      <c r="N218" s="97">
        <f t="shared" si="36"/>
        <v>0.4</v>
      </c>
      <c r="O218" s="97">
        <f t="shared" si="36"/>
        <v>0.4</v>
      </c>
      <c r="P218" s="97">
        <f t="shared" si="36"/>
        <v>0.4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ht="15.75" thickBot="1" x14ac:dyDescent="0.3">
      <c r="A219" s="164" t="s">
        <v>88</v>
      </c>
      <c r="B219" s="102">
        <f t="shared" si="35"/>
        <v>0</v>
      </c>
      <c r="C219" s="102">
        <v>0.64</v>
      </c>
      <c r="D219" s="102">
        <f t="shared" si="36"/>
        <v>0.64</v>
      </c>
      <c r="E219" s="102">
        <f t="shared" si="36"/>
        <v>0.64</v>
      </c>
      <c r="F219" s="102">
        <f t="shared" si="36"/>
        <v>0.64</v>
      </c>
      <c r="G219" s="102">
        <f t="shared" si="36"/>
        <v>0.64</v>
      </c>
      <c r="H219" s="102">
        <f t="shared" si="36"/>
        <v>0.64</v>
      </c>
      <c r="I219" s="102">
        <f t="shared" si="36"/>
        <v>0.64</v>
      </c>
      <c r="J219" s="102">
        <f t="shared" si="36"/>
        <v>0.64</v>
      </c>
      <c r="K219" s="102">
        <f t="shared" si="36"/>
        <v>0.64</v>
      </c>
      <c r="L219" s="102">
        <f t="shared" si="36"/>
        <v>0.64</v>
      </c>
      <c r="M219" s="102">
        <f t="shared" si="36"/>
        <v>0.64</v>
      </c>
      <c r="N219" s="102">
        <f t="shared" si="36"/>
        <v>0.64</v>
      </c>
      <c r="O219" s="102">
        <f t="shared" si="36"/>
        <v>0.64</v>
      </c>
      <c r="P219" s="102">
        <f t="shared" si="36"/>
        <v>0.64</v>
      </c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57">
        <v>0.66</v>
      </c>
      <c r="AH219" s="54"/>
      <c r="AI219" s="55"/>
    </row>
    <row r="220" spans="1:37" ht="15.75" thickBot="1" x14ac:dyDescent="0.3">
      <c r="A220" s="173" t="s">
        <v>35</v>
      </c>
      <c r="B220" s="103">
        <f>SUM(B214:B219)</f>
        <v>0</v>
      </c>
      <c r="C220" s="103">
        <f>SUM(C214:C219)</f>
        <v>3.54</v>
      </c>
      <c r="D220" s="103">
        <f t="shared" ref="D220:L220" si="37">SUM(D214:D219)</f>
        <v>3.54</v>
      </c>
      <c r="E220" s="103">
        <f t="shared" si="37"/>
        <v>3.54</v>
      </c>
      <c r="F220" s="103">
        <f t="shared" si="37"/>
        <v>3.54</v>
      </c>
      <c r="G220" s="103">
        <f t="shared" si="37"/>
        <v>3.54</v>
      </c>
      <c r="H220" s="103">
        <f t="shared" si="37"/>
        <v>3.54</v>
      </c>
      <c r="I220" s="103">
        <f t="shared" si="37"/>
        <v>3.54</v>
      </c>
      <c r="J220" s="103">
        <f t="shared" si="37"/>
        <v>3.54</v>
      </c>
      <c r="K220" s="103">
        <f t="shared" si="37"/>
        <v>3.54</v>
      </c>
      <c r="L220" s="103">
        <f t="shared" si="37"/>
        <v>3.54</v>
      </c>
      <c r="M220" s="103">
        <f>SUM(M214:M219)</f>
        <v>3.54</v>
      </c>
      <c r="N220" s="103">
        <f t="shared" ref="N220:S220" si="38">SUM(N214:N219)</f>
        <v>3.54</v>
      </c>
      <c r="O220" s="103">
        <f t="shared" si="38"/>
        <v>3.54</v>
      </c>
      <c r="P220" s="103">
        <f t="shared" si="38"/>
        <v>3.54</v>
      </c>
      <c r="Q220" s="103">
        <f t="shared" si="38"/>
        <v>0</v>
      </c>
      <c r="R220" s="103">
        <f t="shared" si="38"/>
        <v>0</v>
      </c>
      <c r="S220" s="103">
        <f t="shared" si="38"/>
        <v>0</v>
      </c>
      <c r="T220" s="103">
        <f>SUM(T214:T219)</f>
        <v>0</v>
      </c>
      <c r="U220" s="103">
        <f t="shared" ref="U220:AG220" si="39">SUM(U214:U219)</f>
        <v>0</v>
      </c>
      <c r="V220" s="103">
        <f t="shared" si="39"/>
        <v>0</v>
      </c>
      <c r="W220" s="103">
        <f t="shared" si="39"/>
        <v>0</v>
      </c>
      <c r="X220" s="103">
        <f t="shared" si="39"/>
        <v>0</v>
      </c>
      <c r="Y220" s="103">
        <f t="shared" si="39"/>
        <v>0</v>
      </c>
      <c r="Z220" s="103">
        <f t="shared" si="39"/>
        <v>0</v>
      </c>
      <c r="AA220" s="103">
        <f t="shared" si="39"/>
        <v>0</v>
      </c>
      <c r="AB220" s="103">
        <f t="shared" si="39"/>
        <v>0</v>
      </c>
      <c r="AC220" s="103">
        <f t="shared" si="39"/>
        <v>0</v>
      </c>
      <c r="AD220" s="103">
        <f t="shared" si="39"/>
        <v>0</v>
      </c>
      <c r="AE220" s="103">
        <f t="shared" si="39"/>
        <v>0</v>
      </c>
      <c r="AF220" s="103">
        <f t="shared" si="39"/>
        <v>0</v>
      </c>
      <c r="AG220" s="158">
        <f t="shared" si="39"/>
        <v>8.56</v>
      </c>
      <c r="AH220" s="54"/>
      <c r="AI220" s="55"/>
    </row>
    <row r="221" spans="1:37" ht="15.75" thickBot="1" x14ac:dyDescent="0.3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84"/>
      <c r="AH221" s="47"/>
    </row>
    <row r="222" spans="1:37" x14ac:dyDescent="0.25">
      <c r="A222" s="79" t="s">
        <v>89</v>
      </c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5"/>
      <c r="AG222" s="47"/>
      <c r="AH222" s="54"/>
      <c r="AI222" s="55"/>
    </row>
    <row r="223" spans="1:37" x14ac:dyDescent="0.25">
      <c r="A223" s="106" t="s">
        <v>90</v>
      </c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8"/>
      <c r="AG223" s="109"/>
      <c r="AH223" s="54"/>
      <c r="AI223" s="55"/>
    </row>
    <row r="224" spans="1:37" x14ac:dyDescent="0.25">
      <c r="A224" s="81" t="s">
        <v>91</v>
      </c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1"/>
      <c r="AG224" s="109"/>
      <c r="AH224" s="54"/>
      <c r="AI224" s="55"/>
    </row>
    <row r="225" spans="1:50" x14ac:dyDescent="0.25">
      <c r="A225" s="81" t="s">
        <v>92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ht="15.75" thickBot="1" x14ac:dyDescent="0.3">
      <c r="A226" s="112" t="s">
        <v>93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4"/>
      <c r="AG226" s="109"/>
      <c r="AH226" s="54"/>
      <c r="AI226" s="55"/>
    </row>
    <row r="227" spans="1:50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50" x14ac:dyDescent="0.25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50" x14ac:dyDescent="0.25">
      <c r="A229" s="115" t="s">
        <v>94</v>
      </c>
      <c r="B229" s="116">
        <f>MAX(G79:N79)</f>
        <v>1739.1400000000003</v>
      </c>
      <c r="C229" s="117">
        <f>INDEX(G9:N9,1,MATCH(MAX(G79:N79),G79:N79,0))</f>
        <v>0.33333333333333331</v>
      </c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50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118" t="str">
        <f ca="1">MID(CELL("filename",C7),FIND("]",CELL("filename",C7))+1,600)</f>
        <v>7</v>
      </c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50" x14ac:dyDescent="0.25">
      <c r="A231" s="208" t="s">
        <v>95</v>
      </c>
      <c r="B231" s="208"/>
      <c r="C231" s="47"/>
      <c r="D231" s="118" t="str">
        <f ca="1">"Pie Chart of Daily Peak Demand(Inclusive of Export) of Nepal ("&amp;A4&amp;" "&amp;B4&amp;")"</f>
        <v>Pie Chart of Daily Peak Demand(Inclusive of Export) of Nepal (Nepali Date: 2079/02/7)</v>
      </c>
      <c r="E231" s="47"/>
      <c r="F231" s="47"/>
      <c r="G231" s="118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118" t="str">
        <f ca="1">"Daily Load Curve(Excluding of Export) of Nepal ("&amp;A4&amp;" "&amp;B4&amp;")"</f>
        <v>Daily Load Curve(Excluding of Export) of Nepal (Nepali Date: 2079/02/7)</v>
      </c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50" ht="12.75" customHeight="1" thickBot="1" x14ac:dyDescent="0.3">
      <c r="A232" s="119" t="s">
        <v>7</v>
      </c>
      <c r="B232" s="120"/>
      <c r="C232" s="47"/>
      <c r="D232" s="121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50" ht="15.75" thickTop="1" x14ac:dyDescent="0.25">
      <c r="A233" s="119" t="s">
        <v>96</v>
      </c>
      <c r="B233" s="120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122" t="s">
        <v>97</v>
      </c>
      <c r="T233" s="123">
        <v>0</v>
      </c>
      <c r="U233" s="124">
        <v>4.1666666666666664E-2</v>
      </c>
      <c r="V233" s="125">
        <v>8.3333333333333301E-2</v>
      </c>
      <c r="W233" s="125">
        <v>0.125</v>
      </c>
      <c r="X233" s="125">
        <v>0.16666666666666699</v>
      </c>
      <c r="Y233" s="125">
        <v>0.20833333333333301</v>
      </c>
      <c r="Z233" s="125">
        <v>0.22916666666666666</v>
      </c>
      <c r="AA233" s="125">
        <v>0.25</v>
      </c>
      <c r="AB233" s="125">
        <v>0.27083333333333331</v>
      </c>
      <c r="AC233" s="125">
        <v>0.29166666666666669</v>
      </c>
      <c r="AD233" s="125">
        <v>0.3125</v>
      </c>
      <c r="AE233" s="126">
        <v>0.33333333333333331</v>
      </c>
      <c r="AF233" s="126">
        <v>0.375</v>
      </c>
      <c r="AG233" s="126">
        <v>0.41666666666666702</v>
      </c>
      <c r="AH233" s="126">
        <v>0.45833333333333298</v>
      </c>
      <c r="AI233" s="126">
        <v>0.5</v>
      </c>
      <c r="AJ233" s="126">
        <v>0.54166666666666696</v>
      </c>
      <c r="AK233" s="126">
        <v>0.58333333333333304</v>
      </c>
      <c r="AL233" s="126">
        <v>0.625</v>
      </c>
      <c r="AM233" s="126">
        <v>0.66666666666666696</v>
      </c>
      <c r="AN233" s="126">
        <v>0.70833333333333304</v>
      </c>
      <c r="AO233" s="126">
        <v>0.72916666666666663</v>
      </c>
      <c r="AP233" s="126">
        <v>0.75</v>
      </c>
      <c r="AQ233" s="126">
        <v>0.77083333333333337</v>
      </c>
      <c r="AR233" s="126">
        <v>0.79166666666666663</v>
      </c>
      <c r="AS233" s="126">
        <v>0.8125</v>
      </c>
      <c r="AT233" s="125">
        <v>0.83333333333333337</v>
      </c>
      <c r="AU233" s="125">
        <v>0.85416666666666663</v>
      </c>
      <c r="AV233" s="125">
        <v>0.875</v>
      </c>
      <c r="AW233" s="125">
        <v>0.91666666666666696</v>
      </c>
      <c r="AX233" s="125">
        <v>0.95833333333333304</v>
      </c>
    </row>
    <row r="234" spans="1:50" x14ac:dyDescent="0.25">
      <c r="A234" s="119" t="s">
        <v>98</v>
      </c>
      <c r="B234" s="120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 t="s">
        <v>99</v>
      </c>
      <c r="T234" s="127">
        <f t="shared" ref="T234:AX234" si="40">B79</f>
        <v>1791.74</v>
      </c>
      <c r="U234" s="127">
        <f t="shared" si="40"/>
        <v>1771.04</v>
      </c>
      <c r="V234" s="127">
        <f t="shared" si="40"/>
        <v>1769.3400000000001</v>
      </c>
      <c r="W234" s="127">
        <f t="shared" si="40"/>
        <v>1730.8400000000001</v>
      </c>
      <c r="X234" s="127">
        <f t="shared" si="40"/>
        <v>1721.8400000000001</v>
      </c>
      <c r="Y234" s="127">
        <f t="shared" si="40"/>
        <v>1723.3400000000001</v>
      </c>
      <c r="Z234" s="127">
        <f t="shared" si="40"/>
        <v>1700.84</v>
      </c>
      <c r="AA234" s="127">
        <f t="shared" si="40"/>
        <v>1640.14</v>
      </c>
      <c r="AB234" s="127">
        <f t="shared" si="40"/>
        <v>1668.94</v>
      </c>
      <c r="AC234" s="127">
        <f t="shared" si="40"/>
        <v>1631.44</v>
      </c>
      <c r="AD234" s="127">
        <f t="shared" si="40"/>
        <v>1656.0400000000002</v>
      </c>
      <c r="AE234" s="127">
        <f t="shared" si="40"/>
        <v>1739.1400000000003</v>
      </c>
      <c r="AF234" s="127">
        <f t="shared" si="40"/>
        <v>1714.14</v>
      </c>
      <c r="AG234" s="127">
        <f t="shared" si="40"/>
        <v>1811.8400000000001</v>
      </c>
      <c r="AH234" s="127">
        <f t="shared" si="40"/>
        <v>1805.54</v>
      </c>
      <c r="AI234" s="127">
        <f t="shared" si="40"/>
        <v>1829.6399999999999</v>
      </c>
      <c r="AJ234" s="127">
        <f t="shared" si="40"/>
        <v>1812.6399999999999</v>
      </c>
      <c r="AK234" s="127" t="e">
        <f t="shared" si="40"/>
        <v>#VALUE!</v>
      </c>
      <c r="AL234" s="127">
        <f t="shared" si="40"/>
        <v>1779.2400000000002</v>
      </c>
      <c r="AM234" s="127">
        <f t="shared" si="40"/>
        <v>1770.34</v>
      </c>
      <c r="AN234" s="127">
        <f t="shared" si="40"/>
        <v>1734.94</v>
      </c>
      <c r="AO234" s="127">
        <f t="shared" si="40"/>
        <v>1727.44</v>
      </c>
      <c r="AP234" s="127">
        <f t="shared" si="40"/>
        <v>1718.24</v>
      </c>
      <c r="AQ234" s="127">
        <f t="shared" si="40"/>
        <v>1716.14</v>
      </c>
      <c r="AR234" s="127">
        <f t="shared" si="40"/>
        <v>1715.74</v>
      </c>
      <c r="AS234" s="127" t="e">
        <f t="shared" si="40"/>
        <v>#VALUE!</v>
      </c>
      <c r="AT234" s="127">
        <f t="shared" si="40"/>
        <v>1764.2400000000002</v>
      </c>
      <c r="AU234" s="127">
        <f t="shared" si="40"/>
        <v>1822.84</v>
      </c>
      <c r="AV234" s="127">
        <f t="shared" si="40"/>
        <v>1837.44</v>
      </c>
      <c r="AW234" s="127">
        <f t="shared" si="40"/>
        <v>1807.64</v>
      </c>
      <c r="AX234" s="127">
        <f t="shared" si="40"/>
        <v>1734.7400000000002</v>
      </c>
    </row>
    <row r="235" spans="1:50" x14ac:dyDescent="0.25">
      <c r="A235" s="119" t="s">
        <v>100</v>
      </c>
      <c r="B235" s="120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</row>
    <row r="236" spans="1:50" x14ac:dyDescent="0.25">
      <c r="A236" s="119" t="s">
        <v>101</v>
      </c>
      <c r="B236" s="120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</row>
    <row r="237" spans="1:50" x14ac:dyDescent="0.25">
      <c r="A237" s="119" t="s">
        <v>102</v>
      </c>
      <c r="B237" s="120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50" x14ac:dyDescent="0.25">
      <c r="A238" s="119" t="s">
        <v>103</v>
      </c>
      <c r="B238" s="128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50" x14ac:dyDescent="0.25">
      <c r="A239" s="119" t="s">
        <v>104</v>
      </c>
      <c r="B239" s="120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50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1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1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1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1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1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</row>
    <row r="246" spans="1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J246"/>
    </row>
    <row r="247" spans="1:36" x14ac:dyDescent="0.25"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J247"/>
    </row>
    <row r="248" spans="1:36" x14ac:dyDescent="0.25"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J248"/>
    </row>
    <row r="249" spans="1:36" x14ac:dyDescent="0.25"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J249"/>
    </row>
    <row r="250" spans="1:36" x14ac:dyDescent="0.25"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J250"/>
    </row>
    <row r="251" spans="1:36" x14ac:dyDescent="0.25"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J251"/>
    </row>
    <row r="252" spans="1:36" x14ac:dyDescent="0.25"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J252"/>
    </row>
    <row r="253" spans="1:36" x14ac:dyDescent="0.25"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J253"/>
    </row>
    <row r="254" spans="1:36" x14ac:dyDescent="0.25"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J254"/>
    </row>
    <row r="255" spans="1:36" x14ac:dyDescent="0.25">
      <c r="A255" s="129" t="s">
        <v>89</v>
      </c>
      <c r="B255" s="130">
        <f t="shared" ref="B255:AE255" si="41">C219</f>
        <v>0.64</v>
      </c>
      <c r="C255" s="130">
        <f t="shared" si="41"/>
        <v>0.64</v>
      </c>
      <c r="D255" s="130">
        <f t="shared" si="41"/>
        <v>0.64</v>
      </c>
      <c r="E255" s="130">
        <f t="shared" si="41"/>
        <v>0.64</v>
      </c>
      <c r="F255" s="130">
        <f t="shared" si="41"/>
        <v>0.64</v>
      </c>
      <c r="G255" s="130">
        <f t="shared" si="41"/>
        <v>0.64</v>
      </c>
      <c r="H255" s="130">
        <f t="shared" si="41"/>
        <v>0.64</v>
      </c>
      <c r="I255" s="130">
        <f t="shared" si="41"/>
        <v>0.64</v>
      </c>
      <c r="J255" s="130">
        <f t="shared" si="41"/>
        <v>0.64</v>
      </c>
      <c r="K255" s="130">
        <f t="shared" si="41"/>
        <v>0.64</v>
      </c>
      <c r="L255" s="130">
        <f t="shared" si="41"/>
        <v>0.64</v>
      </c>
      <c r="M255" s="130">
        <f t="shared" si="41"/>
        <v>0.64</v>
      </c>
      <c r="N255" s="130">
        <f t="shared" si="41"/>
        <v>0.64</v>
      </c>
      <c r="O255" s="130">
        <f t="shared" si="41"/>
        <v>0.64</v>
      </c>
      <c r="P255" s="130">
        <f t="shared" si="41"/>
        <v>0</v>
      </c>
      <c r="Q255" s="130">
        <f t="shared" si="41"/>
        <v>0</v>
      </c>
      <c r="R255" s="130">
        <f t="shared" si="41"/>
        <v>0</v>
      </c>
      <c r="S255" s="130">
        <f t="shared" si="41"/>
        <v>0</v>
      </c>
      <c r="T255" s="130">
        <f t="shared" si="41"/>
        <v>0</v>
      </c>
      <c r="U255" s="130">
        <f t="shared" si="41"/>
        <v>0</v>
      </c>
      <c r="V255" s="130">
        <f t="shared" si="41"/>
        <v>0</v>
      </c>
      <c r="W255" s="130">
        <f t="shared" si="41"/>
        <v>0</v>
      </c>
      <c r="X255" s="130">
        <f t="shared" si="41"/>
        <v>0</v>
      </c>
      <c r="Y255" s="130">
        <f t="shared" si="41"/>
        <v>0</v>
      </c>
      <c r="Z255" s="130">
        <f t="shared" si="41"/>
        <v>0</v>
      </c>
      <c r="AA255" s="130">
        <f t="shared" si="41"/>
        <v>0</v>
      </c>
      <c r="AB255" s="130">
        <f t="shared" si="41"/>
        <v>0</v>
      </c>
      <c r="AC255" s="130">
        <f t="shared" si="41"/>
        <v>0</v>
      </c>
      <c r="AD255" s="130">
        <f t="shared" si="41"/>
        <v>0</v>
      </c>
      <c r="AE255" s="130">
        <f t="shared" si="41"/>
        <v>0</v>
      </c>
      <c r="AF255" s="130">
        <f>B219</f>
        <v>0</v>
      </c>
      <c r="AG255" s="47"/>
      <c r="AH255" s="47"/>
      <c r="AJ255"/>
    </row>
    <row r="256" spans="1:36" x14ac:dyDescent="0.25">
      <c r="A256" s="88" t="str">
        <f>A223</f>
        <v>KGA</v>
      </c>
      <c r="B256" s="88" t="str">
        <f>IF(B223&lt;100,"",B223-520)</f>
        <v/>
      </c>
      <c r="C256" s="88" t="str">
        <f t="shared" ref="C256:AF256" si="42">IF(C223&lt;100,"",C223-520)</f>
        <v/>
      </c>
      <c r="D256" s="88" t="str">
        <f t="shared" si="42"/>
        <v/>
      </c>
      <c r="E256" s="88" t="str">
        <f t="shared" si="42"/>
        <v/>
      </c>
      <c r="F256" s="88" t="str">
        <f t="shared" si="42"/>
        <v/>
      </c>
      <c r="G256" s="88" t="str">
        <f t="shared" si="42"/>
        <v/>
      </c>
      <c r="H256" s="88" t="str">
        <f t="shared" si="42"/>
        <v/>
      </c>
      <c r="I256" s="88" t="str">
        <f t="shared" si="42"/>
        <v/>
      </c>
      <c r="J256" s="88" t="str">
        <f t="shared" si="42"/>
        <v/>
      </c>
      <c r="K256" s="88" t="str">
        <f t="shared" si="42"/>
        <v/>
      </c>
      <c r="L256" s="88" t="str">
        <f t="shared" si="42"/>
        <v/>
      </c>
      <c r="M256" s="88" t="str">
        <f t="shared" si="42"/>
        <v/>
      </c>
      <c r="N256" s="88" t="str">
        <f t="shared" si="42"/>
        <v/>
      </c>
      <c r="O256" s="88" t="str">
        <f t="shared" si="42"/>
        <v/>
      </c>
      <c r="P256" s="88" t="str">
        <f t="shared" si="42"/>
        <v/>
      </c>
      <c r="Q256" s="88" t="str">
        <f t="shared" si="42"/>
        <v/>
      </c>
      <c r="R256" s="88" t="str">
        <f t="shared" si="42"/>
        <v/>
      </c>
      <c r="S256" s="88" t="str">
        <f t="shared" si="42"/>
        <v/>
      </c>
      <c r="T256" s="88" t="str">
        <f t="shared" si="42"/>
        <v/>
      </c>
      <c r="U256" s="88" t="str">
        <f t="shared" si="42"/>
        <v/>
      </c>
      <c r="V256" s="88" t="str">
        <f t="shared" si="42"/>
        <v/>
      </c>
      <c r="W256" s="88" t="str">
        <f t="shared" si="42"/>
        <v/>
      </c>
      <c r="X256" s="88" t="str">
        <f t="shared" si="42"/>
        <v/>
      </c>
      <c r="Y256" s="88" t="str">
        <f t="shared" si="42"/>
        <v/>
      </c>
      <c r="Z256" s="88" t="str">
        <f t="shared" si="42"/>
        <v/>
      </c>
      <c r="AA256" s="88" t="str">
        <f t="shared" si="42"/>
        <v/>
      </c>
      <c r="AB256" s="88" t="str">
        <f t="shared" si="42"/>
        <v/>
      </c>
      <c r="AC256" s="88" t="str">
        <f t="shared" si="42"/>
        <v/>
      </c>
      <c r="AD256" s="88" t="str">
        <f t="shared" si="42"/>
        <v/>
      </c>
      <c r="AE256" s="88" t="str">
        <f t="shared" si="42"/>
        <v/>
      </c>
      <c r="AF256" s="88" t="str">
        <f t="shared" si="42"/>
        <v/>
      </c>
      <c r="AG256" s="47"/>
      <c r="AH256" s="47"/>
      <c r="AJ256"/>
    </row>
    <row r="257" spans="1:36" x14ac:dyDescent="0.25">
      <c r="A257" s="88" t="str">
        <f>A224</f>
        <v>MMRS</v>
      </c>
      <c r="B257" s="88" t="str">
        <f t="shared" ref="B257:AF257" si="43">IF(B224&lt;100,"",B224-620)</f>
        <v/>
      </c>
      <c r="C257" s="88" t="str">
        <f t="shared" si="43"/>
        <v/>
      </c>
      <c r="D257" s="88" t="str">
        <f t="shared" si="43"/>
        <v/>
      </c>
      <c r="E257" s="88" t="str">
        <f t="shared" si="43"/>
        <v/>
      </c>
      <c r="F257" s="88" t="str">
        <f t="shared" si="43"/>
        <v/>
      </c>
      <c r="G257" s="88" t="str">
        <f t="shared" si="43"/>
        <v/>
      </c>
      <c r="H257" s="88" t="str">
        <f t="shared" si="43"/>
        <v/>
      </c>
      <c r="I257" s="88" t="str">
        <f t="shared" si="43"/>
        <v/>
      </c>
      <c r="J257" s="88" t="str">
        <f t="shared" si="43"/>
        <v/>
      </c>
      <c r="K257" s="88" t="str">
        <f t="shared" si="43"/>
        <v/>
      </c>
      <c r="L257" s="88" t="str">
        <f t="shared" si="43"/>
        <v/>
      </c>
      <c r="M257" s="88" t="str">
        <f t="shared" si="43"/>
        <v/>
      </c>
      <c r="N257" s="88" t="str">
        <f t="shared" si="43"/>
        <v/>
      </c>
      <c r="O257" s="88" t="str">
        <f t="shared" si="43"/>
        <v/>
      </c>
      <c r="P257" s="88" t="str">
        <f t="shared" si="43"/>
        <v/>
      </c>
      <c r="Q257" s="88" t="str">
        <f t="shared" si="43"/>
        <v/>
      </c>
      <c r="R257" s="88" t="str">
        <f t="shared" si="43"/>
        <v/>
      </c>
      <c r="S257" s="88" t="str">
        <f t="shared" si="43"/>
        <v/>
      </c>
      <c r="T257" s="88" t="str">
        <f t="shared" si="43"/>
        <v/>
      </c>
      <c r="U257" s="88" t="str">
        <f t="shared" si="43"/>
        <v/>
      </c>
      <c r="V257" s="88" t="str">
        <f t="shared" si="43"/>
        <v/>
      </c>
      <c r="W257" s="88" t="str">
        <f t="shared" si="43"/>
        <v/>
      </c>
      <c r="X257" s="88" t="str">
        <f t="shared" si="43"/>
        <v/>
      </c>
      <c r="Y257" s="88" t="str">
        <f t="shared" si="43"/>
        <v/>
      </c>
      <c r="Z257" s="88" t="str">
        <f t="shared" si="43"/>
        <v/>
      </c>
      <c r="AA257" s="88" t="str">
        <f t="shared" si="43"/>
        <v/>
      </c>
      <c r="AB257" s="88" t="str">
        <f t="shared" si="43"/>
        <v/>
      </c>
      <c r="AC257" s="88" t="str">
        <f t="shared" si="43"/>
        <v/>
      </c>
      <c r="AD257" s="88" t="str">
        <f t="shared" si="43"/>
        <v/>
      </c>
      <c r="AE257" s="88" t="str">
        <f t="shared" si="43"/>
        <v/>
      </c>
      <c r="AF257" s="88" t="str">
        <f t="shared" si="43"/>
        <v/>
      </c>
      <c r="AG257" s="47"/>
      <c r="AH257" s="47"/>
      <c r="AJ257"/>
    </row>
    <row r="258" spans="1:36" x14ac:dyDescent="0.25">
      <c r="A258" s="88" t="str">
        <f>A225</f>
        <v>MRS</v>
      </c>
      <c r="B258" s="88" t="str">
        <f t="shared" ref="B258:AF258" si="44">IF(B225&lt;100,"",B225-330)</f>
        <v/>
      </c>
      <c r="C258" s="88" t="str">
        <f t="shared" si="44"/>
        <v/>
      </c>
      <c r="D258" s="88" t="str">
        <f t="shared" si="44"/>
        <v/>
      </c>
      <c r="E258" s="88" t="str">
        <f t="shared" si="44"/>
        <v/>
      </c>
      <c r="F258" s="88" t="str">
        <f t="shared" si="44"/>
        <v/>
      </c>
      <c r="G258" s="88" t="str">
        <f t="shared" si="44"/>
        <v/>
      </c>
      <c r="H258" s="88" t="str">
        <f t="shared" si="44"/>
        <v/>
      </c>
      <c r="I258" s="88" t="str">
        <f t="shared" si="44"/>
        <v/>
      </c>
      <c r="J258" s="88" t="str">
        <f t="shared" si="44"/>
        <v/>
      </c>
      <c r="K258" s="88" t="str">
        <f t="shared" si="44"/>
        <v/>
      </c>
      <c r="L258" s="88" t="str">
        <f t="shared" si="44"/>
        <v/>
      </c>
      <c r="M258" s="88" t="str">
        <f t="shared" si="44"/>
        <v/>
      </c>
      <c r="N258" s="88" t="str">
        <f t="shared" si="44"/>
        <v/>
      </c>
      <c r="O258" s="88" t="str">
        <f t="shared" si="44"/>
        <v/>
      </c>
      <c r="P258" s="88" t="str">
        <f t="shared" si="44"/>
        <v/>
      </c>
      <c r="Q258" s="88" t="str">
        <f t="shared" si="44"/>
        <v/>
      </c>
      <c r="R258" s="88" t="str">
        <f t="shared" si="44"/>
        <v/>
      </c>
      <c r="S258" s="88" t="str">
        <f t="shared" si="44"/>
        <v/>
      </c>
      <c r="T258" s="88" t="str">
        <f t="shared" si="44"/>
        <v/>
      </c>
      <c r="U258" s="88" t="str">
        <f t="shared" si="44"/>
        <v/>
      </c>
      <c r="V258" s="88" t="str">
        <f t="shared" si="44"/>
        <v/>
      </c>
      <c r="W258" s="88" t="str">
        <f t="shared" si="44"/>
        <v/>
      </c>
      <c r="X258" s="88" t="str">
        <f t="shared" si="44"/>
        <v/>
      </c>
      <c r="Y258" s="88" t="str">
        <f t="shared" si="44"/>
        <v/>
      </c>
      <c r="Z258" s="88" t="str">
        <f t="shared" si="44"/>
        <v/>
      </c>
      <c r="AA258" s="88" t="str">
        <f t="shared" si="44"/>
        <v/>
      </c>
      <c r="AB258" s="88" t="str">
        <f t="shared" si="44"/>
        <v/>
      </c>
      <c r="AC258" s="88" t="str">
        <f t="shared" si="44"/>
        <v/>
      </c>
      <c r="AD258" s="88" t="str">
        <f t="shared" si="44"/>
        <v/>
      </c>
      <c r="AE258" s="88" t="str">
        <f t="shared" si="44"/>
        <v/>
      </c>
      <c r="AF258" s="88" t="str">
        <f t="shared" si="44"/>
        <v/>
      </c>
      <c r="AG258" s="47"/>
      <c r="AH258" s="47"/>
      <c r="AJ258"/>
    </row>
    <row r="259" spans="1:36" x14ac:dyDescent="0.25">
      <c r="A259" s="88" t="str">
        <f>A226</f>
        <v>KL 1</v>
      </c>
      <c r="B259" s="88" t="str">
        <f>IF(B226&lt;100,"",B226-1500)</f>
        <v/>
      </c>
      <c r="C259" s="88" t="str">
        <f t="shared" ref="C259:AF259" si="45">IF(C226&lt;100,"",C226-1500)</f>
        <v/>
      </c>
      <c r="D259" s="88" t="str">
        <f t="shared" si="45"/>
        <v/>
      </c>
      <c r="E259" s="88" t="str">
        <f t="shared" si="45"/>
        <v/>
      </c>
      <c r="F259" s="88" t="str">
        <f t="shared" si="45"/>
        <v/>
      </c>
      <c r="G259" s="88" t="str">
        <f t="shared" si="45"/>
        <v/>
      </c>
      <c r="H259" s="88" t="str">
        <f t="shared" si="45"/>
        <v/>
      </c>
      <c r="I259" s="88" t="str">
        <f t="shared" si="45"/>
        <v/>
      </c>
      <c r="J259" s="88" t="str">
        <f t="shared" si="45"/>
        <v/>
      </c>
      <c r="K259" s="88" t="str">
        <f t="shared" si="45"/>
        <v/>
      </c>
      <c r="L259" s="88" t="str">
        <f t="shared" si="45"/>
        <v/>
      </c>
      <c r="M259" s="88" t="str">
        <f t="shared" si="45"/>
        <v/>
      </c>
      <c r="N259" s="88" t="str">
        <f t="shared" si="45"/>
        <v/>
      </c>
      <c r="O259" s="88" t="str">
        <f t="shared" si="45"/>
        <v/>
      </c>
      <c r="P259" s="88" t="str">
        <f t="shared" si="45"/>
        <v/>
      </c>
      <c r="Q259" s="88" t="str">
        <f t="shared" si="45"/>
        <v/>
      </c>
      <c r="R259" s="88" t="str">
        <f t="shared" si="45"/>
        <v/>
      </c>
      <c r="S259" s="88" t="str">
        <f t="shared" si="45"/>
        <v/>
      </c>
      <c r="T259" s="88" t="str">
        <f t="shared" si="45"/>
        <v/>
      </c>
      <c r="U259" s="88" t="str">
        <f t="shared" si="45"/>
        <v/>
      </c>
      <c r="V259" s="88" t="str">
        <f t="shared" si="45"/>
        <v/>
      </c>
      <c r="W259" s="88" t="str">
        <f t="shared" si="45"/>
        <v/>
      </c>
      <c r="X259" s="88" t="str">
        <f t="shared" si="45"/>
        <v/>
      </c>
      <c r="Y259" s="88" t="str">
        <f t="shared" si="45"/>
        <v/>
      </c>
      <c r="Z259" s="88" t="str">
        <f t="shared" si="45"/>
        <v/>
      </c>
      <c r="AA259" s="88" t="str">
        <f t="shared" si="45"/>
        <v/>
      </c>
      <c r="AB259" s="88" t="str">
        <f t="shared" si="45"/>
        <v/>
      </c>
      <c r="AC259" s="88" t="str">
        <f t="shared" si="45"/>
        <v/>
      </c>
      <c r="AD259" s="88" t="str">
        <f t="shared" si="45"/>
        <v/>
      </c>
      <c r="AE259" s="88" t="str">
        <f t="shared" si="45"/>
        <v/>
      </c>
      <c r="AF259" s="88" t="str">
        <f t="shared" si="45"/>
        <v/>
      </c>
      <c r="AG259" s="47"/>
      <c r="AH259" s="47"/>
      <c r="AJ259"/>
    </row>
    <row r="260" spans="1:36" x14ac:dyDescent="0.25"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J260"/>
    </row>
    <row r="261" spans="1:36" x14ac:dyDescent="0.25"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J261"/>
    </row>
    <row r="262" spans="1:36" x14ac:dyDescent="0.25"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J262"/>
    </row>
    <row r="263" spans="1:36" x14ac:dyDescent="0.25"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J263"/>
    </row>
    <row r="264" spans="1:36" x14ac:dyDescent="0.25"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J264"/>
    </row>
    <row r="265" spans="1:36" x14ac:dyDescent="0.25"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J265"/>
    </row>
    <row r="266" spans="1:36" x14ac:dyDescent="0.25"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J266"/>
    </row>
    <row r="490" spans="36:38" x14ac:dyDescent="0.25">
      <c r="AK490" s="1"/>
    </row>
    <row r="491" spans="36:38" x14ac:dyDescent="0.25">
      <c r="AK491" s="1"/>
      <c r="AL491" s="1"/>
    </row>
    <row r="492" spans="36:38" x14ac:dyDescent="0.25">
      <c r="AJ492"/>
    </row>
  </sheetData>
  <mergeCells count="48">
    <mergeCell ref="A231:B23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1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17">
      <iconSet iconSet="3TrafficLights2" reverse="1">
        <cfvo type="percent" val="0"/>
        <cfvo type="num" val="1"/>
        <cfvo type="num" val="1"/>
      </iconSet>
    </cfRule>
  </conditionalFormatting>
  <conditionalFormatting sqref="D214:AF220 B214:B220 B212:AF212 U233:AF233 C99:AF105 B9:AF10 AA11:AF11">
    <cfRule type="expression" dxfId="5787" priority="313">
      <formula>B$9&gt;=20/24</formula>
    </cfRule>
    <cfRule type="expression" dxfId="5786" priority="314">
      <formula>AND(B$9&gt;=14/24,B$9&lt;20/24)</formula>
    </cfRule>
    <cfRule type="expression" dxfId="5785" priority="315">
      <formula>AND(B$9&gt;=8/24,B$9&lt;14/24)</formula>
    </cfRule>
    <cfRule type="expression" dxfId="5784" priority="316">
      <formula>B$9&lt;8/24</formula>
    </cfRule>
  </conditionalFormatting>
  <conditionalFormatting sqref="AL4:AL6">
    <cfRule type="iconSet" priority="312">
      <iconSet iconSet="3TrafficLights2" reverse="1">
        <cfvo type="percent" val="0"/>
        <cfvo type="num" val="1"/>
        <cfvo type="num" val="1"/>
      </iconSet>
    </cfRule>
  </conditionalFormatting>
  <conditionalFormatting sqref="S37 AB37:AF37">
    <cfRule type="expression" dxfId="5783" priority="308">
      <formula>S$9&gt;=20/24</formula>
    </cfRule>
    <cfRule type="expression" dxfId="5782" priority="309">
      <formula>AND(S$9&gt;=14/24,S$9&lt;20/24)</formula>
    </cfRule>
    <cfRule type="expression" dxfId="5781" priority="310">
      <formula>AND(S$9&gt;=8/24,S$9&lt;14/24)</formula>
    </cfRule>
    <cfRule type="expression" dxfId="5780" priority="311">
      <formula>S$9&lt;8/24</formula>
    </cfRule>
  </conditionalFormatting>
  <conditionalFormatting sqref="AG55 S37 B12:J16 S11:S16 K11:R11 K16:R16 B35:S35 AB35:AF35 AA11:AF16 AB37:AF37">
    <cfRule type="expression" dxfId="5779" priority="307">
      <formula>B11&gt;$AG11</formula>
    </cfRule>
  </conditionalFormatting>
  <conditionalFormatting sqref="A89:A102 A11:A14 A49:A76 A85:A87 A190:A220 A16:A30 A36:A47 A106:A177 A32:A33 A81:A83 A78:A79">
    <cfRule type="expression" dxfId="5778" priority="306">
      <formula>$AH11=0</formula>
    </cfRule>
  </conditionalFormatting>
  <conditionalFormatting sqref="A103">
    <cfRule type="expression" dxfId="5777" priority="305">
      <formula>$AH103=0</formula>
    </cfRule>
  </conditionalFormatting>
  <conditionalFormatting sqref="AL33">
    <cfRule type="iconSet" priority="304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5776" priority="303">
      <formula>$AH35=0</formula>
    </cfRule>
  </conditionalFormatting>
  <conditionalFormatting sqref="A88">
    <cfRule type="expression" dxfId="5775" priority="302">
      <formula>$AH88=0</formula>
    </cfRule>
  </conditionalFormatting>
  <conditionalFormatting sqref="A15">
    <cfRule type="expression" dxfId="5774" priority="301">
      <formula>$AH15=0</formula>
    </cfRule>
  </conditionalFormatting>
  <conditionalFormatting sqref="A184:A189">
    <cfRule type="expression" dxfId="5773" priority="300">
      <formula>$AH184=0</formula>
    </cfRule>
  </conditionalFormatting>
  <conditionalFormatting sqref="A178:A183">
    <cfRule type="expression" dxfId="5772" priority="299">
      <formula>$AH178=0</formula>
    </cfRule>
  </conditionalFormatting>
  <conditionalFormatting sqref="A48">
    <cfRule type="expression" dxfId="5771" priority="298">
      <formula>$AH48=0</formula>
    </cfRule>
  </conditionalFormatting>
  <conditionalFormatting sqref="A84">
    <cfRule type="expression" dxfId="5770" priority="297">
      <formula>$AH84=0</formula>
    </cfRule>
  </conditionalFormatting>
  <conditionalFormatting sqref="C89:AF89">
    <cfRule type="expression" dxfId="5769" priority="293">
      <formula>C$9&gt;=20/24</formula>
    </cfRule>
    <cfRule type="expression" dxfId="5768" priority="294">
      <formula>AND(C$9&gt;=14/24,C$9&lt;20/24)</formula>
    </cfRule>
    <cfRule type="expression" dxfId="5767" priority="295">
      <formula>AND(C$9&gt;=8/24,C$9&lt;14/24)</formula>
    </cfRule>
    <cfRule type="expression" dxfId="5766" priority="296">
      <formula>C$9&lt;8/24</formula>
    </cfRule>
  </conditionalFormatting>
  <conditionalFormatting sqref="AL34">
    <cfRule type="iconSet" priority="29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765" priority="319">
      <formula>C$9&gt;=20/24</formula>
    </cfRule>
    <cfRule type="expression" dxfId="5764" priority="320">
      <formula>AND(C$9&gt;=14/24,C$9&lt;20/24)</formula>
    </cfRule>
    <cfRule type="expression" dxfId="5763" priority="321">
      <formula>AND(C$9&gt;=8/24,C$9&lt;14/24)</formula>
    </cfRule>
    <cfRule type="expression" dxfId="5762" priority="322">
      <formula>C$9&lt;8/24</formula>
    </cfRule>
  </conditionalFormatting>
  <conditionalFormatting sqref="A221">
    <cfRule type="expression" dxfId="5761" priority="323">
      <formula>$AH221=0</formula>
    </cfRule>
  </conditionalFormatting>
  <conditionalFormatting sqref="AG233">
    <cfRule type="expression" dxfId="5760" priority="324">
      <formula>B$9&gt;=20/24</formula>
    </cfRule>
    <cfRule type="expression" dxfId="5759" priority="325">
      <formula>AND(B$9&gt;=14/24,B$9&lt;20/24)</formula>
    </cfRule>
    <cfRule type="expression" dxfId="5758" priority="326">
      <formula>AND(B$9&gt;=8/24,B$9&lt;14/24)</formula>
    </cfRule>
    <cfRule type="expression" dxfId="5757" priority="327">
      <formula>B$9&lt;8/24</formula>
    </cfRule>
  </conditionalFormatting>
  <conditionalFormatting sqref="S8">
    <cfRule type="expression" dxfId="5756" priority="288">
      <formula>U$9&gt;=20/24</formula>
    </cfRule>
    <cfRule type="expression" dxfId="5755" priority="289">
      <formula>AND(U$9&gt;=14/24,U$9&lt;20/24)</formula>
    </cfRule>
    <cfRule type="expression" dxfId="5754" priority="290">
      <formula>AND(U$9&gt;=8/24,U$9&lt;14/24)</formula>
    </cfRule>
    <cfRule type="expression" dxfId="5753" priority="291">
      <formula>U$9&lt;8/24</formula>
    </cfRule>
  </conditionalFormatting>
  <conditionalFormatting sqref="AB8">
    <cfRule type="expression" dxfId="5752" priority="284">
      <formula>AD$9&gt;=20/24</formula>
    </cfRule>
    <cfRule type="expression" dxfId="5751" priority="285">
      <formula>AND(AD$9&gt;=14/24,AD$9&lt;20/24)</formula>
    </cfRule>
    <cfRule type="expression" dxfId="5750" priority="286">
      <formula>AND(AD$9&gt;=8/24,AD$9&lt;14/24)</formula>
    </cfRule>
    <cfRule type="expression" dxfId="5749" priority="287">
      <formula>AD$9&lt;8/24</formula>
    </cfRule>
  </conditionalFormatting>
  <conditionalFormatting sqref="AH233:AX233">
    <cfRule type="expression" dxfId="5748" priority="328">
      <formula>AG$9&gt;=20/24</formula>
    </cfRule>
    <cfRule type="expression" dxfId="5747" priority="329">
      <formula>AND(AG$9&gt;=14/24,AG$9&lt;20/24)</formula>
    </cfRule>
    <cfRule type="expression" dxfId="5746" priority="330">
      <formula>AND(AG$9&gt;=8/24,AG$9&lt;14/24)</formula>
    </cfRule>
    <cfRule type="expression" dxfId="5745" priority="331">
      <formula>AG$9&lt;8/24</formula>
    </cfRule>
  </conditionalFormatting>
  <conditionalFormatting sqref="T233">
    <cfRule type="expression" dxfId="5744" priority="332">
      <formula>AX$9&gt;=20/24</formula>
    </cfRule>
    <cfRule type="expression" dxfId="5743" priority="333">
      <formula>AND(AX$9&gt;=14/24,AX$9&lt;20/24)</formula>
    </cfRule>
    <cfRule type="expression" dxfId="5742" priority="334">
      <formula>AND(AX$9&gt;=8/24,AX$9&lt;14/24)</formula>
    </cfRule>
    <cfRule type="expression" dxfId="5741" priority="335">
      <formula>AX$9&lt;8/24</formula>
    </cfRule>
  </conditionalFormatting>
  <conditionalFormatting sqref="A104:A105">
    <cfRule type="expression" dxfId="5740" priority="283">
      <formula>$AH104=0</formula>
    </cfRule>
  </conditionalFormatting>
  <conditionalFormatting sqref="S44:S45 C61:AF61 AB36:AF36 AA44:AF45">
    <cfRule type="expression" dxfId="5739" priority="279">
      <formula>C$9&gt;=20/24</formula>
    </cfRule>
    <cfRule type="expression" dxfId="5738" priority="280">
      <formula>AND(C$9&gt;=14/24,C$9&lt;20/24)</formula>
    </cfRule>
    <cfRule type="expression" dxfId="5737" priority="281">
      <formula>AND(C$9&gt;=8/24,C$9&lt;14/24)</formula>
    </cfRule>
    <cfRule type="expression" dxfId="5736" priority="282">
      <formula>C$9&lt;8/24</formula>
    </cfRule>
  </conditionalFormatting>
  <conditionalFormatting sqref="S43 AA43:AF43">
    <cfRule type="expression" dxfId="5735" priority="275">
      <formula>S$9&gt;=20/24</formula>
    </cfRule>
    <cfRule type="expression" dxfId="5734" priority="276">
      <formula>AND(S$9&gt;=14/24,S$9&lt;20/24)</formula>
    </cfRule>
    <cfRule type="expression" dxfId="5733" priority="277">
      <formula>AND(S$9&gt;=8/24,S$9&lt;14/24)</formula>
    </cfRule>
    <cfRule type="expression" dxfId="5732" priority="278">
      <formula>S$9&lt;8/24</formula>
    </cfRule>
  </conditionalFormatting>
  <conditionalFormatting sqref="S43:S45 AB36:AF36 AA43:AF45">
    <cfRule type="expression" dxfId="5731" priority="274">
      <formula>S36&gt;$AG36</formula>
    </cfRule>
  </conditionalFormatting>
  <conditionalFormatting sqref="M11 C86:AF86 C62:T63 C76:AF76 M64:T71 K12:M14 S12:S14 Q37:R37 M36:P37 Q36:S36 N11:R14 M16:S16 M28:S30 M18:S22 M24:S26 M32:S32 C57:AF59 C90:AF96 U62:AF71 M73:AF75 AB32:AF32 AB18:AF22 AB28:AF30 AA16:AF16 AA12:AF14 AB24:AF26">
    <cfRule type="expression" dxfId="5730" priority="270">
      <formula>C$9&gt;=20/24</formula>
    </cfRule>
    <cfRule type="expression" dxfId="5729" priority="271">
      <formula>AND(C$9&gt;=14/24,C$9&lt;20/24)</formula>
    </cfRule>
    <cfRule type="expression" dxfId="5728" priority="272">
      <formula>AND(C$9&gt;=8/24,C$9&lt;14/24)</formula>
    </cfRule>
    <cfRule type="expression" dxfId="5727" priority="273">
      <formula>C$9&lt;8/24</formula>
    </cfRule>
  </conditionalFormatting>
  <conditionalFormatting sqref="M33:S33 AB33:AF33">
    <cfRule type="expression" dxfId="5726" priority="266">
      <formula>M$9&gt;=20/24</formula>
    </cfRule>
    <cfRule type="expression" dxfId="5725" priority="267">
      <formula>AND(M$9&gt;=14/24,M$9&lt;20/24)</formula>
    </cfRule>
    <cfRule type="expression" dxfId="5724" priority="268">
      <formula>AND(M$9&gt;=8/24,M$9&lt;14/24)</formula>
    </cfRule>
    <cfRule type="expression" dxfId="5723" priority="269">
      <formula>M$9&lt;8/24</formula>
    </cfRule>
  </conditionalFormatting>
  <conditionalFormatting sqref="M11 K12:M15 C55:AF55 C37:O37 M36:O36 Q37:R37 P36:P37 Q36:S36 N11:R15 M18:S22 M24:S30 M32:S33 C57:AF59 AB32:AF33 AB18:AF22 AB46:AF47 AB24:AF30">
    <cfRule type="expression" dxfId="5722" priority="265">
      <formula>C11&gt;$AG11</formula>
    </cfRule>
  </conditionalFormatting>
  <conditionalFormatting sqref="M35:S35 AB35:AF35">
    <cfRule type="expression" dxfId="5721" priority="261">
      <formula>M$9&gt;=20/24</formula>
    </cfRule>
    <cfRule type="expression" dxfId="5720" priority="262">
      <formula>AND(M$9&gt;=14/24,M$9&lt;20/24)</formula>
    </cfRule>
    <cfRule type="expression" dxfId="5719" priority="263">
      <formula>AND(M$9&gt;=8/24,M$9&lt;14/24)</formula>
    </cfRule>
    <cfRule type="expression" dxfId="5718" priority="264">
      <formula>M$9&lt;8/24</formula>
    </cfRule>
  </conditionalFormatting>
  <conditionalFormatting sqref="K15:S15 AA15:AF15">
    <cfRule type="expression" dxfId="5717" priority="257">
      <formula>K$9&gt;=20/24</formula>
    </cfRule>
    <cfRule type="expression" dxfId="5716" priority="258">
      <formula>AND(K$9&gt;=14/24,K$9&lt;20/24)</formula>
    </cfRule>
    <cfRule type="expression" dxfId="5715" priority="259">
      <formula>AND(K$9&gt;=8/24,K$9&lt;14/24)</formula>
    </cfRule>
    <cfRule type="expression" dxfId="5714" priority="260">
      <formula>K$9&lt;8/24</formula>
    </cfRule>
  </conditionalFormatting>
  <conditionalFormatting sqref="M34:S34 AB34:AF34">
    <cfRule type="expression" dxfId="5713" priority="253">
      <formula>M$9&gt;=20/24</formula>
    </cfRule>
    <cfRule type="expression" dxfId="5712" priority="254">
      <formula>AND(M$9&gt;=14/24,M$9&lt;20/24)</formula>
    </cfRule>
    <cfRule type="expression" dxfId="5711" priority="255">
      <formula>AND(M$9&gt;=8/24,M$9&lt;14/24)</formula>
    </cfRule>
    <cfRule type="expression" dxfId="5710" priority="256">
      <formula>M$9&lt;8/24</formula>
    </cfRule>
  </conditionalFormatting>
  <conditionalFormatting sqref="M34:S34 AB34:AF34">
    <cfRule type="expression" dxfId="5709" priority="252">
      <formula>M34&gt;$AG34</formula>
    </cfRule>
  </conditionalFormatting>
  <conditionalFormatting sqref="S11">
    <cfRule type="expression" dxfId="5708" priority="248">
      <formula>S$9&gt;=20/24</formula>
    </cfRule>
    <cfRule type="expression" dxfId="5707" priority="249">
      <formula>AND(S$9&gt;=14/24,S$9&lt;20/24)</formula>
    </cfRule>
    <cfRule type="expression" dxfId="5706" priority="250">
      <formula>AND(S$9&gt;=8/24,S$9&lt;14/24)</formula>
    </cfRule>
    <cfRule type="expression" dxfId="5705" priority="251">
      <formula>S$9&lt;8/24</formula>
    </cfRule>
  </conditionalFormatting>
  <conditionalFormatting sqref="AA46:AA47 AB48:AF54">
    <cfRule type="expression" dxfId="5704" priority="244">
      <formula>AA$9&gt;=20/24</formula>
    </cfRule>
    <cfRule type="expression" dxfId="5703" priority="245">
      <formula>AND(AA$9&gt;=14/24,AA$9&lt;20/24)</formula>
    </cfRule>
    <cfRule type="expression" dxfId="5702" priority="246">
      <formula>AND(AA$9&gt;=8/24,AA$9&lt;14/24)</formula>
    </cfRule>
    <cfRule type="expression" dxfId="5701" priority="247">
      <formula>AA$9&lt;8/24</formula>
    </cfRule>
  </conditionalFormatting>
  <conditionalFormatting sqref="AA46:AA47 AB48:AF54">
    <cfRule type="expression" dxfId="5700" priority="243">
      <formula>AA46&gt;$AG46</formula>
    </cfRule>
  </conditionalFormatting>
  <conditionalFormatting sqref="S46:S54 AA48:AA54 M43:R54">
    <cfRule type="expression" dxfId="5699" priority="239">
      <formula>M$9&gt;=20/24</formula>
    </cfRule>
    <cfRule type="expression" dxfId="5698" priority="240">
      <formula>AND(M$9&gt;=14/24,M$9&lt;20/24)</formula>
    </cfRule>
    <cfRule type="expression" dxfId="5697" priority="241">
      <formula>AND(M$9&gt;=8/24,M$9&lt;14/24)</formula>
    </cfRule>
    <cfRule type="expression" dxfId="5696" priority="242">
      <formula>M$9&lt;8/24</formula>
    </cfRule>
  </conditionalFormatting>
  <conditionalFormatting sqref="S46:S54 AA48:AA54 M43:R54">
    <cfRule type="expression" dxfId="5695" priority="238">
      <formula>M43&gt;$AG43</formula>
    </cfRule>
  </conditionalFormatting>
  <conditionalFormatting sqref="M27:S27 AB27:AF27">
    <cfRule type="expression" dxfId="5694" priority="234">
      <formula>M$9&gt;=20/24</formula>
    </cfRule>
    <cfRule type="expression" dxfId="5693" priority="235">
      <formula>AND(M$9&gt;=14/24,M$9&lt;20/24)</formula>
    </cfRule>
    <cfRule type="expression" dxfId="5692" priority="236">
      <formula>AND(M$9&gt;=8/24,M$9&lt;14/24)</formula>
    </cfRule>
    <cfRule type="expression" dxfId="5691" priority="237">
      <formula>M$9&lt;8/24</formula>
    </cfRule>
  </conditionalFormatting>
  <conditionalFormatting sqref="K16:L16 K18:L22 K17:S17 M23:S23 AB23:AF23 AB17:AF17">
    <cfRule type="expression" dxfId="5690" priority="230">
      <formula>K$9&gt;=20/24</formula>
    </cfRule>
    <cfRule type="expression" dxfId="5689" priority="231">
      <formula>AND(K$9&gt;=14/24,K$9&lt;20/24)</formula>
    </cfRule>
    <cfRule type="expression" dxfId="5688" priority="232">
      <formula>AND(K$9&gt;=8/24,K$9&lt;14/24)</formula>
    </cfRule>
    <cfRule type="expression" dxfId="5687" priority="233">
      <formula>K$9&lt;8/24</formula>
    </cfRule>
  </conditionalFormatting>
  <conditionalFormatting sqref="B34:L34">
    <cfRule type="expression" dxfId="5686" priority="141">
      <formula>B$9&gt;=20/24</formula>
    </cfRule>
    <cfRule type="expression" dxfId="5685" priority="142">
      <formula>AND(B$9&gt;=14/24,B$9&lt;20/24)</formula>
    </cfRule>
    <cfRule type="expression" dxfId="5684" priority="143">
      <formula>AND(B$9&gt;=8/24,B$9&lt;14/24)</formula>
    </cfRule>
    <cfRule type="expression" dxfId="5683" priority="144">
      <formula>B$9&lt;8/24</formula>
    </cfRule>
  </conditionalFormatting>
  <conditionalFormatting sqref="K18:L22 K17:S17 M23:S23 AB23:AF23 AB17:AF17">
    <cfRule type="expression" dxfId="5682" priority="225">
      <formula>K17&gt;$AG17</formula>
    </cfRule>
  </conditionalFormatting>
  <conditionalFormatting sqref="B48:B54">
    <cfRule type="expression" dxfId="5681" priority="136">
      <formula>B$9&gt;=20/24</formula>
    </cfRule>
    <cfRule type="expression" dxfId="5680" priority="137">
      <formula>AND(B$9&gt;=14/24,B$9&lt;20/24)</formula>
    </cfRule>
    <cfRule type="expression" dxfId="5679" priority="138">
      <formula>AND(B$9&gt;=8/24,B$9&lt;14/24)</formula>
    </cfRule>
    <cfRule type="expression" dxfId="5678" priority="139">
      <formula>B$9&lt;8/24</formula>
    </cfRule>
  </conditionalFormatting>
  <conditionalFormatting sqref="C44:L45">
    <cfRule type="expression" dxfId="5677" priority="208">
      <formula>C$9&gt;=20/24</formula>
    </cfRule>
    <cfRule type="expression" dxfId="5676" priority="209">
      <formula>AND(C$9&gt;=14/24,C$9&lt;20/24)</formula>
    </cfRule>
    <cfRule type="expression" dxfId="5675" priority="210">
      <formula>AND(C$9&gt;=8/24,C$9&lt;14/24)</formula>
    </cfRule>
    <cfRule type="expression" dxfId="5674" priority="211">
      <formula>C$9&lt;8/24</formula>
    </cfRule>
  </conditionalFormatting>
  <conditionalFormatting sqref="C43:L43">
    <cfRule type="expression" dxfId="5673" priority="204">
      <formula>C$9&gt;=20/24</formula>
    </cfRule>
    <cfRule type="expression" dxfId="5672" priority="205">
      <formula>AND(C$9&gt;=14/24,C$9&lt;20/24)</formula>
    </cfRule>
    <cfRule type="expression" dxfId="5671" priority="206">
      <formula>AND(C$9&gt;=8/24,C$9&lt;14/24)</formula>
    </cfRule>
    <cfRule type="expression" dxfId="5670" priority="207">
      <formula>C$9&lt;8/24</formula>
    </cfRule>
  </conditionalFormatting>
  <conditionalFormatting sqref="C43:L45">
    <cfRule type="expression" dxfId="5669" priority="203">
      <formula>C43&gt;$AG43</formula>
    </cfRule>
  </conditionalFormatting>
  <conditionalFormatting sqref="C46:L47">
    <cfRule type="expression" dxfId="5668" priority="198">
      <formula>C46&gt;$AG46</formula>
    </cfRule>
  </conditionalFormatting>
  <conditionalFormatting sqref="C48:L54">
    <cfRule type="expression" dxfId="5667" priority="194">
      <formula>C$9&gt;=20/24</formula>
    </cfRule>
    <cfRule type="expression" dxfId="5666" priority="195">
      <formula>AND(C$9&gt;=14/24,C$9&lt;20/24)</formula>
    </cfRule>
    <cfRule type="expression" dxfId="5665" priority="196">
      <formula>AND(C$9&gt;=8/24,C$9&lt;14/24)</formula>
    </cfRule>
    <cfRule type="expression" dxfId="5664" priority="197">
      <formula>C$9&lt;8/24</formula>
    </cfRule>
  </conditionalFormatting>
  <conditionalFormatting sqref="C48:L54">
    <cfRule type="expression" dxfId="5663" priority="193">
      <formula>C48&gt;$AG48</formula>
    </cfRule>
  </conditionalFormatting>
  <conditionalFormatting sqref="B99:B105 B78:AF78 B87:AF87 B11:J11">
    <cfRule type="expression" dxfId="5662" priority="180">
      <formula>B$9&gt;=20/24</formula>
    </cfRule>
    <cfRule type="expression" dxfId="5661" priority="181">
      <formula>AND(B$9&gt;=14/24,B$9&lt;20/24)</formula>
    </cfRule>
    <cfRule type="expression" dxfId="5660" priority="182">
      <formula>AND(B$9&gt;=8/24,B$9&lt;14/24)</formula>
    </cfRule>
    <cfRule type="expression" dxfId="5659" priority="183">
      <formula>B$9&lt;8/24</formula>
    </cfRule>
  </conditionalFormatting>
  <conditionalFormatting sqref="B37">
    <cfRule type="expression" dxfId="5658" priority="176">
      <formula>B$9&gt;=20/24</formula>
    </cfRule>
    <cfRule type="expression" dxfId="5657" priority="177">
      <formula>AND(B$9&gt;=14/24,B$9&lt;20/24)</formula>
    </cfRule>
    <cfRule type="expression" dxfId="5656" priority="178">
      <formula>AND(B$9&gt;=8/24,B$9&lt;14/24)</formula>
    </cfRule>
    <cfRule type="expression" dxfId="5655" priority="179">
      <formula>B$9&lt;8/24</formula>
    </cfRule>
  </conditionalFormatting>
  <conditionalFormatting sqref="B37 B11:J11">
    <cfRule type="expression" dxfId="5654" priority="175">
      <formula>B11&gt;$AG11</formula>
    </cfRule>
  </conditionalFormatting>
  <conditionalFormatting sqref="B89">
    <cfRule type="expression" dxfId="5653" priority="171">
      <formula>B$9&gt;=20/24</formula>
    </cfRule>
    <cfRule type="expression" dxfId="5652" priority="172">
      <formula>AND(B$9&gt;=14/24,B$9&lt;20/24)</formula>
    </cfRule>
    <cfRule type="expression" dxfId="5651" priority="173">
      <formula>AND(B$9&gt;=8/24,B$9&lt;14/24)</formula>
    </cfRule>
    <cfRule type="expression" dxfId="5650" priority="174">
      <formula>B$9&lt;8/24</formula>
    </cfRule>
  </conditionalFormatting>
  <conditionalFormatting sqref="B44:B45 B61 B36:L36">
    <cfRule type="expression" dxfId="5649" priority="167">
      <formula>B$9&gt;=20/24</formula>
    </cfRule>
    <cfRule type="expression" dxfId="5648" priority="168">
      <formula>AND(B$9&gt;=14/24,B$9&lt;20/24)</formula>
    </cfRule>
    <cfRule type="expression" dxfId="5647" priority="169">
      <formula>AND(B$9&gt;=8/24,B$9&lt;14/24)</formula>
    </cfRule>
    <cfRule type="expression" dxfId="5646" priority="170">
      <formula>B$9&lt;8/24</formula>
    </cfRule>
  </conditionalFormatting>
  <conditionalFormatting sqref="B43">
    <cfRule type="expression" dxfId="5645" priority="163">
      <formula>B$9&gt;=20/24</formula>
    </cfRule>
    <cfRule type="expression" dxfId="5644" priority="164">
      <formula>AND(B$9&gt;=14/24,B$9&lt;20/24)</formula>
    </cfRule>
    <cfRule type="expression" dxfId="5643" priority="165">
      <formula>AND(B$9&gt;=8/24,B$9&lt;14/24)</formula>
    </cfRule>
    <cfRule type="expression" dxfId="5642" priority="166">
      <formula>B$9&lt;8/24</formula>
    </cfRule>
  </conditionalFormatting>
  <conditionalFormatting sqref="B43:B45 B36:L36">
    <cfRule type="expression" dxfId="5641" priority="162">
      <formula>B36&gt;$AG36</formula>
    </cfRule>
  </conditionalFormatting>
  <conditionalFormatting sqref="B90:B96 B57:B60 B62:B71 B73:B77 B79:AF79 B86 C60:AG60 C77:AG77 B88:AF88 C64:L71 C73:L75 B16:J16 B18:J22 B12:J14 B28:L30 B32:L32 B24:L26">
    <cfRule type="expression" dxfId="5640" priority="158">
      <formula>B$9&gt;=20/24</formula>
    </cfRule>
    <cfRule type="expression" dxfId="5639" priority="159">
      <formula>AND(B$9&gt;=14/24,B$9&lt;20/24)</formula>
    </cfRule>
    <cfRule type="expression" dxfId="5638" priority="160">
      <formula>AND(B$9&gt;=8/24,B$9&lt;14/24)</formula>
    </cfRule>
    <cfRule type="expression" dxfId="5637" priority="161">
      <formula>B$9&lt;8/24</formula>
    </cfRule>
  </conditionalFormatting>
  <conditionalFormatting sqref="B33:L33">
    <cfRule type="expression" dxfId="5636" priority="154">
      <formula>B$9&gt;=20/24</formula>
    </cfRule>
    <cfRule type="expression" dxfId="5635" priority="155">
      <formula>AND(B$9&gt;=14/24,B$9&lt;20/24)</formula>
    </cfRule>
    <cfRule type="expression" dxfId="5634" priority="156">
      <formula>AND(B$9&gt;=8/24,B$9&lt;14/24)</formula>
    </cfRule>
    <cfRule type="expression" dxfId="5633" priority="157">
      <formula>B$9&lt;8/24</formula>
    </cfRule>
  </conditionalFormatting>
  <conditionalFormatting sqref="B46:B47 B55:B60 B38:Z38 C60:AG60 B18:J22 B32:L33 B24:L30 C56:AG56 AB38:AG38">
    <cfRule type="expression" dxfId="5632" priority="153">
      <formula>B18&gt;$AG18</formula>
    </cfRule>
  </conditionalFormatting>
  <conditionalFormatting sqref="B35:L35">
    <cfRule type="expression" dxfId="5631" priority="149">
      <formula>B$9&gt;=20/24</formula>
    </cfRule>
    <cfRule type="expression" dxfId="5630" priority="150">
      <formula>AND(B$9&gt;=14/24,B$9&lt;20/24)</formula>
    </cfRule>
    <cfRule type="expression" dxfId="5629" priority="151">
      <formula>AND(B$9&gt;=8/24,B$9&lt;14/24)</formula>
    </cfRule>
    <cfRule type="expression" dxfId="5628" priority="152">
      <formula>B$9&lt;8/24</formula>
    </cfRule>
  </conditionalFormatting>
  <conditionalFormatting sqref="B15:J15">
    <cfRule type="expression" dxfId="5627" priority="145">
      <formula>B$9&gt;=20/24</formula>
    </cfRule>
    <cfRule type="expression" dxfId="5626" priority="146">
      <formula>AND(B$9&gt;=14/24,B$9&lt;20/24)</formula>
    </cfRule>
    <cfRule type="expression" dxfId="5625" priority="147">
      <formula>AND(B$9&gt;=8/24,B$9&lt;14/24)</formula>
    </cfRule>
    <cfRule type="expression" dxfId="5624" priority="148">
      <formula>B$9&lt;8/24</formula>
    </cfRule>
  </conditionalFormatting>
  <conditionalFormatting sqref="B34:L34">
    <cfRule type="expression" dxfId="5623" priority="140">
      <formula>B34&gt;$AG34</formula>
    </cfRule>
  </conditionalFormatting>
  <conditionalFormatting sqref="B48:B54">
    <cfRule type="expression" dxfId="5622" priority="135">
      <formula>B48&gt;$AG48</formula>
    </cfRule>
  </conditionalFormatting>
  <conditionalFormatting sqref="B27:L27">
    <cfRule type="expression" dxfId="5621" priority="131">
      <formula>B$9&gt;=20/24</formula>
    </cfRule>
    <cfRule type="expression" dxfId="5620" priority="132">
      <formula>AND(B$9&gt;=14/24,B$9&lt;20/24)</formula>
    </cfRule>
    <cfRule type="expression" dxfId="5619" priority="133">
      <formula>AND(B$9&gt;=8/24,B$9&lt;14/24)</formula>
    </cfRule>
    <cfRule type="expression" dxfId="5618" priority="134">
      <formula>B$9&lt;8/24</formula>
    </cfRule>
  </conditionalFormatting>
  <conditionalFormatting sqref="B17:J17 B23:L23">
    <cfRule type="expression" dxfId="5617" priority="127">
      <formula>B$9&gt;=20/24</formula>
    </cfRule>
    <cfRule type="expression" dxfId="5616" priority="128">
      <formula>AND(B$9&gt;=14/24,B$9&lt;20/24)</formula>
    </cfRule>
    <cfRule type="expression" dxfId="5615" priority="129">
      <formula>AND(B$9&gt;=8/24,B$9&lt;14/24)</formula>
    </cfRule>
    <cfRule type="expression" dxfId="5614" priority="130">
      <formula>B$9&lt;8/24</formula>
    </cfRule>
  </conditionalFormatting>
  <conditionalFormatting sqref="B17:J17 B23:L23">
    <cfRule type="expression" dxfId="5613" priority="126">
      <formula>B17&gt;$AG17</formula>
    </cfRule>
  </conditionalFormatting>
  <conditionalFormatting sqref="A34">
    <cfRule type="expression" dxfId="5612" priority="125">
      <formula>$AH34=0</formula>
    </cfRule>
  </conditionalFormatting>
  <conditionalFormatting sqref="B72:AF72">
    <cfRule type="expression" dxfId="5611" priority="121">
      <formula>B$9&gt;=20/24</formula>
    </cfRule>
    <cfRule type="expression" dxfId="5610" priority="122">
      <formula>AND(B$9&gt;=14/24,B$9&lt;20/24)</formula>
    </cfRule>
    <cfRule type="expression" dxfId="5609" priority="123">
      <formula>AND(B$9&gt;=8/24,B$9&lt;14/24)</formula>
    </cfRule>
    <cfRule type="expression" dxfId="5608" priority="124">
      <formula>B$9&lt;8/24</formula>
    </cfRule>
  </conditionalFormatting>
  <conditionalFormatting sqref="B81:AF85">
    <cfRule type="expression" dxfId="5607" priority="117">
      <formula>B$9&gt;=20/24</formula>
    </cfRule>
    <cfRule type="expression" dxfId="5606" priority="118">
      <formula>AND(B$9&gt;=14/24,B$9&lt;20/24)</formula>
    </cfRule>
    <cfRule type="expression" dxfId="5605" priority="119">
      <formula>AND(B$9&gt;=8/24,B$9&lt;14/24)</formula>
    </cfRule>
    <cfRule type="expression" dxfId="5604" priority="120">
      <formula>B$9&lt;8/24</formula>
    </cfRule>
  </conditionalFormatting>
  <conditionalFormatting sqref="AL35 AL7:AL30 AL32">
    <cfRule type="iconSet" priority="336">
      <iconSet iconSet="3TrafficLights2" reverse="1">
        <cfvo type="percent" val="0"/>
        <cfvo type="num" val="1"/>
        <cfvo type="num" val="1"/>
      </iconSet>
    </cfRule>
  </conditionalFormatting>
  <conditionalFormatting sqref="I39:Z41 AB39:AF41">
    <cfRule type="expression" dxfId="5603" priority="113">
      <formula>I$9&gt;=20/24</formula>
    </cfRule>
    <cfRule type="expression" dxfId="5602" priority="114">
      <formula>AND(I$9&gt;=14/24,I$9&lt;20/24)</formula>
    </cfRule>
    <cfRule type="expression" dxfId="5601" priority="115">
      <formula>AND(I$9&gt;=8/24,I$9&lt;14/24)</formula>
    </cfRule>
    <cfRule type="expression" dxfId="5600" priority="116">
      <formula>I$9&lt;8/24</formula>
    </cfRule>
  </conditionalFormatting>
  <conditionalFormatting sqref="I39:Z41 AB39:AF41">
    <cfRule type="expression" dxfId="5599" priority="112">
      <formula>I39&gt;$AG39</formula>
    </cfRule>
  </conditionalFormatting>
  <conditionalFormatting sqref="B39:B42 C42:AG42 C39:H41">
    <cfRule type="expression" dxfId="5598" priority="108">
      <formula>B$9&gt;=20/24</formula>
    </cfRule>
    <cfRule type="expression" dxfId="5597" priority="109">
      <formula>AND(B$9&gt;=14/24,B$9&lt;20/24)</formula>
    </cfRule>
    <cfRule type="expression" dxfId="5596" priority="110">
      <formula>AND(B$9&gt;=8/24,B$9&lt;14/24)</formula>
    </cfRule>
    <cfRule type="expression" dxfId="5595" priority="111">
      <formula>B$9&lt;8/24</formula>
    </cfRule>
  </conditionalFormatting>
  <conditionalFormatting sqref="B39:B42 C42:AG42 C39:H41">
    <cfRule type="expression" dxfId="5594" priority="107">
      <formula>B39&gt;$AG39</formula>
    </cfRule>
  </conditionalFormatting>
  <conditionalFormatting sqref="C97:AF97">
    <cfRule type="expression" dxfId="5593" priority="103">
      <formula>C$9&gt;=20/24</formula>
    </cfRule>
    <cfRule type="expression" dxfId="5592" priority="104">
      <formula>AND(C$9&gt;=14/24,C$9&lt;20/24)</formula>
    </cfRule>
    <cfRule type="expression" dxfId="5591" priority="105">
      <formula>AND(C$9&gt;=8/24,C$9&lt;14/24)</formula>
    </cfRule>
    <cfRule type="expression" dxfId="5590" priority="106">
      <formula>C$9&lt;8/24</formula>
    </cfRule>
  </conditionalFormatting>
  <conditionalFormatting sqref="B97">
    <cfRule type="expression" dxfId="5589" priority="99">
      <formula>B$9&gt;=20/24</formula>
    </cfRule>
    <cfRule type="expression" dxfId="5588" priority="100">
      <formula>AND(B$9&gt;=14/24,B$9&lt;20/24)</formula>
    </cfRule>
    <cfRule type="expression" dxfId="5587" priority="101">
      <formula>AND(B$9&gt;=8/24,B$9&lt;14/24)</formula>
    </cfRule>
    <cfRule type="expression" dxfId="5586" priority="102">
      <formula>B$9&lt;8/24</formula>
    </cfRule>
  </conditionalFormatting>
  <conditionalFormatting sqref="AL31">
    <cfRule type="iconSet" priority="98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5585" priority="92">
      <formula>$AH31=0</formula>
    </cfRule>
  </conditionalFormatting>
  <conditionalFormatting sqref="A77">
    <cfRule type="expression" dxfId="5584" priority="87">
      <formula>$AH77=0</formula>
    </cfRule>
  </conditionalFormatting>
  <conditionalFormatting sqref="A80">
    <cfRule type="expression" dxfId="5583" priority="86">
      <formula>$AH80=0</formula>
    </cfRule>
  </conditionalFormatting>
  <conditionalFormatting sqref="T11:Z11 T16:Z16 T35:Z35">
    <cfRule type="expression" dxfId="5582" priority="85">
      <formula>T11&gt;$AG11</formula>
    </cfRule>
  </conditionalFormatting>
  <conditionalFormatting sqref="T36:Z37 T16:Z16 T28:Z30 T18:Z22 T24:Z26 T32:Z32 T11:Z14">
    <cfRule type="expression" dxfId="5581" priority="81">
      <formula>T$9&gt;=20/24</formula>
    </cfRule>
    <cfRule type="expression" dxfId="5580" priority="82">
      <formula>AND(T$9&gt;=14/24,T$9&lt;20/24)</formula>
    </cfRule>
    <cfRule type="expression" dxfId="5579" priority="83">
      <formula>AND(T$9&gt;=8/24,T$9&lt;14/24)</formula>
    </cfRule>
    <cfRule type="expression" dxfId="5578" priority="84">
      <formula>T$9&lt;8/24</formula>
    </cfRule>
  </conditionalFormatting>
  <conditionalFormatting sqref="T33:Z33">
    <cfRule type="expression" dxfId="5577" priority="77">
      <formula>T$9&gt;=20/24</formula>
    </cfRule>
    <cfRule type="expression" dxfId="5576" priority="78">
      <formula>AND(T$9&gt;=14/24,T$9&lt;20/24)</formula>
    </cfRule>
    <cfRule type="expression" dxfId="5575" priority="79">
      <formula>AND(T$9&gt;=8/24,T$9&lt;14/24)</formula>
    </cfRule>
    <cfRule type="expression" dxfId="5574" priority="80">
      <formula>T$9&lt;8/24</formula>
    </cfRule>
  </conditionalFormatting>
  <conditionalFormatting sqref="T36:Z37 T18:Z22 T24:Z30 T32:Z33 T11:Z15">
    <cfRule type="expression" dxfId="5573" priority="76">
      <formula>T11&gt;$AG11</formula>
    </cfRule>
  </conditionalFormatting>
  <conditionalFormatting sqref="T35:Z35">
    <cfRule type="expression" dxfId="5572" priority="72">
      <formula>T$9&gt;=20/24</formula>
    </cfRule>
    <cfRule type="expression" dxfId="5571" priority="73">
      <formula>AND(T$9&gt;=14/24,T$9&lt;20/24)</formula>
    </cfRule>
    <cfRule type="expression" dxfId="5570" priority="74">
      <formula>AND(T$9&gt;=8/24,T$9&lt;14/24)</formula>
    </cfRule>
    <cfRule type="expression" dxfId="5569" priority="75">
      <formula>T$9&lt;8/24</formula>
    </cfRule>
  </conditionalFormatting>
  <conditionalFormatting sqref="T15:Z15">
    <cfRule type="expression" dxfId="5568" priority="68">
      <formula>T$9&gt;=20/24</formula>
    </cfRule>
    <cfRule type="expression" dxfId="5567" priority="69">
      <formula>AND(T$9&gt;=14/24,T$9&lt;20/24)</formula>
    </cfRule>
    <cfRule type="expression" dxfId="5566" priority="70">
      <formula>AND(T$9&gt;=8/24,T$9&lt;14/24)</formula>
    </cfRule>
    <cfRule type="expression" dxfId="5565" priority="71">
      <formula>T$9&lt;8/24</formula>
    </cfRule>
  </conditionalFormatting>
  <conditionalFormatting sqref="T34:Z34">
    <cfRule type="expression" dxfId="5564" priority="64">
      <formula>T$9&gt;=20/24</formula>
    </cfRule>
    <cfRule type="expression" dxfId="5563" priority="65">
      <formula>AND(T$9&gt;=14/24,T$9&lt;20/24)</formula>
    </cfRule>
    <cfRule type="expression" dxfId="5562" priority="66">
      <formula>AND(T$9&gt;=8/24,T$9&lt;14/24)</formula>
    </cfRule>
    <cfRule type="expression" dxfId="5561" priority="67">
      <formula>T$9&lt;8/24</formula>
    </cfRule>
  </conditionalFormatting>
  <conditionalFormatting sqref="T34:Z34">
    <cfRule type="expression" dxfId="5560" priority="63">
      <formula>T34&gt;$AG34</formula>
    </cfRule>
  </conditionalFormatting>
  <conditionalFormatting sqref="T27:Z27">
    <cfRule type="expression" dxfId="5559" priority="59">
      <formula>T$9&gt;=20/24</formula>
    </cfRule>
    <cfRule type="expression" dxfId="5558" priority="60">
      <formula>AND(T$9&gt;=14/24,T$9&lt;20/24)</formula>
    </cfRule>
    <cfRule type="expression" dxfId="5557" priority="61">
      <formula>AND(T$9&gt;=8/24,T$9&lt;14/24)</formula>
    </cfRule>
    <cfRule type="expression" dxfId="5556" priority="62">
      <formula>T$9&lt;8/24</formula>
    </cfRule>
  </conditionalFormatting>
  <conditionalFormatting sqref="T17:Z17 T23:Z23">
    <cfRule type="expression" dxfId="5555" priority="55">
      <formula>T$9&gt;=20/24</formula>
    </cfRule>
    <cfRule type="expression" dxfId="5554" priority="56">
      <formula>AND(T$9&gt;=14/24,T$9&lt;20/24)</formula>
    </cfRule>
    <cfRule type="expression" dxfId="5553" priority="57">
      <formula>AND(T$9&gt;=8/24,T$9&lt;14/24)</formula>
    </cfRule>
    <cfRule type="expression" dxfId="5552" priority="58">
      <formula>T$9&lt;8/24</formula>
    </cfRule>
  </conditionalFormatting>
  <conditionalFormatting sqref="T17:Z17 T23:Z23">
    <cfRule type="expression" dxfId="5551" priority="54">
      <formula>T17&gt;$AG17</formula>
    </cfRule>
  </conditionalFormatting>
  <conditionalFormatting sqref="T43:Z54">
    <cfRule type="expression" dxfId="5550" priority="45">
      <formula>T$9&gt;=20/24</formula>
    </cfRule>
    <cfRule type="expression" dxfId="5549" priority="46">
      <formula>AND(T$9&gt;=14/24,T$9&lt;20/24)</formula>
    </cfRule>
    <cfRule type="expression" dxfId="5548" priority="47">
      <formula>AND(T$9&gt;=8/24,T$9&lt;14/24)</formula>
    </cfRule>
    <cfRule type="expression" dxfId="5547" priority="48">
      <formula>T$9&lt;8/24</formula>
    </cfRule>
  </conditionalFormatting>
  <conditionalFormatting sqref="T43:Z54">
    <cfRule type="expression" dxfId="5546" priority="44">
      <formula>T43&gt;$AG43</formula>
    </cfRule>
  </conditionalFormatting>
  <conditionalFormatting sqref="AA37">
    <cfRule type="expression" dxfId="5545" priority="40">
      <formula>AA$9&gt;=20/24</formula>
    </cfRule>
    <cfRule type="expression" dxfId="5544" priority="41">
      <formula>AND(AA$9&gt;=14/24,AA$9&lt;20/24)</formula>
    </cfRule>
    <cfRule type="expression" dxfId="5543" priority="42">
      <formula>AND(AA$9&gt;=8/24,AA$9&lt;14/24)</formula>
    </cfRule>
    <cfRule type="expression" dxfId="5542" priority="43">
      <formula>AA$9&lt;8/24</formula>
    </cfRule>
  </conditionalFormatting>
  <conditionalFormatting sqref="AA37 AA35">
    <cfRule type="expression" dxfId="5541" priority="39">
      <formula>AA35&gt;$AG35</formula>
    </cfRule>
  </conditionalFormatting>
  <conditionalFormatting sqref="AA36 AA28:AA30 AA18:AA22 AA24:AA26 AA32">
    <cfRule type="expression" dxfId="5540" priority="35">
      <formula>AA$9&gt;=20/24</formula>
    </cfRule>
    <cfRule type="expression" dxfId="5539" priority="36">
      <formula>AND(AA$9&gt;=14/24,AA$9&lt;20/24)</formula>
    </cfRule>
    <cfRule type="expression" dxfId="5538" priority="37">
      <formula>AND(AA$9&gt;=8/24,AA$9&lt;14/24)</formula>
    </cfRule>
    <cfRule type="expression" dxfId="5537" priority="38">
      <formula>AA$9&lt;8/24</formula>
    </cfRule>
  </conditionalFormatting>
  <conditionalFormatting sqref="AA33">
    <cfRule type="expression" dxfId="5536" priority="31">
      <formula>AA$9&gt;=20/24</formula>
    </cfRule>
    <cfRule type="expression" dxfId="5535" priority="32">
      <formula>AND(AA$9&gt;=14/24,AA$9&lt;20/24)</formula>
    </cfRule>
    <cfRule type="expression" dxfId="5534" priority="33">
      <formula>AND(AA$9&gt;=8/24,AA$9&lt;14/24)</formula>
    </cfRule>
    <cfRule type="expression" dxfId="5533" priority="34">
      <formula>AA$9&lt;8/24</formula>
    </cfRule>
  </conditionalFormatting>
  <conditionalFormatting sqref="AA36 AA18:AA22 AA24:AA30 AA32:AA33">
    <cfRule type="expression" dxfId="5532" priority="30">
      <formula>AA18&gt;$AG18</formula>
    </cfRule>
  </conditionalFormatting>
  <conditionalFormatting sqref="AA35">
    <cfRule type="expression" dxfId="5531" priority="26">
      <formula>AA$9&gt;=20/24</formula>
    </cfRule>
    <cfRule type="expression" dxfId="5530" priority="27">
      <formula>AND(AA$9&gt;=14/24,AA$9&lt;20/24)</formula>
    </cfRule>
    <cfRule type="expression" dxfId="5529" priority="28">
      <formula>AND(AA$9&gt;=8/24,AA$9&lt;14/24)</formula>
    </cfRule>
    <cfRule type="expression" dxfId="5528" priority="29">
      <formula>AA$9&lt;8/24</formula>
    </cfRule>
  </conditionalFormatting>
  <conditionalFormatting sqref="AA34">
    <cfRule type="expression" dxfId="5527" priority="22">
      <formula>AA$9&gt;=20/24</formula>
    </cfRule>
    <cfRule type="expression" dxfId="5526" priority="23">
      <formula>AND(AA$9&gt;=14/24,AA$9&lt;20/24)</formula>
    </cfRule>
    <cfRule type="expression" dxfId="5525" priority="24">
      <formula>AND(AA$9&gt;=8/24,AA$9&lt;14/24)</formula>
    </cfRule>
    <cfRule type="expression" dxfId="5524" priority="25">
      <formula>AA$9&lt;8/24</formula>
    </cfRule>
  </conditionalFormatting>
  <conditionalFormatting sqref="AA34">
    <cfRule type="expression" dxfId="5523" priority="21">
      <formula>AA34&gt;$AG34</formula>
    </cfRule>
  </conditionalFormatting>
  <conditionalFormatting sqref="AA27">
    <cfRule type="expression" dxfId="5522" priority="17">
      <formula>AA$9&gt;=20/24</formula>
    </cfRule>
    <cfRule type="expression" dxfId="5521" priority="18">
      <formula>AND(AA$9&gt;=14/24,AA$9&lt;20/24)</formula>
    </cfRule>
    <cfRule type="expression" dxfId="5520" priority="19">
      <formula>AND(AA$9&gt;=8/24,AA$9&lt;14/24)</formula>
    </cfRule>
    <cfRule type="expression" dxfId="5519" priority="20">
      <formula>AA$9&lt;8/24</formula>
    </cfRule>
  </conditionalFormatting>
  <conditionalFormatting sqref="AA17 AA23">
    <cfRule type="expression" dxfId="5518" priority="13">
      <formula>AA$9&gt;=20/24</formula>
    </cfRule>
    <cfRule type="expression" dxfId="5517" priority="14">
      <formula>AND(AA$9&gt;=14/24,AA$9&lt;20/24)</formula>
    </cfRule>
    <cfRule type="expression" dxfId="5516" priority="15">
      <formula>AND(AA$9&gt;=8/24,AA$9&lt;14/24)</formula>
    </cfRule>
    <cfRule type="expression" dxfId="5515" priority="16">
      <formula>AA$9&lt;8/24</formula>
    </cfRule>
  </conditionalFormatting>
  <conditionalFormatting sqref="AA17 AA23">
    <cfRule type="expression" dxfId="5514" priority="12">
      <formula>AA17&gt;$AG17</formula>
    </cfRule>
  </conditionalFormatting>
  <conditionalFormatting sqref="AA38">
    <cfRule type="expression" dxfId="5513" priority="11">
      <formula>AA38&gt;$AG38</formula>
    </cfRule>
  </conditionalFormatting>
  <conditionalFormatting sqref="AA39:AA41">
    <cfRule type="expression" dxfId="5512" priority="7">
      <formula>AA$9&gt;=20/24</formula>
    </cfRule>
    <cfRule type="expression" dxfId="5511" priority="8">
      <formula>AND(AA$9&gt;=14/24,AA$9&lt;20/24)</formula>
    </cfRule>
    <cfRule type="expression" dxfId="5510" priority="9">
      <formula>AND(AA$9&gt;=8/24,AA$9&lt;14/24)</formula>
    </cfRule>
    <cfRule type="expression" dxfId="5509" priority="10">
      <formula>AA$9&lt;8/24</formula>
    </cfRule>
  </conditionalFormatting>
  <conditionalFormatting sqref="AA39:AA41">
    <cfRule type="expression" dxfId="5508" priority="6">
      <formula>AA39&gt;$AG39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4" id="{0CAB0C0D-B157-4322-96A4-2381DB829B95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95" id="{34E6F790-C165-4D57-A3B8-321D3015E574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6" id="{020078B7-0E20-4435-973B-9E835D1E1D28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7" id="{6DE2E11E-9AE5-491F-9ABA-9E1C3E3727B1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93" id="{F623BF42-23FF-4701-A27F-A12BD6342300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2"/>
  <sheetViews>
    <sheetView zoomScale="90" zoomScaleNormal="90" workbookViewId="0">
      <pane xSplit="1" ySplit="10" topLeftCell="B47" activePane="bottomRight" state="frozen"/>
      <selection activeCell="AF88" sqref="AF88"/>
      <selection pane="topRight" activeCell="AF88" sqref="AF88"/>
      <selection pane="bottomLeft" activeCell="AF88" sqref="AF88"/>
      <selection pane="bottomRight" activeCell="P63" sqref="P63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2079/02/8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("&amp;ROUND(B237,0)&amp;" MW)"&amp;"    IPP   = "&amp;ROUND(B232,0)&amp;" MW     NEA RoR = "&amp;ROUND(B233,0)&amp;" MWImport   = "&amp;ROUND(B235,0)&amp;" MW      KL1+KL2+K3 = "&amp;ROUND(B234,0) &amp;" MW    EXPORT = "&amp;ROUND(B236,0)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23</v>
      </c>
      <c r="C5" s="32">
        <f t="shared" si="0"/>
        <v>17</v>
      </c>
      <c r="D5" s="32">
        <f t="shared" si="0"/>
        <v>16</v>
      </c>
      <c r="E5" s="32">
        <f t="shared" si="0"/>
        <v>14</v>
      </c>
      <c r="F5" s="32">
        <f t="shared" si="0"/>
        <v>13</v>
      </c>
      <c r="G5" s="32">
        <f t="shared" si="0"/>
        <v>10</v>
      </c>
      <c r="H5" s="32">
        <f t="shared" si="0"/>
        <v>9</v>
      </c>
      <c r="I5" s="32">
        <f t="shared" si="0"/>
        <v>5</v>
      </c>
      <c r="J5" s="32">
        <f t="shared" si="0"/>
        <v>13</v>
      </c>
      <c r="K5" s="32">
        <f t="shared" si="0"/>
        <v>7</v>
      </c>
      <c r="L5" s="32">
        <f t="shared" si="0"/>
        <v>27.5</v>
      </c>
      <c r="M5" s="32">
        <f t="shared" si="0"/>
        <v>44.7</v>
      </c>
      <c r="N5" s="32">
        <f t="shared" si="0"/>
        <v>53.4</v>
      </c>
      <c r="O5" s="32">
        <f t="shared" si="0"/>
        <v>53.4</v>
      </c>
      <c r="P5" s="32">
        <f t="shared" si="0"/>
        <v>53.4</v>
      </c>
      <c r="Q5" s="32">
        <f t="shared" si="0"/>
        <v>53.4</v>
      </c>
      <c r="R5" s="32">
        <f t="shared" si="0"/>
        <v>28.1</v>
      </c>
      <c r="S5" s="32">
        <f t="shared" si="0"/>
        <v>42.2</v>
      </c>
      <c r="T5" s="32">
        <f t="shared" si="0"/>
        <v>30.5</v>
      </c>
      <c r="U5" s="32">
        <f t="shared" si="0"/>
        <v>52.5</v>
      </c>
      <c r="V5" s="32">
        <f t="shared" si="0"/>
        <v>50.2</v>
      </c>
      <c r="W5" s="32">
        <f t="shared" si="0"/>
        <v>50.2</v>
      </c>
      <c r="X5" s="32">
        <f t="shared" si="0"/>
        <v>60.4</v>
      </c>
      <c r="Y5" s="32">
        <f t="shared" si="0"/>
        <v>32.299999999999997</v>
      </c>
      <c r="Z5" s="32">
        <f t="shared" si="0"/>
        <v>40</v>
      </c>
      <c r="AA5" s="32">
        <f t="shared" si="0"/>
        <v>63.5</v>
      </c>
      <c r="AB5" s="32">
        <f t="shared" si="0"/>
        <v>65.900000000000006</v>
      </c>
      <c r="AC5" s="32">
        <f t="shared" si="0"/>
        <v>56</v>
      </c>
      <c r="AD5" s="32">
        <f t="shared" si="0"/>
        <v>62</v>
      </c>
      <c r="AE5" s="32">
        <f t="shared" si="0"/>
        <v>33</v>
      </c>
      <c r="AF5" s="32">
        <f>B72</f>
        <v>33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"&amp;ROUND(B237,0)&amp;"MW at "&amp;TRUNC(B238*24,0)&amp;":"&amp;ROUND((B238*24-TRUNC(B238*24,0))*60,0)&amp;"hr at "&amp;ROUND(B239,1)&amp;"Hz     "&amp;A229&amp;" "&amp;ROUND(B229,0)&amp;"MW at "&amp;TRUNC(C229*24,0)&amp;":"&amp;ROUND((C229*24-TRUNC(C229*24,0))*6,0)&amp;"0hr"</f>
        <v>Evening Peak 0MW at 0:0hr at 0Hz     Morning Peak 1787MW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Load=1255</v>
      </c>
      <c r="B7" s="37">
        <f>B79</f>
        <v>1739.5400000000002</v>
      </c>
      <c r="C7" s="37">
        <f t="shared" ref="C7:AF7" si="1">C79</f>
        <v>1701.94</v>
      </c>
      <c r="D7" s="37">
        <f t="shared" si="1"/>
        <v>1690.94</v>
      </c>
      <c r="E7" s="37">
        <f t="shared" si="1"/>
        <v>1708.0400000000002</v>
      </c>
      <c r="F7" s="37">
        <f t="shared" si="1"/>
        <v>1686.8400000000001</v>
      </c>
      <c r="G7" s="37">
        <f t="shared" si="1"/>
        <v>1664.9400000000003</v>
      </c>
      <c r="H7" s="37">
        <f t="shared" si="1"/>
        <v>1640.0400000000002</v>
      </c>
      <c r="I7" s="37">
        <f t="shared" si="1"/>
        <v>1639.0400000000002</v>
      </c>
      <c r="J7" s="37">
        <f t="shared" si="1"/>
        <v>1670.6400000000003</v>
      </c>
      <c r="K7" s="37">
        <f t="shared" si="1"/>
        <v>1696.74</v>
      </c>
      <c r="L7" s="37">
        <f t="shared" si="1"/>
        <v>1714.74</v>
      </c>
      <c r="M7" s="37">
        <f t="shared" si="1"/>
        <v>1769.94</v>
      </c>
      <c r="N7" s="37">
        <f t="shared" si="1"/>
        <v>1787.4399999999998</v>
      </c>
      <c r="O7" s="37">
        <f t="shared" si="1"/>
        <v>1793.3400000000001</v>
      </c>
      <c r="P7" s="37">
        <f t="shared" si="1"/>
        <v>1793.3400000000001</v>
      </c>
      <c r="Q7" s="37">
        <f t="shared" si="1"/>
        <v>1793.3400000000001</v>
      </c>
      <c r="R7" s="37">
        <f t="shared" si="1"/>
        <v>1255.3400000000001</v>
      </c>
      <c r="S7" s="37">
        <f t="shared" si="1"/>
        <v>1808.24</v>
      </c>
      <c r="T7" s="37">
        <f t="shared" si="1"/>
        <v>1822.3400000000001</v>
      </c>
      <c r="U7" s="37">
        <f t="shared" si="1"/>
        <v>1814.7400000000002</v>
      </c>
      <c r="V7" s="37">
        <f t="shared" si="1"/>
        <v>1793.14</v>
      </c>
      <c r="W7" s="37">
        <f t="shared" si="1"/>
        <v>1782.8400000000001</v>
      </c>
      <c r="X7" s="37">
        <f t="shared" si="1"/>
        <v>1772.0400000000002</v>
      </c>
      <c r="Y7" s="37">
        <f t="shared" si="1"/>
        <v>1836.1400000000003</v>
      </c>
      <c r="Z7" s="37">
        <f t="shared" si="1"/>
        <v>1857.5399999999997</v>
      </c>
      <c r="AA7" s="37">
        <f t="shared" si="1"/>
        <v>1853.54</v>
      </c>
      <c r="AB7" s="37">
        <f t="shared" si="1"/>
        <v>1851.44</v>
      </c>
      <c r="AC7" s="37">
        <f t="shared" si="1"/>
        <v>1853.8400000000001</v>
      </c>
      <c r="AD7" s="37">
        <f t="shared" si="1"/>
        <v>1843.94</v>
      </c>
      <c r="AE7" s="37">
        <f t="shared" si="1"/>
        <v>1849.94</v>
      </c>
      <c r="AF7" s="37">
        <f t="shared" si="1"/>
        <v>1788.6399999999999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0">
        <v>53.9</v>
      </c>
      <c r="C11" s="50">
        <v>53.9</v>
      </c>
      <c r="D11" s="50">
        <v>53.9</v>
      </c>
      <c r="E11" s="50">
        <v>53.9</v>
      </c>
      <c r="F11" s="50">
        <v>53.9</v>
      </c>
      <c r="G11" s="50">
        <v>53.9</v>
      </c>
      <c r="H11" s="50">
        <v>53.9</v>
      </c>
      <c r="I11" s="50">
        <v>53.9</v>
      </c>
      <c r="J11" s="50">
        <v>53.9</v>
      </c>
      <c r="K11" s="50">
        <v>53.9</v>
      </c>
      <c r="L11" s="50">
        <v>53.9</v>
      </c>
      <c r="M11" s="50">
        <v>53.9</v>
      </c>
      <c r="N11" s="50">
        <v>53.9</v>
      </c>
      <c r="O11" s="50">
        <v>53.9</v>
      </c>
      <c r="P11" s="50">
        <v>53.9</v>
      </c>
      <c r="Q11" s="50">
        <v>53.9</v>
      </c>
      <c r="R11" s="50">
        <v>53.9</v>
      </c>
      <c r="S11" s="50">
        <v>53.9</v>
      </c>
      <c r="T11" s="50">
        <v>53.9</v>
      </c>
      <c r="U11" s="50">
        <v>53.9</v>
      </c>
      <c r="V11" s="50">
        <v>53.9</v>
      </c>
      <c r="W11" s="50">
        <v>53.9</v>
      </c>
      <c r="X11" s="50">
        <v>53.9</v>
      </c>
      <c r="Y11" s="50">
        <v>53.9</v>
      </c>
      <c r="Z11" s="50">
        <v>53.9</v>
      </c>
      <c r="AA11" s="50">
        <v>53.9</v>
      </c>
      <c r="AB11" s="52">
        <v>53.9</v>
      </c>
      <c r="AC11" s="52">
        <v>53.9</v>
      </c>
      <c r="AD11" s="52">
        <v>53.9</v>
      </c>
      <c r="AE11" s="52">
        <v>53.9</v>
      </c>
      <c r="AF11" s="52">
        <v>53.9</v>
      </c>
      <c r="AG11" s="133">
        <v>52.4</v>
      </c>
      <c r="AH11" s="54">
        <f>MAX(B11:AF11)</f>
        <v>53.9</v>
      </c>
      <c r="AI11" s="55">
        <f>MIN(B11:AF11)</f>
        <v>53.9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50.5</v>
      </c>
      <c r="C12" s="50">
        <v>50.5</v>
      </c>
      <c r="D12" s="50">
        <v>50.5</v>
      </c>
      <c r="E12" s="50">
        <v>50.5</v>
      </c>
      <c r="F12" s="50">
        <v>50.5</v>
      </c>
      <c r="G12" s="50">
        <v>50.5</v>
      </c>
      <c r="H12" s="50">
        <v>50.5</v>
      </c>
      <c r="I12" s="50">
        <v>50.5</v>
      </c>
      <c r="J12" s="50">
        <v>50.5</v>
      </c>
      <c r="K12" s="50">
        <v>50.5</v>
      </c>
      <c r="L12" s="50">
        <v>50.5</v>
      </c>
      <c r="M12" s="50">
        <v>50.5</v>
      </c>
      <c r="N12" s="50">
        <v>50.5</v>
      </c>
      <c r="O12" s="50">
        <v>50.5</v>
      </c>
      <c r="P12" s="50">
        <v>50.5</v>
      </c>
      <c r="Q12" s="50">
        <v>50.5</v>
      </c>
      <c r="R12" s="50">
        <v>50.5</v>
      </c>
      <c r="S12" s="50">
        <v>50.5</v>
      </c>
      <c r="T12" s="50">
        <v>50.5</v>
      </c>
      <c r="U12" s="50">
        <v>50.5</v>
      </c>
      <c r="V12" s="50">
        <v>50.5</v>
      </c>
      <c r="W12" s="50">
        <v>50.5</v>
      </c>
      <c r="X12" s="50">
        <v>50.5</v>
      </c>
      <c r="Y12" s="50">
        <v>50</v>
      </c>
      <c r="Z12" s="50">
        <v>50</v>
      </c>
      <c r="AA12" s="50">
        <v>50</v>
      </c>
      <c r="AB12" s="50">
        <v>50</v>
      </c>
      <c r="AC12" s="50">
        <v>50</v>
      </c>
      <c r="AD12" s="50">
        <v>50</v>
      </c>
      <c r="AE12" s="50">
        <v>50</v>
      </c>
      <c r="AF12" s="50">
        <v>50</v>
      </c>
      <c r="AG12" s="134">
        <v>50</v>
      </c>
      <c r="AH12" s="54">
        <f t="shared" ref="AH12:AH79" si="2">MAX(B12:AF12)</f>
        <v>50.5</v>
      </c>
      <c r="AI12" s="55">
        <f t="shared" ref="AI12:AI79" si="3">MIN(B12:AF12)</f>
        <v>50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23.8</v>
      </c>
      <c r="C13" s="50">
        <v>23.8</v>
      </c>
      <c r="D13" s="50">
        <v>23.8</v>
      </c>
      <c r="E13" s="50">
        <v>23.8</v>
      </c>
      <c r="F13" s="50">
        <v>23.8</v>
      </c>
      <c r="G13" s="50">
        <v>23.8</v>
      </c>
      <c r="H13" s="50">
        <v>23.8</v>
      </c>
      <c r="I13" s="50">
        <v>23.8</v>
      </c>
      <c r="J13" s="50">
        <v>23.8</v>
      </c>
      <c r="K13" s="50">
        <v>23.8</v>
      </c>
      <c r="L13" s="50">
        <v>23.8</v>
      </c>
      <c r="M13" s="50">
        <v>23.8</v>
      </c>
      <c r="N13" s="50">
        <v>23.8</v>
      </c>
      <c r="O13" s="50">
        <v>23.8</v>
      </c>
      <c r="P13" s="50">
        <v>23.8</v>
      </c>
      <c r="Q13" s="50">
        <v>23.8</v>
      </c>
      <c r="R13" s="50">
        <v>23.8</v>
      </c>
      <c r="S13" s="50">
        <v>45.9</v>
      </c>
      <c r="T13" s="50">
        <v>45.9</v>
      </c>
      <c r="U13" s="50">
        <v>45.9</v>
      </c>
      <c r="V13" s="50">
        <v>45.9</v>
      </c>
      <c r="W13" s="50">
        <v>45.9</v>
      </c>
      <c r="X13" s="50">
        <v>45.9</v>
      </c>
      <c r="Y13" s="50">
        <v>45.9</v>
      </c>
      <c r="Z13" s="50">
        <v>45.9</v>
      </c>
      <c r="AA13" s="50">
        <v>45.9</v>
      </c>
      <c r="AB13" s="50">
        <v>45.9</v>
      </c>
      <c r="AC13" s="50">
        <v>45.9</v>
      </c>
      <c r="AD13" s="50">
        <v>45.9</v>
      </c>
      <c r="AE13" s="50">
        <v>45.9</v>
      </c>
      <c r="AF13" s="50">
        <v>45.9</v>
      </c>
      <c r="AG13" s="134">
        <v>45</v>
      </c>
      <c r="AH13" s="54">
        <f t="shared" si="2"/>
        <v>45.9</v>
      </c>
      <c r="AI13" s="55">
        <f t="shared" si="3"/>
        <v>23.8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26</v>
      </c>
      <c r="C14" s="50">
        <v>26</v>
      </c>
      <c r="D14" s="50">
        <v>26</v>
      </c>
      <c r="E14" s="50">
        <v>26</v>
      </c>
      <c r="F14" s="50">
        <v>26</v>
      </c>
      <c r="G14" s="50">
        <v>26</v>
      </c>
      <c r="H14" s="50">
        <v>26</v>
      </c>
      <c r="I14" s="50">
        <v>26</v>
      </c>
      <c r="J14" s="50">
        <v>26</v>
      </c>
      <c r="K14" s="50">
        <v>26</v>
      </c>
      <c r="L14" s="50">
        <v>26</v>
      </c>
      <c r="M14" s="50">
        <v>26</v>
      </c>
      <c r="N14" s="50">
        <v>26</v>
      </c>
      <c r="O14" s="50">
        <v>26</v>
      </c>
      <c r="P14" s="50">
        <v>26</v>
      </c>
      <c r="Q14" s="50">
        <v>26</v>
      </c>
      <c r="R14" s="50">
        <v>26</v>
      </c>
      <c r="S14" s="50">
        <v>28</v>
      </c>
      <c r="T14" s="50">
        <v>28</v>
      </c>
      <c r="U14" s="50">
        <v>28</v>
      </c>
      <c r="V14" s="50">
        <v>28</v>
      </c>
      <c r="W14" s="50">
        <v>28</v>
      </c>
      <c r="X14" s="50">
        <v>26</v>
      </c>
      <c r="Y14" s="50">
        <v>26</v>
      </c>
      <c r="Z14" s="50">
        <v>28</v>
      </c>
      <c r="AA14" s="50">
        <v>28</v>
      </c>
      <c r="AB14" s="50">
        <v>28</v>
      </c>
      <c r="AC14" s="50">
        <v>28</v>
      </c>
      <c r="AD14" s="50">
        <v>28</v>
      </c>
      <c r="AE14" s="50">
        <v>28</v>
      </c>
      <c r="AF14" s="50">
        <v>28</v>
      </c>
      <c r="AG14" s="134">
        <v>42</v>
      </c>
      <c r="AH14" s="54">
        <f t="shared" si="2"/>
        <v>28</v>
      </c>
      <c r="AI14" s="55">
        <f t="shared" si="3"/>
        <v>26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30</v>
      </c>
      <c r="C15" s="50">
        <v>10</v>
      </c>
      <c r="D15" s="50">
        <v>10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5</v>
      </c>
      <c r="L15" s="50">
        <v>15</v>
      </c>
      <c r="M15" s="50">
        <v>30</v>
      </c>
      <c r="N15" s="50">
        <v>30</v>
      </c>
      <c r="O15" s="50">
        <v>30</v>
      </c>
      <c r="P15" s="50">
        <v>30</v>
      </c>
      <c r="Q15" s="50">
        <v>30</v>
      </c>
      <c r="R15" s="50">
        <v>30</v>
      </c>
      <c r="S15" s="50">
        <v>30</v>
      </c>
      <c r="T15" s="50">
        <v>30</v>
      </c>
      <c r="U15" s="50">
        <v>30</v>
      </c>
      <c r="V15" s="50">
        <f>78+56-71-50.2</f>
        <v>12.799999999999997</v>
      </c>
      <c r="W15" s="50">
        <v>12.8</v>
      </c>
      <c r="X15" s="50">
        <v>10</v>
      </c>
      <c r="Y15" s="50">
        <v>10</v>
      </c>
      <c r="Z15" s="50">
        <v>30</v>
      </c>
      <c r="AA15" s="50">
        <v>30</v>
      </c>
      <c r="AB15" s="50">
        <v>30</v>
      </c>
      <c r="AC15" s="50">
        <v>30</v>
      </c>
      <c r="AD15" s="50">
        <v>30</v>
      </c>
      <c r="AE15" s="50">
        <v>30</v>
      </c>
      <c r="AF15" s="50">
        <v>10</v>
      </c>
      <c r="AG15" s="135">
        <v>30</v>
      </c>
      <c r="AH15" s="54">
        <f t="shared" si="2"/>
        <v>30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26.1</v>
      </c>
      <c r="C16" s="50">
        <v>26.1</v>
      </c>
      <c r="D16" s="50">
        <v>26.1</v>
      </c>
      <c r="E16" s="50">
        <v>26.1</v>
      </c>
      <c r="F16" s="50">
        <v>25.1</v>
      </c>
      <c r="G16" s="50">
        <v>25.1</v>
      </c>
      <c r="H16" s="50">
        <v>25.1</v>
      </c>
      <c r="I16" s="50">
        <v>25.1</v>
      </c>
      <c r="J16" s="50">
        <v>25.1</v>
      </c>
      <c r="K16" s="50">
        <v>25.1</v>
      </c>
      <c r="L16" s="50">
        <v>25.1</v>
      </c>
      <c r="M16" s="50">
        <v>25.1</v>
      </c>
      <c r="N16" s="50">
        <v>25.1</v>
      </c>
      <c r="O16" s="50">
        <v>25.1</v>
      </c>
      <c r="P16" s="50">
        <v>25.1</v>
      </c>
      <c r="Q16" s="50">
        <v>25.1</v>
      </c>
      <c r="R16" s="50">
        <v>25.1</v>
      </c>
      <c r="S16" s="50">
        <v>25.1</v>
      </c>
      <c r="T16" s="50">
        <v>25.1</v>
      </c>
      <c r="U16" s="50">
        <v>25.1</v>
      </c>
      <c r="V16" s="50">
        <v>25.1</v>
      </c>
      <c r="W16" s="50">
        <v>25.1</v>
      </c>
      <c r="X16" s="50">
        <v>25.1</v>
      </c>
      <c r="Y16" s="50">
        <v>25.1</v>
      </c>
      <c r="Z16" s="50">
        <v>26</v>
      </c>
      <c r="AA16" s="50">
        <v>26</v>
      </c>
      <c r="AB16" s="50">
        <v>26</v>
      </c>
      <c r="AC16" s="50">
        <v>26</v>
      </c>
      <c r="AD16" s="50">
        <v>26</v>
      </c>
      <c r="AE16" s="50">
        <v>26</v>
      </c>
      <c r="AF16" s="50">
        <v>26</v>
      </c>
      <c r="AG16" s="134">
        <v>25</v>
      </c>
      <c r="AH16" s="54">
        <f t="shared" si="2"/>
        <v>26.1</v>
      </c>
      <c r="AI16" s="55">
        <f t="shared" si="3"/>
        <v>25.1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25</v>
      </c>
      <c r="D18" s="50">
        <v>25</v>
      </c>
      <c r="E18" s="50">
        <v>25</v>
      </c>
      <c r="F18" s="50">
        <v>25</v>
      </c>
      <c r="G18" s="50">
        <v>25</v>
      </c>
      <c r="H18" s="50">
        <v>25</v>
      </c>
      <c r="I18" s="50">
        <v>25</v>
      </c>
      <c r="J18" s="50">
        <v>25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25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33</v>
      </c>
      <c r="C19" s="50">
        <v>25.4</v>
      </c>
      <c r="D19" s="50">
        <v>25.4</v>
      </c>
      <c r="E19" s="50">
        <v>25.4</v>
      </c>
      <c r="F19" s="50">
        <v>25.4</v>
      </c>
      <c r="G19" s="50">
        <v>25.4</v>
      </c>
      <c r="H19" s="50">
        <v>25.4</v>
      </c>
      <c r="I19" s="50">
        <v>25.4</v>
      </c>
      <c r="J19" s="50">
        <v>25.4</v>
      </c>
      <c r="K19" s="50">
        <v>25.4</v>
      </c>
      <c r="L19" s="50">
        <v>25.4</v>
      </c>
      <c r="M19" s="50">
        <v>25.4</v>
      </c>
      <c r="N19" s="50">
        <v>25.4</v>
      </c>
      <c r="O19" s="50">
        <v>25.4</v>
      </c>
      <c r="P19" s="50">
        <v>25.4</v>
      </c>
      <c r="Q19" s="50">
        <v>25.4</v>
      </c>
      <c r="R19" s="50">
        <v>25.4</v>
      </c>
      <c r="S19" s="50">
        <v>25.4</v>
      </c>
      <c r="T19" s="50">
        <v>25.4</v>
      </c>
      <c r="U19" s="50">
        <v>25.4</v>
      </c>
      <c r="V19" s="50">
        <v>25.4</v>
      </c>
      <c r="W19" s="50">
        <v>25.4</v>
      </c>
      <c r="X19" s="50">
        <v>25.4</v>
      </c>
      <c r="Y19" s="50">
        <v>25.4</v>
      </c>
      <c r="Z19" s="50">
        <v>33.200000000000003</v>
      </c>
      <c r="AA19" s="50">
        <v>33.200000000000003</v>
      </c>
      <c r="AB19" s="50">
        <v>33.200000000000003</v>
      </c>
      <c r="AC19" s="50">
        <v>33.200000000000003</v>
      </c>
      <c r="AD19" s="50">
        <v>33.200000000000003</v>
      </c>
      <c r="AE19" s="50">
        <v>33.200000000000003</v>
      </c>
      <c r="AF19" s="50">
        <v>25.9</v>
      </c>
      <c r="AG19" s="134">
        <v>24.2</v>
      </c>
      <c r="AH19" s="54">
        <f t="shared" si="2"/>
        <v>33.200000000000003</v>
      </c>
      <c r="AI19" s="55">
        <f t="shared" si="3"/>
        <v>25.4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23.5</v>
      </c>
      <c r="C20" s="50">
        <v>23.5</v>
      </c>
      <c r="D20" s="50">
        <v>23.5</v>
      </c>
      <c r="E20" s="50">
        <v>23.5</v>
      </c>
      <c r="F20" s="50">
        <v>23.5</v>
      </c>
      <c r="G20" s="50">
        <v>23.5</v>
      </c>
      <c r="H20" s="50">
        <v>23.5</v>
      </c>
      <c r="I20" s="50">
        <v>23.5</v>
      </c>
      <c r="J20" s="50">
        <v>23.5</v>
      </c>
      <c r="K20" s="50">
        <v>23.5</v>
      </c>
      <c r="L20" s="50">
        <v>23.5</v>
      </c>
      <c r="M20" s="50">
        <v>23.5</v>
      </c>
      <c r="N20" s="50">
        <v>23.5</v>
      </c>
      <c r="O20" s="50">
        <v>23.5</v>
      </c>
      <c r="P20" s="50">
        <v>23.5</v>
      </c>
      <c r="Q20" s="50">
        <v>23.5</v>
      </c>
      <c r="R20" s="50">
        <v>23.5</v>
      </c>
      <c r="S20" s="50">
        <v>23.5</v>
      </c>
      <c r="T20" s="50">
        <v>23.5</v>
      </c>
      <c r="U20" s="50">
        <v>23.5</v>
      </c>
      <c r="V20" s="50">
        <v>23.5</v>
      </c>
      <c r="W20" s="50">
        <v>23.5</v>
      </c>
      <c r="X20" s="50">
        <v>23.5</v>
      </c>
      <c r="Y20" s="50">
        <v>23.5</v>
      </c>
      <c r="Z20" s="50">
        <v>23.5</v>
      </c>
      <c r="AA20" s="50">
        <v>23.5</v>
      </c>
      <c r="AB20" s="50">
        <v>23.5</v>
      </c>
      <c r="AC20" s="50">
        <v>23.5</v>
      </c>
      <c r="AD20" s="50">
        <v>23.5</v>
      </c>
      <c r="AE20" s="50">
        <v>23.5</v>
      </c>
      <c r="AF20" s="50">
        <v>23.5</v>
      </c>
      <c r="AG20" s="134">
        <v>23.5</v>
      </c>
      <c r="AH20" s="54">
        <f t="shared" si="2"/>
        <v>23.5</v>
      </c>
      <c r="AI20" s="55">
        <f t="shared" si="3"/>
        <v>23.5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20.6</v>
      </c>
      <c r="C21" s="50">
        <v>20.6</v>
      </c>
      <c r="D21" s="50">
        <v>20.6</v>
      </c>
      <c r="E21" s="50">
        <v>20.6</v>
      </c>
      <c r="F21" s="50">
        <v>20.6</v>
      </c>
      <c r="G21" s="50">
        <v>20.6</v>
      </c>
      <c r="H21" s="50">
        <v>20.6</v>
      </c>
      <c r="I21" s="50">
        <v>20.6</v>
      </c>
      <c r="J21" s="50">
        <v>20.6</v>
      </c>
      <c r="K21" s="50">
        <v>20.6</v>
      </c>
      <c r="L21" s="50">
        <v>20.6</v>
      </c>
      <c r="M21" s="50">
        <v>20.6</v>
      </c>
      <c r="N21" s="50">
        <v>20.6</v>
      </c>
      <c r="O21" s="50">
        <v>20.6</v>
      </c>
      <c r="P21" s="50">
        <v>20.6</v>
      </c>
      <c r="Q21" s="50">
        <v>20.6</v>
      </c>
      <c r="R21" s="50">
        <v>20.6</v>
      </c>
      <c r="S21" s="50">
        <v>20.6</v>
      </c>
      <c r="T21" s="50">
        <v>20.6</v>
      </c>
      <c r="U21" s="50">
        <v>20.6</v>
      </c>
      <c r="V21" s="50">
        <v>20.6</v>
      </c>
      <c r="W21" s="50">
        <v>20.6</v>
      </c>
      <c r="X21" s="50">
        <v>20.6</v>
      </c>
      <c r="Y21" s="50">
        <v>20.6</v>
      </c>
      <c r="Z21" s="50">
        <v>20.6</v>
      </c>
      <c r="AA21" s="50">
        <v>20.6</v>
      </c>
      <c r="AB21" s="50">
        <v>20.6</v>
      </c>
      <c r="AC21" s="50">
        <v>20.6</v>
      </c>
      <c r="AD21" s="50">
        <v>20.6</v>
      </c>
      <c r="AE21" s="50">
        <v>20.6</v>
      </c>
      <c r="AF21" s="50">
        <v>20.6</v>
      </c>
      <c r="AG21" s="134">
        <v>22.2</v>
      </c>
      <c r="AH21" s="54">
        <f t="shared" si="2"/>
        <v>20.6</v>
      </c>
      <c r="AI21" s="55">
        <f t="shared" si="3"/>
        <v>20.6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134">
        <v>22.1</v>
      </c>
      <c r="AH22" s="54">
        <f t="shared" si="2"/>
        <v>22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22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17</v>
      </c>
      <c r="C24" s="50">
        <v>17</v>
      </c>
      <c r="D24" s="50">
        <v>17</v>
      </c>
      <c r="E24" s="50">
        <v>17</v>
      </c>
      <c r="F24" s="50">
        <v>17</v>
      </c>
      <c r="G24" s="50">
        <v>17</v>
      </c>
      <c r="H24" s="50">
        <v>17</v>
      </c>
      <c r="I24" s="50">
        <v>17</v>
      </c>
      <c r="J24" s="50">
        <v>17</v>
      </c>
      <c r="K24" s="50">
        <v>17</v>
      </c>
      <c r="L24" s="50">
        <v>17</v>
      </c>
      <c r="M24" s="50">
        <v>17</v>
      </c>
      <c r="N24" s="50">
        <v>17</v>
      </c>
      <c r="O24" s="50">
        <v>17</v>
      </c>
      <c r="P24" s="50">
        <v>17</v>
      </c>
      <c r="Q24" s="50">
        <v>17</v>
      </c>
      <c r="R24" s="50">
        <v>17</v>
      </c>
      <c r="S24" s="50">
        <v>17</v>
      </c>
      <c r="T24" s="50">
        <v>17</v>
      </c>
      <c r="U24" s="50">
        <v>17</v>
      </c>
      <c r="V24" s="50">
        <v>17</v>
      </c>
      <c r="W24" s="50">
        <v>17</v>
      </c>
      <c r="X24" s="50">
        <v>17</v>
      </c>
      <c r="Y24" s="50">
        <v>17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22</v>
      </c>
      <c r="AI24" s="55">
        <f t="shared" si="3"/>
        <v>17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5</v>
      </c>
      <c r="C25" s="50">
        <v>5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10</v>
      </c>
      <c r="N25" s="50">
        <v>10</v>
      </c>
      <c r="O25" s="50">
        <v>10</v>
      </c>
      <c r="P25" s="50">
        <v>10</v>
      </c>
      <c r="Q25" s="50">
        <v>10</v>
      </c>
      <c r="R25" s="50">
        <v>10</v>
      </c>
      <c r="S25" s="50">
        <v>10</v>
      </c>
      <c r="T25" s="50">
        <v>10</v>
      </c>
      <c r="U25" s="50">
        <v>10</v>
      </c>
      <c r="V25" s="50">
        <v>10</v>
      </c>
      <c r="W25" s="50">
        <v>10</v>
      </c>
      <c r="X25" s="50">
        <v>4</v>
      </c>
      <c r="Y25" s="50">
        <v>4</v>
      </c>
      <c r="Z25" s="50">
        <v>10</v>
      </c>
      <c r="AA25" s="50">
        <v>10</v>
      </c>
      <c r="AB25" s="50">
        <v>10</v>
      </c>
      <c r="AC25" s="50">
        <v>10</v>
      </c>
      <c r="AD25" s="50">
        <v>10</v>
      </c>
      <c r="AE25" s="50">
        <v>10</v>
      </c>
      <c r="AF25" s="50">
        <v>5</v>
      </c>
      <c r="AG25" s="134">
        <v>20</v>
      </c>
      <c r="AH25" s="54">
        <f t="shared" si="2"/>
        <v>10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14</v>
      </c>
      <c r="C26" s="50">
        <v>14</v>
      </c>
      <c r="D26" s="50">
        <v>14</v>
      </c>
      <c r="E26" s="50">
        <v>14</v>
      </c>
      <c r="F26" s="50">
        <v>14</v>
      </c>
      <c r="G26" s="50">
        <v>14</v>
      </c>
      <c r="H26" s="50">
        <v>14</v>
      </c>
      <c r="I26" s="50">
        <v>14</v>
      </c>
      <c r="J26" s="50">
        <v>14</v>
      </c>
      <c r="K26" s="50">
        <v>14</v>
      </c>
      <c r="L26" s="50">
        <v>14</v>
      </c>
      <c r="M26" s="50">
        <v>14</v>
      </c>
      <c r="N26" s="50">
        <v>14</v>
      </c>
      <c r="O26" s="50">
        <v>14</v>
      </c>
      <c r="P26" s="50">
        <v>14</v>
      </c>
      <c r="Q26" s="50">
        <v>14</v>
      </c>
      <c r="R26" s="50">
        <v>14</v>
      </c>
      <c r="S26" s="50">
        <v>14</v>
      </c>
      <c r="T26" s="50">
        <v>14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134">
        <v>14.9</v>
      </c>
      <c r="AH26" s="54">
        <f t="shared" si="2"/>
        <v>14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13</v>
      </c>
      <c r="C27" s="50">
        <v>13</v>
      </c>
      <c r="D27" s="50">
        <v>13</v>
      </c>
      <c r="E27" s="50">
        <v>13</v>
      </c>
      <c r="F27" s="50">
        <v>13</v>
      </c>
      <c r="G27" s="50">
        <v>13</v>
      </c>
      <c r="H27" s="50">
        <v>13</v>
      </c>
      <c r="I27" s="50">
        <v>13</v>
      </c>
      <c r="J27" s="50">
        <v>13</v>
      </c>
      <c r="K27" s="50">
        <v>13</v>
      </c>
      <c r="L27" s="50">
        <v>13</v>
      </c>
      <c r="M27" s="50">
        <v>13</v>
      </c>
      <c r="N27" s="50">
        <v>13</v>
      </c>
      <c r="O27" s="50">
        <v>13</v>
      </c>
      <c r="P27" s="50">
        <v>13</v>
      </c>
      <c r="Q27" s="50">
        <v>13</v>
      </c>
      <c r="R27" s="50">
        <v>13</v>
      </c>
      <c r="S27" s="50">
        <v>13</v>
      </c>
      <c r="T27" s="50">
        <v>13</v>
      </c>
      <c r="U27" s="50">
        <v>13</v>
      </c>
      <c r="V27" s="50">
        <v>13</v>
      </c>
      <c r="W27" s="50">
        <v>13</v>
      </c>
      <c r="X27" s="50">
        <v>13</v>
      </c>
      <c r="Y27" s="50">
        <v>13</v>
      </c>
      <c r="Z27" s="50">
        <v>13</v>
      </c>
      <c r="AA27" s="50">
        <v>13</v>
      </c>
      <c r="AB27" s="50">
        <v>13</v>
      </c>
      <c r="AC27" s="50">
        <v>13</v>
      </c>
      <c r="AD27" s="50">
        <v>13</v>
      </c>
      <c r="AE27" s="50">
        <v>13</v>
      </c>
      <c r="AF27" s="50">
        <v>13</v>
      </c>
      <c r="AG27" s="134">
        <v>13.6</v>
      </c>
      <c r="AH27" s="54">
        <f t="shared" si="2"/>
        <v>13</v>
      </c>
      <c r="AI27" s="55">
        <f t="shared" si="3"/>
        <v>13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13</v>
      </c>
      <c r="C28" s="50">
        <v>13</v>
      </c>
      <c r="D28" s="50">
        <v>13</v>
      </c>
      <c r="E28" s="50">
        <v>13</v>
      </c>
      <c r="F28" s="50">
        <v>13</v>
      </c>
      <c r="G28" s="50">
        <v>13</v>
      </c>
      <c r="H28" s="50">
        <v>13</v>
      </c>
      <c r="I28" s="50">
        <v>13</v>
      </c>
      <c r="J28" s="50">
        <v>13</v>
      </c>
      <c r="K28" s="50">
        <v>13</v>
      </c>
      <c r="L28" s="50">
        <v>13</v>
      </c>
      <c r="M28" s="50">
        <v>13</v>
      </c>
      <c r="N28" s="50">
        <v>13</v>
      </c>
      <c r="O28" s="50">
        <v>13</v>
      </c>
      <c r="P28" s="50">
        <v>13</v>
      </c>
      <c r="Q28" s="50">
        <v>13</v>
      </c>
      <c r="R28" s="50">
        <v>13</v>
      </c>
      <c r="S28" s="50">
        <v>13</v>
      </c>
      <c r="T28" s="50">
        <v>13</v>
      </c>
      <c r="U28" s="50">
        <v>13</v>
      </c>
      <c r="V28" s="50">
        <v>13</v>
      </c>
      <c r="W28" s="50">
        <v>13</v>
      </c>
      <c r="X28" s="50">
        <v>13</v>
      </c>
      <c r="Y28" s="50">
        <v>13</v>
      </c>
      <c r="Z28" s="50">
        <v>13</v>
      </c>
      <c r="AA28" s="50">
        <v>13</v>
      </c>
      <c r="AB28" s="50">
        <v>13</v>
      </c>
      <c r="AC28" s="50">
        <v>13</v>
      </c>
      <c r="AD28" s="50">
        <v>13</v>
      </c>
      <c r="AE28" s="50">
        <v>13</v>
      </c>
      <c r="AF28" s="50">
        <v>13</v>
      </c>
      <c r="AG28" s="134">
        <v>13</v>
      </c>
      <c r="AH28" s="54">
        <f t="shared" si="2"/>
        <v>13</v>
      </c>
      <c r="AI28" s="55">
        <f t="shared" si="3"/>
        <v>13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12</v>
      </c>
      <c r="C29" s="50">
        <v>12</v>
      </c>
      <c r="D29" s="50">
        <v>12</v>
      </c>
      <c r="E29" s="50">
        <v>12</v>
      </c>
      <c r="F29" s="50">
        <v>12</v>
      </c>
      <c r="G29" s="50">
        <v>12</v>
      </c>
      <c r="H29" s="50">
        <v>12</v>
      </c>
      <c r="I29" s="50">
        <v>12</v>
      </c>
      <c r="J29" s="50">
        <v>12</v>
      </c>
      <c r="K29" s="50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134">
        <v>12</v>
      </c>
      <c r="AH29" s="54">
        <f t="shared" si="2"/>
        <v>12</v>
      </c>
      <c r="AI29" s="55">
        <f t="shared" si="3"/>
        <v>12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7</v>
      </c>
      <c r="C30" s="50">
        <v>7</v>
      </c>
      <c r="D30" s="50">
        <v>7</v>
      </c>
      <c r="E30" s="50">
        <v>7</v>
      </c>
      <c r="F30" s="50">
        <v>7</v>
      </c>
      <c r="G30" s="50">
        <v>7</v>
      </c>
      <c r="H30" s="50">
        <v>7</v>
      </c>
      <c r="I30" s="50">
        <v>7</v>
      </c>
      <c r="J30" s="50">
        <v>7</v>
      </c>
      <c r="K30" s="50">
        <v>7</v>
      </c>
      <c r="L30" s="50">
        <v>7</v>
      </c>
      <c r="M30" s="50">
        <v>7</v>
      </c>
      <c r="N30" s="50">
        <v>7</v>
      </c>
      <c r="O30" s="50">
        <v>7</v>
      </c>
      <c r="P30" s="50">
        <v>7</v>
      </c>
      <c r="Q30" s="50">
        <v>7</v>
      </c>
      <c r="R30" s="50">
        <v>7</v>
      </c>
      <c r="S30" s="50">
        <v>7</v>
      </c>
      <c r="T30" s="50">
        <v>7</v>
      </c>
      <c r="U30" s="50">
        <v>7</v>
      </c>
      <c r="V30" s="50">
        <v>7</v>
      </c>
      <c r="W30" s="50">
        <v>7</v>
      </c>
      <c r="X30" s="50">
        <v>7</v>
      </c>
      <c r="Y30" s="50">
        <v>7</v>
      </c>
      <c r="Z30" s="50">
        <v>7</v>
      </c>
      <c r="AA30" s="50">
        <v>7</v>
      </c>
      <c r="AB30" s="50">
        <v>7</v>
      </c>
      <c r="AC30" s="50">
        <v>7</v>
      </c>
      <c r="AD30" s="50">
        <v>7</v>
      </c>
      <c r="AE30" s="50">
        <v>7</v>
      </c>
      <c r="AF30" s="50">
        <v>7</v>
      </c>
      <c r="AG30" s="134">
        <v>12</v>
      </c>
      <c r="AH30" s="54">
        <f t="shared" si="2"/>
        <v>7</v>
      </c>
      <c r="AI30" s="55">
        <f t="shared" si="3"/>
        <v>7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9</v>
      </c>
      <c r="C31" s="50">
        <v>9</v>
      </c>
      <c r="D31" s="50">
        <v>9</v>
      </c>
      <c r="E31" s="50">
        <v>9</v>
      </c>
      <c r="F31" s="50">
        <v>9</v>
      </c>
      <c r="G31" s="50">
        <v>9</v>
      </c>
      <c r="H31" s="50">
        <v>9</v>
      </c>
      <c r="I31" s="50">
        <v>9</v>
      </c>
      <c r="J31" s="50">
        <v>9</v>
      </c>
      <c r="K31" s="50">
        <v>9</v>
      </c>
      <c r="L31" s="50">
        <v>9</v>
      </c>
      <c r="M31" s="50">
        <v>9</v>
      </c>
      <c r="N31" s="50">
        <v>9</v>
      </c>
      <c r="O31" s="50">
        <v>9</v>
      </c>
      <c r="P31" s="50">
        <v>9</v>
      </c>
      <c r="Q31" s="50">
        <v>9</v>
      </c>
      <c r="R31" s="50">
        <v>9</v>
      </c>
      <c r="S31" s="50">
        <v>9</v>
      </c>
      <c r="T31" s="50">
        <v>9</v>
      </c>
      <c r="U31" s="50">
        <v>9</v>
      </c>
      <c r="V31" s="50">
        <v>9</v>
      </c>
      <c r="W31" s="50">
        <v>9</v>
      </c>
      <c r="X31" s="50">
        <v>9</v>
      </c>
      <c r="Y31" s="50">
        <v>9</v>
      </c>
      <c r="Z31" s="50">
        <v>9</v>
      </c>
      <c r="AA31" s="50">
        <v>9</v>
      </c>
      <c r="AB31" s="50">
        <v>9</v>
      </c>
      <c r="AC31" s="50">
        <v>9</v>
      </c>
      <c r="AD31" s="50">
        <v>9</v>
      </c>
      <c r="AE31" s="50">
        <v>9</v>
      </c>
      <c r="AF31" s="50">
        <v>9</v>
      </c>
      <c r="AG31" s="178">
        <v>22</v>
      </c>
      <c r="AH31" s="54">
        <f>MAX(B31:AF31)</f>
        <v>9</v>
      </c>
      <c r="AI31" s="55">
        <f>MIN(B31:AF31)</f>
        <v>9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5</v>
      </c>
      <c r="C32" s="50">
        <v>5</v>
      </c>
      <c r="D32" s="50">
        <v>5</v>
      </c>
      <c r="E32" s="50">
        <v>5</v>
      </c>
      <c r="F32" s="50">
        <v>5</v>
      </c>
      <c r="G32" s="50">
        <v>5</v>
      </c>
      <c r="H32" s="50">
        <v>5</v>
      </c>
      <c r="I32" s="50">
        <v>5</v>
      </c>
      <c r="J32" s="50">
        <v>5</v>
      </c>
      <c r="K32" s="50">
        <v>5</v>
      </c>
      <c r="L32" s="50">
        <v>5</v>
      </c>
      <c r="M32" s="50">
        <v>10</v>
      </c>
      <c r="N32" s="50">
        <v>10</v>
      </c>
      <c r="O32" s="50">
        <v>10</v>
      </c>
      <c r="P32" s="50">
        <v>10</v>
      </c>
      <c r="Q32" s="50">
        <v>10</v>
      </c>
      <c r="R32" s="50">
        <v>10</v>
      </c>
      <c r="S32" s="50">
        <v>10</v>
      </c>
      <c r="T32" s="50">
        <v>10</v>
      </c>
      <c r="U32" s="50">
        <v>10</v>
      </c>
      <c r="V32" s="50">
        <v>10</v>
      </c>
      <c r="W32" s="50">
        <v>10</v>
      </c>
      <c r="X32" s="50">
        <v>10</v>
      </c>
      <c r="Y32" s="50">
        <v>10</v>
      </c>
      <c r="Z32" s="50">
        <v>10</v>
      </c>
      <c r="AA32" s="50">
        <v>10</v>
      </c>
      <c r="AB32" s="50">
        <v>10</v>
      </c>
      <c r="AC32" s="50">
        <v>10</v>
      </c>
      <c r="AD32" s="50">
        <v>10</v>
      </c>
      <c r="AE32" s="50">
        <v>10</v>
      </c>
      <c r="AF32" s="50">
        <v>10</v>
      </c>
      <c r="AG32" s="135">
        <v>11.88</v>
      </c>
      <c r="AH32" s="54">
        <f t="shared" si="2"/>
        <v>10</v>
      </c>
      <c r="AI32" s="55">
        <f t="shared" si="3"/>
        <v>5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11</v>
      </c>
      <c r="D33" s="50">
        <v>11</v>
      </c>
      <c r="E33" s="50">
        <v>11</v>
      </c>
      <c r="F33" s="50">
        <v>11</v>
      </c>
      <c r="G33" s="50">
        <v>11</v>
      </c>
      <c r="H33" s="50">
        <v>11</v>
      </c>
      <c r="I33" s="50">
        <v>11</v>
      </c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11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9</v>
      </c>
      <c r="C34" s="50">
        <v>9</v>
      </c>
      <c r="D34" s="50">
        <v>9</v>
      </c>
      <c r="E34" s="50">
        <v>9</v>
      </c>
      <c r="F34" s="50">
        <v>9</v>
      </c>
      <c r="G34" s="50">
        <v>9</v>
      </c>
      <c r="H34" s="50">
        <v>9</v>
      </c>
      <c r="I34" s="50">
        <v>9</v>
      </c>
      <c r="J34" s="50">
        <v>9</v>
      </c>
      <c r="K34" s="50">
        <v>9</v>
      </c>
      <c r="L34" s="50">
        <v>9</v>
      </c>
      <c r="M34" s="50">
        <v>9</v>
      </c>
      <c r="N34" s="50">
        <v>9</v>
      </c>
      <c r="O34" s="50">
        <v>9</v>
      </c>
      <c r="P34" s="50">
        <v>9</v>
      </c>
      <c r="Q34" s="50">
        <v>9</v>
      </c>
      <c r="R34" s="50">
        <v>9</v>
      </c>
      <c r="S34" s="50">
        <v>9</v>
      </c>
      <c r="T34" s="50">
        <v>9</v>
      </c>
      <c r="U34" s="50">
        <v>9</v>
      </c>
      <c r="V34" s="50">
        <v>9</v>
      </c>
      <c r="W34" s="50">
        <v>9</v>
      </c>
      <c r="X34" s="50">
        <v>9</v>
      </c>
      <c r="Y34" s="50">
        <v>9</v>
      </c>
      <c r="Z34" s="50">
        <v>9</v>
      </c>
      <c r="AA34" s="50">
        <v>9</v>
      </c>
      <c r="AB34" s="50">
        <v>9</v>
      </c>
      <c r="AC34" s="50">
        <v>9</v>
      </c>
      <c r="AD34" s="50">
        <v>9</v>
      </c>
      <c r="AE34" s="50">
        <v>9</v>
      </c>
      <c r="AF34" s="50">
        <v>9</v>
      </c>
      <c r="AG34" s="136">
        <v>10</v>
      </c>
      <c r="AH34" s="54">
        <f t="shared" si="2"/>
        <v>9</v>
      </c>
      <c r="AI34" s="55">
        <f t="shared" si="3"/>
        <v>9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4</v>
      </c>
      <c r="N35" s="50">
        <v>4</v>
      </c>
      <c r="O35" s="50">
        <v>4</v>
      </c>
      <c r="P35" s="50">
        <v>4</v>
      </c>
      <c r="Q35" s="50">
        <v>4</v>
      </c>
      <c r="R35" s="50">
        <v>4</v>
      </c>
      <c r="S35" s="50">
        <v>4</v>
      </c>
      <c r="T35" s="50">
        <v>4</v>
      </c>
      <c r="U35" s="50">
        <v>4</v>
      </c>
      <c r="V35" s="50">
        <v>5</v>
      </c>
      <c r="W35" s="50">
        <v>5</v>
      </c>
      <c r="X35" s="50">
        <v>5</v>
      </c>
      <c r="Y35" s="50">
        <v>5</v>
      </c>
      <c r="Z35" s="50">
        <v>5</v>
      </c>
      <c r="AA35" s="50">
        <v>5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136">
        <v>10</v>
      </c>
      <c r="AH35" s="54">
        <f t="shared" si="2"/>
        <v>5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302</v>
      </c>
      <c r="C36" s="62">
        <v>302</v>
      </c>
      <c r="D36" s="62">
        <v>302</v>
      </c>
      <c r="E36" s="62">
        <v>302</v>
      </c>
      <c r="F36" s="62">
        <v>302</v>
      </c>
      <c r="G36" s="62">
        <v>302</v>
      </c>
      <c r="H36" s="62">
        <v>302</v>
      </c>
      <c r="I36" s="62">
        <v>302</v>
      </c>
      <c r="J36" s="62">
        <v>302</v>
      </c>
      <c r="K36" s="62">
        <v>302</v>
      </c>
      <c r="L36" s="62">
        <v>302</v>
      </c>
      <c r="M36" s="62">
        <v>302</v>
      </c>
      <c r="N36" s="62">
        <v>302</v>
      </c>
      <c r="O36" s="62">
        <v>302</v>
      </c>
      <c r="P36" s="62">
        <v>302</v>
      </c>
      <c r="Q36" s="62">
        <v>302</v>
      </c>
      <c r="R36" s="62">
        <v>302</v>
      </c>
      <c r="S36" s="62">
        <v>302</v>
      </c>
      <c r="T36" s="62">
        <v>302</v>
      </c>
      <c r="U36" s="62">
        <v>302</v>
      </c>
      <c r="V36" s="62">
        <v>303</v>
      </c>
      <c r="W36" s="62">
        <v>303</v>
      </c>
      <c r="X36" s="62">
        <v>303</v>
      </c>
      <c r="Y36" s="62">
        <v>303</v>
      </c>
      <c r="Z36" s="62">
        <v>303</v>
      </c>
      <c r="AA36" s="62">
        <v>303</v>
      </c>
      <c r="AB36" s="62">
        <v>303</v>
      </c>
      <c r="AC36" s="62">
        <v>303</v>
      </c>
      <c r="AD36" s="62">
        <v>303</v>
      </c>
      <c r="AE36" s="62">
        <v>303</v>
      </c>
      <c r="AF36" s="62">
        <v>303</v>
      </c>
      <c r="AG36" s="136">
        <v>85</v>
      </c>
      <c r="AH36" s="54">
        <f t="shared" si="2"/>
        <v>303</v>
      </c>
      <c r="AI36" s="55">
        <f t="shared" si="3"/>
        <v>302</v>
      </c>
      <c r="AK36" s="56"/>
    </row>
    <row r="37" spans="1:88" ht="15.75" thickBot="1" x14ac:dyDescent="0.3">
      <c r="A37" s="63" t="s">
        <v>21</v>
      </c>
      <c r="B37" s="64">
        <v>171</v>
      </c>
      <c r="C37" s="64">
        <v>171</v>
      </c>
      <c r="D37" s="64">
        <v>171</v>
      </c>
      <c r="E37" s="64">
        <v>171</v>
      </c>
      <c r="F37" s="64">
        <v>171</v>
      </c>
      <c r="G37" s="64">
        <v>171</v>
      </c>
      <c r="H37" s="64">
        <v>171</v>
      </c>
      <c r="I37" s="64">
        <v>171</v>
      </c>
      <c r="J37" s="64">
        <v>171</v>
      </c>
      <c r="K37" s="64">
        <f>73+78</f>
        <v>151</v>
      </c>
      <c r="L37" s="64">
        <v>170</v>
      </c>
      <c r="M37" s="62">
        <v>171</v>
      </c>
      <c r="N37" s="62">
        <f>71.6+97.6</f>
        <v>169.2</v>
      </c>
      <c r="O37" s="62">
        <f>72.9+96.9</f>
        <v>169.8</v>
      </c>
      <c r="P37" s="62">
        <f t="shared" ref="P37" si="4">72.9+96.9</f>
        <v>169.8</v>
      </c>
      <c r="Q37" s="62">
        <f>73.3+94.8</f>
        <v>168.1</v>
      </c>
      <c r="R37" s="62"/>
      <c r="S37" s="64">
        <f>83.6+58.8</f>
        <v>142.39999999999998</v>
      </c>
      <c r="T37" s="64">
        <f>83.6+58.8</f>
        <v>142.39999999999998</v>
      </c>
      <c r="U37" s="64">
        <f>83.6+58.8</f>
        <v>142.39999999999998</v>
      </c>
      <c r="V37" s="64">
        <f>58.4+96.7</f>
        <v>155.1</v>
      </c>
      <c r="W37" s="64">
        <f>58.4+96.7</f>
        <v>155.1</v>
      </c>
      <c r="X37" s="64">
        <f>58.4+96.3</f>
        <v>154.69999999999999</v>
      </c>
      <c r="Y37" s="64">
        <f>57.8+96.4</f>
        <v>154.19999999999999</v>
      </c>
      <c r="Z37" s="64">
        <f>57.8+96.4</f>
        <v>154.19999999999999</v>
      </c>
      <c r="AA37" s="64">
        <f>57.8+94.4</f>
        <v>152.19999999999999</v>
      </c>
      <c r="AB37" s="64">
        <f>57.2+95.3</f>
        <v>152.5</v>
      </c>
      <c r="AC37" s="64">
        <f>57.2+95.3</f>
        <v>152.5</v>
      </c>
      <c r="AD37" s="64">
        <v>154</v>
      </c>
      <c r="AE37" s="64">
        <v>154</v>
      </c>
      <c r="AF37" s="64">
        <v>156</v>
      </c>
      <c r="AG37" s="136">
        <v>240</v>
      </c>
      <c r="AH37" s="54">
        <f t="shared" si="2"/>
        <v>171</v>
      </c>
      <c r="AI37" s="55">
        <f t="shared" si="3"/>
        <v>142.39999999999998</v>
      </c>
      <c r="AK37" s="56"/>
    </row>
    <row r="38" spans="1:88" ht="15.75" thickBot="1" x14ac:dyDescent="0.3">
      <c r="A38" s="131" t="s">
        <v>22</v>
      </c>
      <c r="B38" s="66">
        <f t="shared" ref="B38:AG38" si="5">SUM(B11:B36)</f>
        <v>798.40000000000009</v>
      </c>
      <c r="C38" s="66">
        <f t="shared" si="5"/>
        <v>770.8</v>
      </c>
      <c r="D38" s="66">
        <f t="shared" si="5"/>
        <v>765.8</v>
      </c>
      <c r="E38" s="66">
        <f t="shared" si="5"/>
        <v>755.80000000000007</v>
      </c>
      <c r="F38" s="66">
        <f t="shared" si="5"/>
        <v>754.80000000000007</v>
      </c>
      <c r="G38" s="66">
        <f t="shared" si="5"/>
        <v>754.80000000000007</v>
      </c>
      <c r="H38" s="66">
        <f t="shared" si="5"/>
        <v>754.80000000000007</v>
      </c>
      <c r="I38" s="66">
        <f t="shared" si="5"/>
        <v>754.80000000000007</v>
      </c>
      <c r="J38" s="66">
        <f t="shared" si="5"/>
        <v>754.80000000000007</v>
      </c>
      <c r="K38" s="66">
        <f t="shared" si="5"/>
        <v>759.8</v>
      </c>
      <c r="L38" s="66">
        <f t="shared" si="5"/>
        <v>769.8</v>
      </c>
      <c r="M38" s="66">
        <f t="shared" si="5"/>
        <v>803.8</v>
      </c>
      <c r="N38" s="66">
        <f t="shared" si="5"/>
        <v>803.8</v>
      </c>
      <c r="O38" s="66">
        <f t="shared" si="5"/>
        <v>803.8</v>
      </c>
      <c r="P38" s="66">
        <f t="shared" si="5"/>
        <v>803.8</v>
      </c>
      <c r="Q38" s="66">
        <f t="shared" si="5"/>
        <v>803.8</v>
      </c>
      <c r="R38" s="66">
        <f t="shared" si="5"/>
        <v>803.8</v>
      </c>
      <c r="S38" s="66">
        <f t="shared" si="5"/>
        <v>827.9</v>
      </c>
      <c r="T38" s="66">
        <f t="shared" si="5"/>
        <v>827.9</v>
      </c>
      <c r="U38" s="66">
        <f t="shared" si="5"/>
        <v>813.9</v>
      </c>
      <c r="V38" s="66">
        <f t="shared" si="5"/>
        <v>798.7</v>
      </c>
      <c r="W38" s="66">
        <f t="shared" si="5"/>
        <v>798.7</v>
      </c>
      <c r="X38" s="66">
        <f t="shared" si="5"/>
        <v>787.9</v>
      </c>
      <c r="Y38" s="66">
        <f t="shared" si="5"/>
        <v>787.4</v>
      </c>
      <c r="Z38" s="66">
        <f t="shared" si="5"/>
        <v>829.1</v>
      </c>
      <c r="AA38" s="66">
        <f t="shared" si="5"/>
        <v>829.1</v>
      </c>
      <c r="AB38" s="66">
        <f t="shared" si="5"/>
        <v>824.1</v>
      </c>
      <c r="AC38" s="66">
        <f t="shared" si="5"/>
        <v>824.1</v>
      </c>
      <c r="AD38" s="66">
        <f t="shared" si="5"/>
        <v>824.1</v>
      </c>
      <c r="AE38" s="66">
        <f t="shared" si="5"/>
        <v>824.1</v>
      </c>
      <c r="AF38" s="66">
        <f t="shared" si="5"/>
        <v>791.8</v>
      </c>
      <c r="AG38" s="143">
        <f t="shared" si="5"/>
        <v>665.78</v>
      </c>
      <c r="AH38" s="54">
        <f t="shared" si="2"/>
        <v>829.1</v>
      </c>
      <c r="AI38" s="55">
        <f t="shared" si="3"/>
        <v>754.80000000000007</v>
      </c>
      <c r="AK38" s="56"/>
    </row>
    <row r="39" spans="1:88" x14ac:dyDescent="0.25">
      <c r="A39" s="159" t="s">
        <v>130</v>
      </c>
      <c r="B39" s="50">
        <v>456</v>
      </c>
      <c r="C39" s="50">
        <v>456</v>
      </c>
      <c r="D39" s="50">
        <v>456</v>
      </c>
      <c r="E39" s="50">
        <v>456</v>
      </c>
      <c r="F39" s="50">
        <v>456</v>
      </c>
      <c r="G39" s="50">
        <v>456</v>
      </c>
      <c r="H39" s="50">
        <v>456</v>
      </c>
      <c r="I39" s="50">
        <v>456</v>
      </c>
      <c r="J39" s="50">
        <v>456</v>
      </c>
      <c r="K39" s="50">
        <v>456</v>
      </c>
      <c r="L39" s="50">
        <v>456</v>
      </c>
      <c r="M39" s="50">
        <v>456</v>
      </c>
      <c r="N39" s="50">
        <v>456</v>
      </c>
      <c r="O39" s="50">
        <v>456</v>
      </c>
      <c r="P39" s="50">
        <v>456</v>
      </c>
      <c r="Q39" s="50">
        <v>456</v>
      </c>
      <c r="R39" s="50"/>
      <c r="S39" s="50">
        <v>456</v>
      </c>
      <c r="T39" s="50">
        <v>456</v>
      </c>
      <c r="U39" s="50">
        <v>456</v>
      </c>
      <c r="V39" s="50">
        <v>456</v>
      </c>
      <c r="W39" s="50">
        <v>456</v>
      </c>
      <c r="X39" s="50">
        <v>456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456</v>
      </c>
      <c r="AF39" s="50">
        <v>456</v>
      </c>
      <c r="AG39" s="135">
        <v>456</v>
      </c>
      <c r="AH39" s="54">
        <f t="shared" si="2"/>
        <v>456</v>
      </c>
      <c r="AI39" s="55">
        <f t="shared" si="3"/>
        <v>456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/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/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f>SUM(B39:B41)</f>
        <v>538</v>
      </c>
      <c r="C42" s="66">
        <f t="shared" ref="C42:AG42" si="6">SUM(C39:C41)</f>
        <v>538</v>
      </c>
      <c r="D42" s="66">
        <f t="shared" si="6"/>
        <v>538</v>
      </c>
      <c r="E42" s="66">
        <f t="shared" si="6"/>
        <v>538</v>
      </c>
      <c r="F42" s="66">
        <f t="shared" si="6"/>
        <v>538</v>
      </c>
      <c r="G42" s="66">
        <f t="shared" si="6"/>
        <v>538</v>
      </c>
      <c r="H42" s="66">
        <f t="shared" si="6"/>
        <v>538</v>
      </c>
      <c r="I42" s="66">
        <f t="shared" si="6"/>
        <v>538</v>
      </c>
      <c r="J42" s="66">
        <f t="shared" si="6"/>
        <v>538</v>
      </c>
      <c r="K42" s="66">
        <f t="shared" si="6"/>
        <v>538</v>
      </c>
      <c r="L42" s="66">
        <f t="shared" si="6"/>
        <v>538</v>
      </c>
      <c r="M42" s="66">
        <f t="shared" si="6"/>
        <v>538</v>
      </c>
      <c r="N42" s="66">
        <f t="shared" si="6"/>
        <v>538</v>
      </c>
      <c r="O42" s="66">
        <f t="shared" si="6"/>
        <v>538</v>
      </c>
      <c r="P42" s="66">
        <f t="shared" si="6"/>
        <v>538</v>
      </c>
      <c r="Q42" s="66">
        <f t="shared" si="6"/>
        <v>538</v>
      </c>
      <c r="R42" s="66">
        <f t="shared" si="6"/>
        <v>0</v>
      </c>
      <c r="S42" s="66">
        <f t="shared" si="6"/>
        <v>538</v>
      </c>
      <c r="T42" s="66">
        <f t="shared" si="6"/>
        <v>538</v>
      </c>
      <c r="U42" s="66">
        <f t="shared" si="6"/>
        <v>538</v>
      </c>
      <c r="V42" s="66">
        <f t="shared" si="6"/>
        <v>538</v>
      </c>
      <c r="W42" s="66">
        <f t="shared" si="6"/>
        <v>538</v>
      </c>
      <c r="X42" s="66">
        <f t="shared" si="6"/>
        <v>538</v>
      </c>
      <c r="Y42" s="66">
        <f t="shared" si="6"/>
        <v>538</v>
      </c>
      <c r="Z42" s="66">
        <f t="shared" si="6"/>
        <v>538</v>
      </c>
      <c r="AA42" s="66">
        <f t="shared" si="6"/>
        <v>538</v>
      </c>
      <c r="AB42" s="66">
        <f t="shared" si="6"/>
        <v>538</v>
      </c>
      <c r="AC42" s="66">
        <f t="shared" si="6"/>
        <v>538</v>
      </c>
      <c r="AD42" s="66">
        <f t="shared" si="6"/>
        <v>538</v>
      </c>
      <c r="AE42" s="66">
        <f t="shared" si="6"/>
        <v>538</v>
      </c>
      <c r="AF42" s="66">
        <f t="shared" si="6"/>
        <v>538</v>
      </c>
      <c r="AG42" s="143">
        <f t="shared" si="6"/>
        <v>538.1</v>
      </c>
      <c r="AH42" s="54">
        <f t="shared" si="2"/>
        <v>538</v>
      </c>
      <c r="AI42" s="55">
        <f t="shared" si="3"/>
        <v>0</v>
      </c>
      <c r="AK42" s="56"/>
    </row>
    <row r="43" spans="1:88" x14ac:dyDescent="0.25">
      <c r="A43" s="57" t="s">
        <v>23</v>
      </c>
      <c r="B43" s="50">
        <v>143.5</v>
      </c>
      <c r="C43" s="50">
        <v>143.5</v>
      </c>
      <c r="D43" s="50">
        <v>143.5</v>
      </c>
      <c r="E43" s="50">
        <v>142</v>
      </c>
      <c r="F43" s="50">
        <v>137</v>
      </c>
      <c r="G43" s="50">
        <v>132</v>
      </c>
      <c r="H43" s="50">
        <v>120</v>
      </c>
      <c r="I43" s="50">
        <v>120</v>
      </c>
      <c r="J43" s="50">
        <v>120</v>
      </c>
      <c r="K43" s="50">
        <v>142.30000000000001</v>
      </c>
      <c r="L43" s="50">
        <v>142.30000000000001</v>
      </c>
      <c r="M43" s="50">
        <v>143</v>
      </c>
      <c r="N43" s="50">
        <v>143.19999999999999</v>
      </c>
      <c r="O43" s="50">
        <v>141.80000000000001</v>
      </c>
      <c r="P43" s="50">
        <v>141.80000000000001</v>
      </c>
      <c r="Q43" s="50">
        <v>141.80000000000001</v>
      </c>
      <c r="R43" s="50">
        <v>141.80000000000001</v>
      </c>
      <c r="S43" s="50">
        <v>142.4</v>
      </c>
      <c r="T43" s="50">
        <v>142.4</v>
      </c>
      <c r="U43" s="50">
        <v>142</v>
      </c>
      <c r="V43" s="50">
        <v>142</v>
      </c>
      <c r="W43" s="50">
        <v>142</v>
      </c>
      <c r="X43" s="50">
        <v>142</v>
      </c>
      <c r="Y43" s="50">
        <v>142</v>
      </c>
      <c r="Z43" s="50">
        <v>142</v>
      </c>
      <c r="AA43" s="50">
        <v>142</v>
      </c>
      <c r="AB43" s="50">
        <v>143.30000000000001</v>
      </c>
      <c r="AC43" s="50">
        <v>143.30000000000001</v>
      </c>
      <c r="AD43" s="50">
        <v>143.30000000000001</v>
      </c>
      <c r="AE43" s="50">
        <v>143.30000000000001</v>
      </c>
      <c r="AF43" s="50">
        <v>143.30000000000001</v>
      </c>
      <c r="AG43" s="135">
        <v>144</v>
      </c>
      <c r="AH43" s="54">
        <f t="shared" si="2"/>
        <v>143.5</v>
      </c>
      <c r="AI43" s="55">
        <f t="shared" si="3"/>
        <v>120</v>
      </c>
      <c r="AK43" s="56"/>
    </row>
    <row r="44" spans="1:88" x14ac:dyDescent="0.25">
      <c r="A44" s="60" t="s">
        <v>24</v>
      </c>
      <c r="B44" s="48">
        <v>70.599999999999994</v>
      </c>
      <c r="C44" s="48">
        <v>70.599999999999994</v>
      </c>
      <c r="D44" s="48">
        <v>70.599999999999994</v>
      </c>
      <c r="E44" s="48">
        <v>71</v>
      </c>
      <c r="F44" s="48">
        <v>60</v>
      </c>
      <c r="G44" s="48">
        <v>50</v>
      </c>
      <c r="H44" s="48">
        <v>50</v>
      </c>
      <c r="I44" s="48">
        <v>50</v>
      </c>
      <c r="J44" s="48">
        <v>69.599999999999994</v>
      </c>
      <c r="K44" s="48">
        <v>70.5</v>
      </c>
      <c r="L44" s="48">
        <v>70.5</v>
      </c>
      <c r="M44" s="50">
        <v>72.599999999999994</v>
      </c>
      <c r="N44" s="50">
        <v>72.599999999999994</v>
      </c>
      <c r="O44" s="50">
        <v>71.2</v>
      </c>
      <c r="P44" s="50">
        <v>71.2</v>
      </c>
      <c r="Q44" s="50">
        <v>71.2</v>
      </c>
      <c r="R44" s="50">
        <v>71.2</v>
      </c>
      <c r="S44" s="50">
        <v>70.900000000000006</v>
      </c>
      <c r="T44" s="50">
        <v>70.900000000000006</v>
      </c>
      <c r="U44" s="50">
        <v>70.900000000000006</v>
      </c>
      <c r="V44" s="50">
        <v>70.900000000000006</v>
      </c>
      <c r="W44" s="50">
        <v>70.900000000000006</v>
      </c>
      <c r="X44" s="50">
        <v>70.900000000000006</v>
      </c>
      <c r="Y44" s="50">
        <v>70.900000000000006</v>
      </c>
      <c r="Z44" s="50">
        <v>70.900000000000006</v>
      </c>
      <c r="AA44" s="50">
        <v>70.900000000000006</v>
      </c>
      <c r="AB44" s="50">
        <v>70.900000000000006</v>
      </c>
      <c r="AC44" s="50">
        <v>70.900000000000006</v>
      </c>
      <c r="AD44" s="50">
        <v>70.900000000000006</v>
      </c>
      <c r="AE44" s="50">
        <v>70.900000000000006</v>
      </c>
      <c r="AF44" s="50">
        <v>70.900000000000006</v>
      </c>
      <c r="AG44" s="136">
        <v>70</v>
      </c>
      <c r="AH44" s="54">
        <f t="shared" si="2"/>
        <v>72.599999999999994</v>
      </c>
      <c r="AI44" s="55">
        <f t="shared" si="3"/>
        <v>50</v>
      </c>
      <c r="AK44" s="56"/>
    </row>
    <row r="45" spans="1:88" x14ac:dyDescent="0.25">
      <c r="A45" s="60" t="s">
        <v>25</v>
      </c>
      <c r="B45" s="48">
        <v>43.7</v>
      </c>
      <c r="C45" s="48">
        <v>43.7</v>
      </c>
      <c r="D45" s="48">
        <v>43.7</v>
      </c>
      <c r="E45" s="48">
        <v>43.7</v>
      </c>
      <c r="F45" s="48">
        <v>43.9</v>
      </c>
      <c r="G45" s="48">
        <v>38</v>
      </c>
      <c r="H45" s="48">
        <v>38</v>
      </c>
      <c r="I45" s="48">
        <v>38</v>
      </c>
      <c r="J45" s="48">
        <v>43.8</v>
      </c>
      <c r="K45" s="48">
        <v>44</v>
      </c>
      <c r="L45" s="48">
        <v>44</v>
      </c>
      <c r="M45" s="50">
        <v>43.9</v>
      </c>
      <c r="N45" s="50">
        <v>44</v>
      </c>
      <c r="O45" s="50">
        <v>44</v>
      </c>
      <c r="P45" s="50">
        <v>44</v>
      </c>
      <c r="Q45" s="50">
        <v>44</v>
      </c>
      <c r="R45" s="50">
        <v>44</v>
      </c>
      <c r="S45" s="50">
        <v>44.6</v>
      </c>
      <c r="T45" s="50">
        <v>44.6</v>
      </c>
      <c r="U45" s="50">
        <v>63.1</v>
      </c>
      <c r="V45" s="50">
        <v>63.1</v>
      </c>
      <c r="W45" s="50">
        <v>63.1</v>
      </c>
      <c r="X45" s="50">
        <v>63.1</v>
      </c>
      <c r="Y45" s="50">
        <v>63.1</v>
      </c>
      <c r="Z45" s="50">
        <v>63.1</v>
      </c>
      <c r="AA45" s="50">
        <v>63.1</v>
      </c>
      <c r="AB45" s="50">
        <v>63.1</v>
      </c>
      <c r="AC45" s="50">
        <v>63.1</v>
      </c>
      <c r="AD45" s="50">
        <v>63.1</v>
      </c>
      <c r="AE45" s="50">
        <v>63.1</v>
      </c>
      <c r="AF45" s="50">
        <v>63.1</v>
      </c>
      <c r="AG45" s="136">
        <v>69</v>
      </c>
      <c r="AH45" s="54">
        <f t="shared" si="2"/>
        <v>63.1</v>
      </c>
      <c r="AI45" s="55">
        <f t="shared" si="3"/>
        <v>38</v>
      </c>
      <c r="AK45" s="56"/>
    </row>
    <row r="46" spans="1:88" x14ac:dyDescent="0.25">
      <c r="A46" s="60" t="s">
        <v>26</v>
      </c>
      <c r="B46" s="62">
        <v>30.7</v>
      </c>
      <c r="C46" s="62">
        <v>30.7</v>
      </c>
      <c r="D46" s="62">
        <v>30.7</v>
      </c>
      <c r="E46" s="62">
        <v>60.9</v>
      </c>
      <c r="F46" s="62">
        <v>60.9</v>
      </c>
      <c r="G46" s="62">
        <v>60.9</v>
      </c>
      <c r="H46" s="62">
        <v>51</v>
      </c>
      <c r="I46" s="62">
        <v>51</v>
      </c>
      <c r="J46" s="62">
        <v>61.4</v>
      </c>
      <c r="K46" s="62">
        <v>61.2</v>
      </c>
      <c r="L46" s="62">
        <v>61.2</v>
      </c>
      <c r="M46" s="50">
        <v>61.2</v>
      </c>
      <c r="N46" s="50">
        <v>61.2</v>
      </c>
      <c r="O46" s="50">
        <v>61.2</v>
      </c>
      <c r="P46" s="50">
        <v>61.2</v>
      </c>
      <c r="Q46" s="50">
        <v>61.2</v>
      </c>
      <c r="R46" s="50">
        <v>61.2</v>
      </c>
      <c r="S46" s="50">
        <v>61.2</v>
      </c>
      <c r="T46" s="50">
        <v>61.2</v>
      </c>
      <c r="U46" s="50">
        <v>61.2</v>
      </c>
      <c r="V46" s="50">
        <v>61.2</v>
      </c>
      <c r="W46" s="50">
        <v>61.2</v>
      </c>
      <c r="X46" s="50">
        <v>61.2</v>
      </c>
      <c r="Y46" s="50">
        <v>61.2</v>
      </c>
      <c r="Z46" s="50">
        <v>61.2</v>
      </c>
      <c r="AA46" s="50">
        <v>61.2</v>
      </c>
      <c r="AB46" s="50">
        <v>61.2</v>
      </c>
      <c r="AC46" s="50">
        <v>61.2</v>
      </c>
      <c r="AD46" s="50">
        <v>61.2</v>
      </c>
      <c r="AE46" s="50">
        <v>61.2</v>
      </c>
      <c r="AF46" s="50">
        <v>61.2</v>
      </c>
      <c r="AG46" s="136">
        <v>60</v>
      </c>
      <c r="AH46" s="54">
        <f t="shared" si="2"/>
        <v>61.4</v>
      </c>
      <c r="AI46" s="55">
        <f t="shared" si="3"/>
        <v>30.7</v>
      </c>
      <c r="AK46" s="56"/>
    </row>
    <row r="47" spans="1:88" x14ac:dyDescent="0.25">
      <c r="A47" s="60" t="s">
        <v>27</v>
      </c>
      <c r="B47" s="62">
        <v>28.5</v>
      </c>
      <c r="C47" s="62">
        <v>28.5</v>
      </c>
      <c r="D47" s="62">
        <v>28.5</v>
      </c>
      <c r="E47" s="62">
        <v>28.5</v>
      </c>
      <c r="F47" s="62">
        <v>28.5</v>
      </c>
      <c r="G47" s="62">
        <v>28.5</v>
      </c>
      <c r="H47" s="62">
        <v>28.5</v>
      </c>
      <c r="I47" s="62">
        <v>28.5</v>
      </c>
      <c r="J47" s="62">
        <v>28.3</v>
      </c>
      <c r="K47" s="62">
        <v>14.6</v>
      </c>
      <c r="L47" s="62">
        <v>28.6</v>
      </c>
      <c r="M47" s="50">
        <v>28.4</v>
      </c>
      <c r="N47" s="50">
        <v>28.4</v>
      </c>
      <c r="O47" s="50">
        <v>28.4</v>
      </c>
      <c r="P47" s="50">
        <v>28.4</v>
      </c>
      <c r="Q47" s="50">
        <v>28.4</v>
      </c>
      <c r="R47" s="50">
        <v>28.4</v>
      </c>
      <c r="S47" s="50">
        <v>28.4</v>
      </c>
      <c r="T47" s="50">
        <v>28.4</v>
      </c>
      <c r="U47" s="50">
        <v>28.4</v>
      </c>
      <c r="V47" s="50">
        <v>0</v>
      </c>
      <c r="W47" s="50">
        <v>0</v>
      </c>
      <c r="X47" s="50">
        <v>0</v>
      </c>
      <c r="Y47" s="50">
        <v>0</v>
      </c>
      <c r="Z47" s="50">
        <v>28.7</v>
      </c>
      <c r="AA47" s="50">
        <v>28.7</v>
      </c>
      <c r="AB47" s="50">
        <v>28.7</v>
      </c>
      <c r="AC47" s="50">
        <v>28.7</v>
      </c>
      <c r="AD47" s="50">
        <v>28.7</v>
      </c>
      <c r="AE47" s="50">
        <v>28.7</v>
      </c>
      <c r="AF47" s="50">
        <v>28.7</v>
      </c>
      <c r="AG47" s="136">
        <v>30</v>
      </c>
      <c r="AH47" s="54">
        <f t="shared" si="2"/>
        <v>28.7</v>
      </c>
      <c r="AI47" s="55">
        <f t="shared" si="3"/>
        <v>0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62">
        <v>0</v>
      </c>
      <c r="G48" s="62">
        <v>0</v>
      </c>
      <c r="H48" s="62">
        <v>0</v>
      </c>
      <c r="I48" s="62">
        <v>0</v>
      </c>
      <c r="J48" s="62">
        <v>0</v>
      </c>
      <c r="K48" s="62">
        <v>0</v>
      </c>
      <c r="L48" s="62">
        <v>0</v>
      </c>
      <c r="M48" s="50"/>
      <c r="N48" s="50"/>
      <c r="O48" s="50"/>
      <c r="P48" s="50"/>
      <c r="Q48" s="50"/>
      <c r="R48" s="50"/>
      <c r="S48" s="50">
        <v>8</v>
      </c>
      <c r="T48" s="50">
        <v>8</v>
      </c>
      <c r="U48" s="50">
        <v>8</v>
      </c>
      <c r="V48" s="50">
        <v>8</v>
      </c>
      <c r="W48" s="50">
        <v>0</v>
      </c>
      <c r="X48" s="50">
        <v>0</v>
      </c>
      <c r="Y48" s="50">
        <v>0</v>
      </c>
      <c r="Z48" s="50">
        <v>0</v>
      </c>
      <c r="AA48" s="50">
        <v>0</v>
      </c>
      <c r="AB48" s="50">
        <v>0</v>
      </c>
      <c r="AC48" s="50">
        <v>0</v>
      </c>
      <c r="AD48" s="50">
        <v>0</v>
      </c>
      <c r="AE48" s="50">
        <v>0</v>
      </c>
      <c r="AF48" s="50">
        <v>0</v>
      </c>
      <c r="AG48" s="136">
        <v>25</v>
      </c>
      <c r="AH48" s="54">
        <f t="shared" si="2"/>
        <v>8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16</v>
      </c>
      <c r="C49" s="48">
        <v>16</v>
      </c>
      <c r="D49" s="48">
        <v>16</v>
      </c>
      <c r="E49" s="48">
        <v>15</v>
      </c>
      <c r="F49" s="48">
        <v>12.6</v>
      </c>
      <c r="G49" s="48">
        <v>12.6</v>
      </c>
      <c r="H49" s="48">
        <v>12.6</v>
      </c>
      <c r="I49" s="48">
        <v>12.6</v>
      </c>
      <c r="J49" s="48">
        <v>12.5</v>
      </c>
      <c r="K49" s="48">
        <v>16.100000000000001</v>
      </c>
      <c r="L49" s="48">
        <v>16.100000000000001</v>
      </c>
      <c r="M49" s="50">
        <v>14.3</v>
      </c>
      <c r="N49" s="50">
        <v>14.3</v>
      </c>
      <c r="O49" s="50">
        <v>14.3</v>
      </c>
      <c r="P49" s="50">
        <v>14.3</v>
      </c>
      <c r="Q49" s="50">
        <v>14.3</v>
      </c>
      <c r="R49" s="50">
        <v>14.3</v>
      </c>
      <c r="S49" s="50">
        <v>16.7</v>
      </c>
      <c r="T49" s="50">
        <v>16.7</v>
      </c>
      <c r="U49" s="50">
        <v>16.7</v>
      </c>
      <c r="V49" s="50">
        <v>16.7</v>
      </c>
      <c r="W49" s="50">
        <v>16.7</v>
      </c>
      <c r="X49" s="50">
        <v>16.7</v>
      </c>
      <c r="Y49" s="50">
        <v>16.7</v>
      </c>
      <c r="Z49" s="50">
        <v>16.7</v>
      </c>
      <c r="AA49" s="50">
        <v>16.7</v>
      </c>
      <c r="AB49" s="50">
        <v>16.7</v>
      </c>
      <c r="AC49" s="50">
        <v>16.7</v>
      </c>
      <c r="AD49" s="50">
        <v>16.7</v>
      </c>
      <c r="AE49" s="50">
        <v>16.7</v>
      </c>
      <c r="AF49" s="50">
        <v>16.7</v>
      </c>
      <c r="AG49" s="136">
        <v>24</v>
      </c>
      <c r="AH49" s="54">
        <f t="shared" si="2"/>
        <v>16.7</v>
      </c>
      <c r="AI49" s="55">
        <f t="shared" si="3"/>
        <v>12.5</v>
      </c>
      <c r="AK49" s="56"/>
    </row>
    <row r="50" spans="1:41" x14ac:dyDescent="0.25">
      <c r="A50" s="60" t="s">
        <v>30</v>
      </c>
      <c r="B50" s="48">
        <v>2.8</v>
      </c>
      <c r="C50" s="48">
        <v>2.8</v>
      </c>
      <c r="D50" s="48">
        <v>2.8</v>
      </c>
      <c r="E50" s="48">
        <v>2.8</v>
      </c>
      <c r="F50" s="48">
        <v>2.8</v>
      </c>
      <c r="G50" s="48">
        <v>2.8</v>
      </c>
      <c r="H50" s="48">
        <v>2.8</v>
      </c>
      <c r="I50" s="48">
        <v>2.8</v>
      </c>
      <c r="J50" s="48">
        <v>2.8</v>
      </c>
      <c r="K50" s="48">
        <v>2.8</v>
      </c>
      <c r="L50" s="48">
        <v>2.8</v>
      </c>
      <c r="M50" s="50">
        <v>2.8</v>
      </c>
      <c r="N50" s="50">
        <v>2.8</v>
      </c>
      <c r="O50" s="50">
        <v>2.8</v>
      </c>
      <c r="P50" s="50">
        <v>2.8</v>
      </c>
      <c r="Q50" s="50">
        <v>2.8</v>
      </c>
      <c r="R50" s="50">
        <v>2.8</v>
      </c>
      <c r="S50" s="50">
        <v>2.8</v>
      </c>
      <c r="T50" s="50">
        <v>2.8</v>
      </c>
      <c r="U50" s="50">
        <v>2.8</v>
      </c>
      <c r="V50" s="50">
        <v>2.8</v>
      </c>
      <c r="W50" s="50">
        <v>2.8</v>
      </c>
      <c r="X50" s="50">
        <v>2.8</v>
      </c>
      <c r="Y50" s="50">
        <v>2.8</v>
      </c>
      <c r="Z50" s="50">
        <v>2.8</v>
      </c>
      <c r="AA50" s="50">
        <v>2.8</v>
      </c>
      <c r="AB50" s="50">
        <v>2.8</v>
      </c>
      <c r="AC50" s="50">
        <v>2.8</v>
      </c>
      <c r="AD50" s="50">
        <v>2.8</v>
      </c>
      <c r="AE50" s="50">
        <v>2.8</v>
      </c>
      <c r="AF50" s="50">
        <v>2.8</v>
      </c>
      <c r="AG50" s="136">
        <v>15</v>
      </c>
      <c r="AH50" s="54">
        <f t="shared" si="2"/>
        <v>2.8</v>
      </c>
      <c r="AI50" s="55">
        <f t="shared" si="3"/>
        <v>2.8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4.5</v>
      </c>
      <c r="C51" s="48">
        <v>4.5</v>
      </c>
      <c r="D51" s="48">
        <v>4.5</v>
      </c>
      <c r="E51" s="48">
        <v>4.5</v>
      </c>
      <c r="F51" s="48">
        <v>4.5</v>
      </c>
      <c r="G51" s="48">
        <v>4.5</v>
      </c>
      <c r="H51" s="48">
        <v>4.5</v>
      </c>
      <c r="I51" s="48">
        <v>4.5</v>
      </c>
      <c r="J51" s="48">
        <v>4.5999999999999996</v>
      </c>
      <c r="K51" s="48">
        <v>4.7</v>
      </c>
      <c r="L51" s="48">
        <v>4.7</v>
      </c>
      <c r="M51" s="50">
        <v>4.7</v>
      </c>
      <c r="N51" s="50">
        <v>4.7</v>
      </c>
      <c r="O51" s="50">
        <v>4.7</v>
      </c>
      <c r="P51" s="50">
        <v>4.7</v>
      </c>
      <c r="Q51" s="50">
        <v>4.7</v>
      </c>
      <c r="R51" s="50">
        <v>4.7</v>
      </c>
      <c r="S51" s="50">
        <v>9.1</v>
      </c>
      <c r="T51" s="50">
        <v>9.1</v>
      </c>
      <c r="U51" s="50">
        <v>9.1</v>
      </c>
      <c r="V51" s="50">
        <v>9.1</v>
      </c>
      <c r="W51" s="50">
        <v>9.1</v>
      </c>
      <c r="X51" s="50">
        <v>9.1</v>
      </c>
      <c r="Y51" s="50">
        <v>9.1</v>
      </c>
      <c r="Z51" s="50">
        <v>9.1</v>
      </c>
      <c r="AA51" s="50">
        <v>9.1</v>
      </c>
      <c r="AB51" s="50">
        <v>9.1</v>
      </c>
      <c r="AC51" s="50">
        <v>9.1</v>
      </c>
      <c r="AD51" s="50">
        <v>9.1</v>
      </c>
      <c r="AE51" s="50">
        <v>9.1</v>
      </c>
      <c r="AF51" s="50">
        <v>9.1</v>
      </c>
      <c r="AG51" s="136">
        <v>14.1</v>
      </c>
      <c r="AH51" s="54">
        <f t="shared" si="2"/>
        <v>9.1</v>
      </c>
      <c r="AI51" s="55">
        <f t="shared" si="3"/>
        <v>4.5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13.8</v>
      </c>
      <c r="C52" s="48">
        <v>13.8</v>
      </c>
      <c r="D52" s="48">
        <v>13.8</v>
      </c>
      <c r="E52" s="48">
        <v>13.8</v>
      </c>
      <c r="F52" s="48">
        <v>13.8</v>
      </c>
      <c r="G52" s="48">
        <v>13.8</v>
      </c>
      <c r="H52" s="48">
        <v>13.8</v>
      </c>
      <c r="I52" s="48">
        <v>13.8</v>
      </c>
      <c r="J52" s="48">
        <v>13.8</v>
      </c>
      <c r="K52" s="48">
        <v>13.7</v>
      </c>
      <c r="L52" s="48">
        <v>13.7</v>
      </c>
      <c r="M52" s="50">
        <v>13.7</v>
      </c>
      <c r="N52" s="50">
        <v>13.7</v>
      </c>
      <c r="O52" s="50">
        <v>13.7</v>
      </c>
      <c r="P52" s="50">
        <v>13.7</v>
      </c>
      <c r="Q52" s="50">
        <v>13.7</v>
      </c>
      <c r="R52" s="50">
        <v>13.7</v>
      </c>
      <c r="S52" s="50">
        <v>14.1</v>
      </c>
      <c r="T52" s="50">
        <v>14.1</v>
      </c>
      <c r="U52" s="50">
        <v>14.1</v>
      </c>
      <c r="V52" s="50">
        <v>14.1</v>
      </c>
      <c r="W52" s="50">
        <v>14.1</v>
      </c>
      <c r="X52" s="50">
        <v>14.1</v>
      </c>
      <c r="Y52" s="50">
        <v>5.3</v>
      </c>
      <c r="Z52" s="50">
        <v>14</v>
      </c>
      <c r="AA52" s="50">
        <v>14</v>
      </c>
      <c r="AB52" s="50">
        <v>14</v>
      </c>
      <c r="AC52" s="50">
        <v>14</v>
      </c>
      <c r="AD52" s="50">
        <v>14</v>
      </c>
      <c r="AE52" s="50">
        <v>14</v>
      </c>
      <c r="AF52" s="50">
        <v>14</v>
      </c>
      <c r="AG52" s="136">
        <v>14</v>
      </c>
      <c r="AH52" s="54">
        <f t="shared" si="2"/>
        <v>14.1</v>
      </c>
      <c r="AI52" s="55">
        <f t="shared" si="3"/>
        <v>5.3</v>
      </c>
      <c r="AK52" s="56"/>
    </row>
    <row r="53" spans="1:41" x14ac:dyDescent="0.25">
      <c r="A53" s="60" t="s">
        <v>33</v>
      </c>
      <c r="B53" s="48">
        <v>6.3</v>
      </c>
      <c r="C53" s="48">
        <v>6.3</v>
      </c>
      <c r="D53" s="48">
        <v>6.3</v>
      </c>
      <c r="E53" s="48">
        <v>6.3</v>
      </c>
      <c r="F53" s="48">
        <v>6.3</v>
      </c>
      <c r="G53" s="48">
        <v>6.3</v>
      </c>
      <c r="H53" s="48">
        <v>6.3</v>
      </c>
      <c r="I53" s="48">
        <v>6.3</v>
      </c>
      <c r="J53" s="48">
        <v>6.3</v>
      </c>
      <c r="K53" s="48">
        <v>6.3</v>
      </c>
      <c r="L53" s="48">
        <v>6.3</v>
      </c>
      <c r="M53" s="50">
        <v>6.3</v>
      </c>
      <c r="N53" s="50">
        <v>6.3</v>
      </c>
      <c r="O53" s="50">
        <v>6.3</v>
      </c>
      <c r="P53" s="50">
        <v>6.3</v>
      </c>
      <c r="Q53" s="50">
        <v>6.3</v>
      </c>
      <c r="R53" s="50">
        <v>6.3</v>
      </c>
      <c r="S53" s="50">
        <v>6.3</v>
      </c>
      <c r="T53" s="50">
        <v>6.3</v>
      </c>
      <c r="U53" s="50">
        <v>6.3</v>
      </c>
      <c r="V53" s="50">
        <v>6.3</v>
      </c>
      <c r="W53" s="50">
        <v>6.3</v>
      </c>
      <c r="X53" s="50">
        <v>6.3</v>
      </c>
      <c r="Y53" s="50">
        <v>6.3</v>
      </c>
      <c r="Z53" s="50">
        <v>6.3</v>
      </c>
      <c r="AA53" s="50">
        <v>6.3</v>
      </c>
      <c r="AB53" s="50">
        <v>6.3</v>
      </c>
      <c r="AC53" s="50">
        <v>6.3</v>
      </c>
      <c r="AD53" s="50">
        <v>6.3</v>
      </c>
      <c r="AE53" s="50">
        <v>6.3</v>
      </c>
      <c r="AF53" s="50">
        <v>6.3</v>
      </c>
      <c r="AG53" s="136">
        <v>10.050000000000001</v>
      </c>
      <c r="AH53" s="54">
        <f t="shared" si="2"/>
        <v>6.3</v>
      </c>
      <c r="AI53" s="55">
        <f t="shared" si="3"/>
        <v>6.3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50">
        <v>6.2</v>
      </c>
      <c r="N54" s="50">
        <v>6.2</v>
      </c>
      <c r="O54" s="50">
        <v>6.2</v>
      </c>
      <c r="P54" s="50">
        <v>6.2</v>
      </c>
      <c r="Q54" s="50">
        <v>6.2</v>
      </c>
      <c r="R54" s="50">
        <v>6.2</v>
      </c>
      <c r="S54" s="50">
        <v>6.2</v>
      </c>
      <c r="T54" s="50">
        <v>6.2</v>
      </c>
      <c r="U54" s="50">
        <v>6.2</v>
      </c>
      <c r="V54" s="50">
        <v>6.2</v>
      </c>
      <c r="W54" s="50">
        <v>6.2</v>
      </c>
      <c r="X54" s="50">
        <v>6.2</v>
      </c>
      <c r="Y54" s="50">
        <v>6.2</v>
      </c>
      <c r="Z54" s="50">
        <v>6.2</v>
      </c>
      <c r="AA54" s="50">
        <v>6.2</v>
      </c>
      <c r="AB54" s="50">
        <v>6.2</v>
      </c>
      <c r="AC54" s="50">
        <v>6.2</v>
      </c>
      <c r="AD54" s="50">
        <v>6.2</v>
      </c>
      <c r="AE54" s="50">
        <v>6.2</v>
      </c>
      <c r="AF54" s="50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7">AG220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>SUM(B43:B55)</f>
        <v>370.14000000000004</v>
      </c>
      <c r="C56" s="66">
        <f t="shared" ref="C56:AG56" si="8">SUM(C43:C55)</f>
        <v>370.14000000000004</v>
      </c>
      <c r="D56" s="66">
        <f t="shared" si="8"/>
        <v>370.14000000000004</v>
      </c>
      <c r="E56" s="66">
        <f t="shared" si="8"/>
        <v>398.24</v>
      </c>
      <c r="F56" s="66">
        <f t="shared" si="8"/>
        <v>380.04000000000008</v>
      </c>
      <c r="G56" s="66">
        <f t="shared" si="8"/>
        <v>359.14000000000004</v>
      </c>
      <c r="H56" s="66">
        <f t="shared" si="8"/>
        <v>337.24000000000007</v>
      </c>
      <c r="I56" s="66">
        <f t="shared" si="8"/>
        <v>337.24000000000007</v>
      </c>
      <c r="J56" s="66">
        <f t="shared" si="8"/>
        <v>372.84000000000003</v>
      </c>
      <c r="K56" s="66">
        <f t="shared" si="8"/>
        <v>385.94000000000005</v>
      </c>
      <c r="L56" s="66">
        <f t="shared" si="8"/>
        <v>399.94000000000005</v>
      </c>
      <c r="M56" s="66">
        <f t="shared" si="8"/>
        <v>400.64</v>
      </c>
      <c r="N56" s="66">
        <f t="shared" si="8"/>
        <v>400.93999999999994</v>
      </c>
      <c r="O56" s="66">
        <f t="shared" si="8"/>
        <v>398.14</v>
      </c>
      <c r="P56" s="66">
        <f t="shared" si="8"/>
        <v>398.14</v>
      </c>
      <c r="Q56" s="66">
        <f t="shared" si="8"/>
        <v>398.14</v>
      </c>
      <c r="R56" s="66">
        <f t="shared" si="8"/>
        <v>398.14</v>
      </c>
      <c r="S56" s="66">
        <f t="shared" si="8"/>
        <v>414.24000000000007</v>
      </c>
      <c r="T56" s="66">
        <f t="shared" si="8"/>
        <v>414.24000000000007</v>
      </c>
      <c r="U56" s="66">
        <f t="shared" si="8"/>
        <v>432.34000000000003</v>
      </c>
      <c r="V56" s="66">
        <f t="shared" si="8"/>
        <v>403.94000000000005</v>
      </c>
      <c r="W56" s="66">
        <f t="shared" si="8"/>
        <v>395.94000000000005</v>
      </c>
      <c r="X56" s="66">
        <f t="shared" si="8"/>
        <v>395.94000000000005</v>
      </c>
      <c r="Y56" s="66">
        <f t="shared" si="8"/>
        <v>387.14000000000004</v>
      </c>
      <c r="Z56" s="66">
        <f t="shared" si="8"/>
        <v>424.54</v>
      </c>
      <c r="AA56" s="66">
        <f t="shared" si="8"/>
        <v>424.54</v>
      </c>
      <c r="AB56" s="66">
        <f t="shared" si="8"/>
        <v>425.84000000000003</v>
      </c>
      <c r="AC56" s="66">
        <f t="shared" si="8"/>
        <v>425.84000000000003</v>
      </c>
      <c r="AD56" s="66">
        <f t="shared" si="8"/>
        <v>425.84000000000003</v>
      </c>
      <c r="AE56" s="66">
        <f t="shared" si="8"/>
        <v>425.84000000000003</v>
      </c>
      <c r="AF56" s="66">
        <f t="shared" si="8"/>
        <v>425.84000000000003</v>
      </c>
      <c r="AG56" s="143">
        <f t="shared" si="8"/>
        <v>489.91</v>
      </c>
      <c r="AH56" s="54">
        <f t="shared" si="2"/>
        <v>432.34000000000003</v>
      </c>
      <c r="AI56" s="55">
        <f t="shared" si="3"/>
        <v>337.24000000000007</v>
      </c>
      <c r="AK56" s="56"/>
    </row>
    <row r="57" spans="1:41" x14ac:dyDescent="0.25">
      <c r="A57" s="57" t="s">
        <v>37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43.4</v>
      </c>
      <c r="Z57" s="50">
        <v>20</v>
      </c>
      <c r="AA57" s="50">
        <v>11</v>
      </c>
      <c r="AB57" s="50">
        <v>0</v>
      </c>
      <c r="AC57" s="50">
        <v>0</v>
      </c>
      <c r="AD57" s="50">
        <v>0</v>
      </c>
      <c r="AE57" s="50">
        <v>0</v>
      </c>
      <c r="AF57" s="50">
        <v>0</v>
      </c>
      <c r="AG57" s="135">
        <v>60</v>
      </c>
      <c r="AH57" s="54">
        <f t="shared" si="2"/>
        <v>43.4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14.5</v>
      </c>
      <c r="Z58" s="48">
        <v>10</v>
      </c>
      <c r="AA58" s="48">
        <v>8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136">
        <v>32</v>
      </c>
      <c r="AH58" s="54">
        <f t="shared" si="2"/>
        <v>14.5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70">
        <v>0</v>
      </c>
      <c r="P59" s="70">
        <v>0</v>
      </c>
      <c r="Q59" s="70">
        <v>0</v>
      </c>
      <c r="R59" s="70">
        <v>0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5.3</v>
      </c>
      <c r="Z59" s="70">
        <v>3.6</v>
      </c>
      <c r="AA59" s="70">
        <v>2.9</v>
      </c>
      <c r="AB59" s="70">
        <v>0</v>
      </c>
      <c r="AC59" s="70">
        <v>0</v>
      </c>
      <c r="AD59" s="70">
        <v>0</v>
      </c>
      <c r="AE59" s="70">
        <v>0</v>
      </c>
      <c r="AF59" s="70">
        <v>0</v>
      </c>
      <c r="AG59" s="137">
        <v>14</v>
      </c>
      <c r="AH59" s="54">
        <f t="shared" si="2"/>
        <v>5.3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>SUM(B57:B59)</f>
        <v>0</v>
      </c>
      <c r="C60" s="66">
        <f t="shared" ref="C60:AG60" si="9">SUM(C57:C59)</f>
        <v>0</v>
      </c>
      <c r="D60" s="66">
        <f t="shared" si="9"/>
        <v>0</v>
      </c>
      <c r="E60" s="66">
        <f t="shared" si="9"/>
        <v>0</v>
      </c>
      <c r="F60" s="66">
        <f t="shared" si="9"/>
        <v>0</v>
      </c>
      <c r="G60" s="66">
        <f t="shared" si="9"/>
        <v>0</v>
      </c>
      <c r="H60" s="66">
        <f t="shared" si="9"/>
        <v>0</v>
      </c>
      <c r="I60" s="66">
        <f t="shared" si="9"/>
        <v>0</v>
      </c>
      <c r="J60" s="66">
        <f t="shared" si="9"/>
        <v>0</v>
      </c>
      <c r="K60" s="66">
        <f t="shared" si="9"/>
        <v>0</v>
      </c>
      <c r="L60" s="66">
        <f t="shared" si="9"/>
        <v>0</v>
      </c>
      <c r="M60" s="66">
        <f t="shared" si="9"/>
        <v>0</v>
      </c>
      <c r="N60" s="66">
        <f t="shared" si="9"/>
        <v>0</v>
      </c>
      <c r="O60" s="66">
        <f t="shared" si="9"/>
        <v>0</v>
      </c>
      <c r="P60" s="66">
        <f t="shared" si="9"/>
        <v>0</v>
      </c>
      <c r="Q60" s="66">
        <f t="shared" si="9"/>
        <v>0</v>
      </c>
      <c r="R60" s="66">
        <f t="shared" si="9"/>
        <v>0</v>
      </c>
      <c r="S60" s="66">
        <f t="shared" si="9"/>
        <v>0</v>
      </c>
      <c r="T60" s="66">
        <f t="shared" si="9"/>
        <v>0</v>
      </c>
      <c r="U60" s="66">
        <f t="shared" si="9"/>
        <v>0</v>
      </c>
      <c r="V60" s="66">
        <f t="shared" si="9"/>
        <v>0</v>
      </c>
      <c r="W60" s="66">
        <f t="shared" si="9"/>
        <v>0</v>
      </c>
      <c r="X60" s="66">
        <f t="shared" si="9"/>
        <v>0</v>
      </c>
      <c r="Y60" s="66">
        <f t="shared" si="9"/>
        <v>63.199999999999996</v>
      </c>
      <c r="Z60" s="66">
        <f t="shared" si="9"/>
        <v>33.6</v>
      </c>
      <c r="AA60" s="66">
        <f t="shared" si="9"/>
        <v>21.9</v>
      </c>
      <c r="AB60" s="66">
        <f t="shared" si="9"/>
        <v>0</v>
      </c>
      <c r="AC60" s="66">
        <f t="shared" si="9"/>
        <v>0</v>
      </c>
      <c r="AD60" s="66">
        <f t="shared" si="9"/>
        <v>0</v>
      </c>
      <c r="AE60" s="66">
        <f t="shared" si="9"/>
        <v>0</v>
      </c>
      <c r="AF60" s="66">
        <f t="shared" si="9"/>
        <v>0</v>
      </c>
      <c r="AG60" s="143">
        <f t="shared" si="9"/>
        <v>106</v>
      </c>
      <c r="AH60" s="54">
        <f t="shared" si="2"/>
        <v>63.199999999999996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28</v>
      </c>
      <c r="C61" s="50">
        <v>18</v>
      </c>
      <c r="D61" s="50">
        <v>12</v>
      </c>
      <c r="E61" s="50">
        <v>11</v>
      </c>
      <c r="F61" s="50">
        <v>9</v>
      </c>
      <c r="G61" s="50">
        <v>8</v>
      </c>
      <c r="H61" s="50">
        <v>5</v>
      </c>
      <c r="I61" s="50">
        <v>9</v>
      </c>
      <c r="J61" s="50">
        <v>5</v>
      </c>
      <c r="K61" s="50">
        <v>13</v>
      </c>
      <c r="L61" s="50">
        <v>7</v>
      </c>
      <c r="M61" s="50">
        <v>27.5</v>
      </c>
      <c r="N61" s="50">
        <v>44.7</v>
      </c>
      <c r="O61" s="50">
        <v>53.4</v>
      </c>
      <c r="P61" s="50">
        <v>53.4</v>
      </c>
      <c r="Q61" s="50">
        <v>53.4</v>
      </c>
      <c r="R61" s="50">
        <v>53.4</v>
      </c>
      <c r="S61" s="50">
        <v>28.1</v>
      </c>
      <c r="T61" s="50">
        <v>42.2</v>
      </c>
      <c r="U61" s="50">
        <v>25.5</v>
      </c>
      <c r="V61" s="50">
        <v>47.5</v>
      </c>
      <c r="W61" s="50">
        <v>45.2</v>
      </c>
      <c r="X61" s="50">
        <v>45.2</v>
      </c>
      <c r="Y61" s="50">
        <v>55.4</v>
      </c>
      <c r="Z61" s="50">
        <v>27.3</v>
      </c>
      <c r="AA61" s="50">
        <v>35</v>
      </c>
      <c r="AB61" s="50">
        <v>58.5</v>
      </c>
      <c r="AC61" s="50">
        <v>60.9</v>
      </c>
      <c r="AD61" s="50">
        <v>51</v>
      </c>
      <c r="AE61" s="50">
        <v>57</v>
      </c>
      <c r="AF61" s="50">
        <v>28</v>
      </c>
      <c r="AG61" s="135"/>
      <c r="AH61" s="54">
        <f t="shared" si="2"/>
        <v>60.9</v>
      </c>
      <c r="AI61" s="55">
        <f t="shared" si="3"/>
        <v>5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-366</v>
      </c>
      <c r="C63" s="48">
        <v>-395</v>
      </c>
      <c r="D63" s="48">
        <v>-393</v>
      </c>
      <c r="E63" s="48">
        <v>-400</v>
      </c>
      <c r="F63" s="48">
        <v>-388</v>
      </c>
      <c r="G63" s="48">
        <v>-400</v>
      </c>
      <c r="H63" s="48">
        <v>-390</v>
      </c>
      <c r="I63" s="48">
        <v>-392</v>
      </c>
      <c r="J63" s="48">
        <v>-386</v>
      </c>
      <c r="K63" s="48">
        <v>-382</v>
      </c>
      <c r="L63" s="48">
        <v>-380</v>
      </c>
      <c r="M63" s="48">
        <v>-389</v>
      </c>
      <c r="N63" s="48">
        <v>-382</v>
      </c>
      <c r="O63" s="48">
        <v>-296</v>
      </c>
      <c r="P63" s="48">
        <v>-296</v>
      </c>
      <c r="Q63" s="48">
        <v>-282</v>
      </c>
      <c r="R63" s="48">
        <v>-297</v>
      </c>
      <c r="S63" s="48">
        <v>-305</v>
      </c>
      <c r="T63" s="48">
        <v>-256</v>
      </c>
      <c r="U63" s="48">
        <v>-282.60000000000002</v>
      </c>
      <c r="V63" s="48">
        <v>-325</v>
      </c>
      <c r="W63" s="48">
        <v>-367</v>
      </c>
      <c r="X63" s="48">
        <v>-350</v>
      </c>
      <c r="Y63" s="48">
        <v>-330</v>
      </c>
      <c r="Z63" s="48">
        <v>-355.3</v>
      </c>
      <c r="AA63" s="48">
        <v>-283</v>
      </c>
      <c r="AB63" s="48">
        <v>-240.3</v>
      </c>
      <c r="AC63" s="48">
        <v>-265</v>
      </c>
      <c r="AD63" s="48">
        <v>-294</v>
      </c>
      <c r="AE63" s="48">
        <v>-305</v>
      </c>
      <c r="AF63" s="48">
        <v>-330</v>
      </c>
      <c r="AG63" s="140"/>
      <c r="AH63" s="54">
        <f t="shared" si="2"/>
        <v>-240.3</v>
      </c>
      <c r="AI63" s="55">
        <f t="shared" si="3"/>
        <v>-400</v>
      </c>
      <c r="AK63" s="56"/>
    </row>
    <row r="64" spans="1:41" x14ac:dyDescent="0.25">
      <c r="A64" s="60" t="s">
        <v>44</v>
      </c>
      <c r="B64" s="71">
        <v>0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140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5</v>
      </c>
      <c r="C66" s="72">
        <v>5</v>
      </c>
      <c r="D66" s="72">
        <v>5</v>
      </c>
      <c r="E66" s="72">
        <v>5</v>
      </c>
      <c r="F66" s="72">
        <v>5</v>
      </c>
      <c r="G66" s="72">
        <v>5</v>
      </c>
      <c r="H66" s="72">
        <v>5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5</v>
      </c>
      <c r="V66" s="72">
        <v>5</v>
      </c>
      <c r="W66" s="72">
        <v>5</v>
      </c>
      <c r="X66" s="72">
        <v>5</v>
      </c>
      <c r="Y66" s="72">
        <v>5</v>
      </c>
      <c r="Z66" s="72">
        <v>5</v>
      </c>
      <c r="AA66" s="72">
        <v>5</v>
      </c>
      <c r="AB66" s="72">
        <v>5</v>
      </c>
      <c r="AC66" s="72">
        <v>5</v>
      </c>
      <c r="AD66" s="72">
        <v>5</v>
      </c>
      <c r="AE66" s="72">
        <v>5</v>
      </c>
      <c r="AF66" s="72">
        <v>5</v>
      </c>
      <c r="AG66" s="140"/>
      <c r="AH66" s="54">
        <f t="shared" si="2"/>
        <v>5</v>
      </c>
      <c r="AI66" s="55">
        <f t="shared" si="3"/>
        <v>0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1">
        <v>0</v>
      </c>
      <c r="D68" s="71">
        <v>0</v>
      </c>
      <c r="E68" s="71">
        <v>0</v>
      </c>
      <c r="F68" s="71">
        <v>0</v>
      </c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1">
        <v>0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4">
        <v>0</v>
      </c>
      <c r="C70" s="74">
        <v>0</v>
      </c>
      <c r="D70" s="74">
        <v>0</v>
      </c>
      <c r="E70" s="74">
        <v>0</v>
      </c>
      <c r="F70" s="74">
        <v>0</v>
      </c>
      <c r="G70" s="74">
        <v>0</v>
      </c>
      <c r="H70" s="74">
        <v>0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4">
        <v>0</v>
      </c>
      <c r="C71" s="74">
        <v>0</v>
      </c>
      <c r="D71" s="74">
        <v>0</v>
      </c>
      <c r="E71" s="74">
        <v>0</v>
      </c>
      <c r="F71" s="74">
        <v>0</v>
      </c>
      <c r="G71" s="74">
        <v>0</v>
      </c>
      <c r="H71" s="74">
        <v>0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>SUMIF(B61:B71,"&gt;0")</f>
        <v>33</v>
      </c>
      <c r="C72" s="66">
        <f t="shared" ref="C72:L72" si="10">SUMIF(C61:C71,"&gt;0")</f>
        <v>23</v>
      </c>
      <c r="D72" s="66">
        <f t="shared" si="10"/>
        <v>17</v>
      </c>
      <c r="E72" s="66">
        <f t="shared" si="10"/>
        <v>16</v>
      </c>
      <c r="F72" s="66">
        <f t="shared" si="10"/>
        <v>14</v>
      </c>
      <c r="G72" s="66">
        <f t="shared" si="10"/>
        <v>13</v>
      </c>
      <c r="H72" s="66">
        <f t="shared" si="10"/>
        <v>10</v>
      </c>
      <c r="I72" s="66">
        <f t="shared" si="10"/>
        <v>9</v>
      </c>
      <c r="J72" s="66">
        <f>SUMIF(J61:J71,"&gt;0")</f>
        <v>5</v>
      </c>
      <c r="K72" s="66">
        <f t="shared" si="10"/>
        <v>13</v>
      </c>
      <c r="L72" s="66">
        <f t="shared" si="10"/>
        <v>7</v>
      </c>
      <c r="M72" s="66">
        <f>SUMIF(M61:M71,"&gt;0")</f>
        <v>27.5</v>
      </c>
      <c r="N72" s="66">
        <f t="shared" ref="N72:AF72" si="11">SUMIF(N61:N71,"&gt;0")</f>
        <v>44.7</v>
      </c>
      <c r="O72" s="66">
        <f t="shared" si="11"/>
        <v>53.4</v>
      </c>
      <c r="P72" s="66">
        <f t="shared" si="11"/>
        <v>53.4</v>
      </c>
      <c r="Q72" s="66">
        <f t="shared" si="11"/>
        <v>53.4</v>
      </c>
      <c r="R72" s="66">
        <f t="shared" si="11"/>
        <v>53.4</v>
      </c>
      <c r="S72" s="66">
        <f t="shared" si="11"/>
        <v>28.1</v>
      </c>
      <c r="T72" s="66">
        <f t="shared" si="11"/>
        <v>42.2</v>
      </c>
      <c r="U72" s="66">
        <f t="shared" si="11"/>
        <v>30.5</v>
      </c>
      <c r="V72" s="66">
        <f t="shared" si="11"/>
        <v>52.5</v>
      </c>
      <c r="W72" s="66">
        <f t="shared" si="11"/>
        <v>50.2</v>
      </c>
      <c r="X72" s="66">
        <f t="shared" si="11"/>
        <v>50.2</v>
      </c>
      <c r="Y72" s="66">
        <f t="shared" si="11"/>
        <v>60.4</v>
      </c>
      <c r="Z72" s="66">
        <f t="shared" si="11"/>
        <v>32.299999999999997</v>
      </c>
      <c r="AA72" s="66">
        <f t="shared" si="11"/>
        <v>40</v>
      </c>
      <c r="AB72" s="66">
        <f t="shared" si="11"/>
        <v>63.5</v>
      </c>
      <c r="AC72" s="66">
        <f t="shared" si="11"/>
        <v>65.900000000000006</v>
      </c>
      <c r="AD72" s="66">
        <f t="shared" si="11"/>
        <v>56</v>
      </c>
      <c r="AE72" s="66">
        <f t="shared" si="11"/>
        <v>62</v>
      </c>
      <c r="AF72" s="66">
        <f t="shared" si="11"/>
        <v>33</v>
      </c>
      <c r="AG72" s="138">
        <f>SUM(AG61:AG71)</f>
        <v>0</v>
      </c>
      <c r="AH72" s="54">
        <f t="shared" si="2"/>
        <v>65.900000000000006</v>
      </c>
      <c r="AI72" s="55">
        <f t="shared" si="3"/>
        <v>5</v>
      </c>
      <c r="AK72" s="56"/>
    </row>
    <row r="73" spans="1:88" x14ac:dyDescent="0.25">
      <c r="A73" s="57" t="s">
        <v>53</v>
      </c>
      <c r="B73" s="71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>
        <v>0</v>
      </c>
      <c r="C75" s="74">
        <v>0</v>
      </c>
      <c r="D75" s="74">
        <v>0</v>
      </c>
      <c r="E75" s="74">
        <v>0</v>
      </c>
      <c r="F75" s="74">
        <v>0</v>
      </c>
      <c r="G75" s="74">
        <v>0</v>
      </c>
      <c r="H75" s="74">
        <v>0</v>
      </c>
      <c r="I75" s="74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>B38+B42+B60+B56+B72+B76</f>
        <v>1739.5400000000002</v>
      </c>
      <c r="C77" s="75">
        <f t="shared" ref="C77:AF77" si="12">C38+C42+C60+C56+C72+C76</f>
        <v>1701.94</v>
      </c>
      <c r="D77" s="75">
        <f t="shared" si="12"/>
        <v>1690.94</v>
      </c>
      <c r="E77" s="75">
        <f t="shared" si="12"/>
        <v>1708.0400000000002</v>
      </c>
      <c r="F77" s="75">
        <f t="shared" si="12"/>
        <v>1686.8400000000001</v>
      </c>
      <c r="G77" s="75">
        <f t="shared" si="12"/>
        <v>1664.9400000000003</v>
      </c>
      <c r="H77" s="75">
        <f t="shared" si="12"/>
        <v>1640.0400000000002</v>
      </c>
      <c r="I77" s="75">
        <f t="shared" si="12"/>
        <v>1639.0400000000002</v>
      </c>
      <c r="J77" s="75">
        <f t="shared" si="12"/>
        <v>1670.6400000000003</v>
      </c>
      <c r="K77" s="75">
        <f t="shared" si="12"/>
        <v>1696.74</v>
      </c>
      <c r="L77" s="75">
        <f t="shared" si="12"/>
        <v>1714.74</v>
      </c>
      <c r="M77" s="75">
        <f t="shared" si="12"/>
        <v>1769.94</v>
      </c>
      <c r="N77" s="75">
        <f t="shared" si="12"/>
        <v>1787.4399999999998</v>
      </c>
      <c r="O77" s="75">
        <f t="shared" si="12"/>
        <v>1793.3400000000001</v>
      </c>
      <c r="P77" s="75">
        <f t="shared" si="12"/>
        <v>1793.3400000000001</v>
      </c>
      <c r="Q77" s="75">
        <f t="shared" si="12"/>
        <v>1793.3400000000001</v>
      </c>
      <c r="R77" s="75">
        <f t="shared" si="12"/>
        <v>1255.3400000000001</v>
      </c>
      <c r="S77" s="75">
        <f t="shared" si="12"/>
        <v>1808.24</v>
      </c>
      <c r="T77" s="75">
        <f t="shared" si="12"/>
        <v>1822.3400000000001</v>
      </c>
      <c r="U77" s="75">
        <f t="shared" si="12"/>
        <v>1814.7400000000002</v>
      </c>
      <c r="V77" s="75">
        <f t="shared" si="12"/>
        <v>1793.14</v>
      </c>
      <c r="W77" s="75">
        <f t="shared" si="12"/>
        <v>1782.8400000000001</v>
      </c>
      <c r="X77" s="75">
        <f t="shared" si="12"/>
        <v>1772.0400000000002</v>
      </c>
      <c r="Y77" s="75">
        <f t="shared" si="12"/>
        <v>1836.1400000000003</v>
      </c>
      <c r="Z77" s="75">
        <f t="shared" si="12"/>
        <v>1857.5399999999997</v>
      </c>
      <c r="AA77" s="75">
        <f t="shared" si="12"/>
        <v>1853.54</v>
      </c>
      <c r="AB77" s="75">
        <f t="shared" si="12"/>
        <v>1851.44</v>
      </c>
      <c r="AC77" s="75">
        <f t="shared" si="12"/>
        <v>1853.8400000000001</v>
      </c>
      <c r="AD77" s="75">
        <f t="shared" si="12"/>
        <v>1843.94</v>
      </c>
      <c r="AE77" s="75">
        <f t="shared" si="12"/>
        <v>1849.94</v>
      </c>
      <c r="AF77" s="75">
        <f t="shared" si="12"/>
        <v>1788.6399999999999</v>
      </c>
      <c r="AG77" s="143">
        <f>AG38+AG42+AG60+AG56+AG72+AG76</f>
        <v>1855.1900000000003</v>
      </c>
      <c r="AH77" s="54">
        <f t="shared" si="2"/>
        <v>1857.5399999999997</v>
      </c>
      <c r="AI77" s="55">
        <f t="shared" si="3"/>
        <v>1255.3400000000001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0</v>
      </c>
      <c r="AI78" s="55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>B77+B78</f>
        <v>1739.5400000000002</v>
      </c>
      <c r="C79" s="75">
        <f t="shared" ref="C79:AF79" si="13">C77+C78</f>
        <v>1701.94</v>
      </c>
      <c r="D79" s="75">
        <f t="shared" si="13"/>
        <v>1690.94</v>
      </c>
      <c r="E79" s="75">
        <f t="shared" si="13"/>
        <v>1708.0400000000002</v>
      </c>
      <c r="F79" s="75">
        <f t="shared" si="13"/>
        <v>1686.8400000000001</v>
      </c>
      <c r="G79" s="75">
        <f t="shared" si="13"/>
        <v>1664.9400000000003</v>
      </c>
      <c r="H79" s="75">
        <f t="shared" si="13"/>
        <v>1640.0400000000002</v>
      </c>
      <c r="I79" s="75">
        <f t="shared" si="13"/>
        <v>1639.0400000000002</v>
      </c>
      <c r="J79" s="75">
        <f t="shared" si="13"/>
        <v>1670.6400000000003</v>
      </c>
      <c r="K79" s="75">
        <f t="shared" si="13"/>
        <v>1696.74</v>
      </c>
      <c r="L79" s="75">
        <f t="shared" si="13"/>
        <v>1714.74</v>
      </c>
      <c r="M79" s="75">
        <f t="shared" si="13"/>
        <v>1769.94</v>
      </c>
      <c r="N79" s="75">
        <f t="shared" si="13"/>
        <v>1787.4399999999998</v>
      </c>
      <c r="O79" s="75">
        <f t="shared" si="13"/>
        <v>1793.3400000000001</v>
      </c>
      <c r="P79" s="75">
        <f t="shared" si="13"/>
        <v>1793.3400000000001</v>
      </c>
      <c r="Q79" s="75">
        <f t="shared" si="13"/>
        <v>1793.3400000000001</v>
      </c>
      <c r="R79" s="75">
        <f t="shared" si="13"/>
        <v>1255.3400000000001</v>
      </c>
      <c r="S79" s="75">
        <f t="shared" si="13"/>
        <v>1808.24</v>
      </c>
      <c r="T79" s="75">
        <f t="shared" si="13"/>
        <v>1822.3400000000001</v>
      </c>
      <c r="U79" s="75">
        <f t="shared" si="13"/>
        <v>1814.7400000000002</v>
      </c>
      <c r="V79" s="75">
        <f t="shared" si="13"/>
        <v>1793.14</v>
      </c>
      <c r="W79" s="75">
        <f t="shared" si="13"/>
        <v>1782.8400000000001</v>
      </c>
      <c r="X79" s="75">
        <f t="shared" si="13"/>
        <v>1772.0400000000002</v>
      </c>
      <c r="Y79" s="75">
        <f t="shared" si="13"/>
        <v>1836.1400000000003</v>
      </c>
      <c r="Z79" s="75">
        <f t="shared" si="13"/>
        <v>1857.5399999999997</v>
      </c>
      <c r="AA79" s="75">
        <f t="shared" si="13"/>
        <v>1853.54</v>
      </c>
      <c r="AB79" s="75">
        <f t="shared" si="13"/>
        <v>1851.44</v>
      </c>
      <c r="AC79" s="75">
        <f t="shared" si="13"/>
        <v>1853.8400000000001</v>
      </c>
      <c r="AD79" s="75">
        <f t="shared" si="13"/>
        <v>1843.94</v>
      </c>
      <c r="AE79" s="75">
        <f t="shared" si="13"/>
        <v>1849.94</v>
      </c>
      <c r="AF79" s="75">
        <f t="shared" si="13"/>
        <v>1788.6399999999999</v>
      </c>
      <c r="AG79" s="138">
        <f>AG76+AG72+AG60+AG56+AG38+AG78</f>
        <v>1317.0900000000001</v>
      </c>
      <c r="AH79" s="54">
        <f t="shared" si="2"/>
        <v>1857.5399999999997</v>
      </c>
      <c r="AI79" s="55">
        <f t="shared" si="3"/>
        <v>1255.3400000000001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:AF80" si="14">B79-B87</f>
        <v>1373.5400000000002</v>
      </c>
      <c r="C80" s="75">
        <f t="shared" si="14"/>
        <v>1306.94</v>
      </c>
      <c r="D80" s="75">
        <f t="shared" si="14"/>
        <v>1297.94</v>
      </c>
      <c r="E80" s="75">
        <f t="shared" si="14"/>
        <v>1308.0400000000002</v>
      </c>
      <c r="F80" s="75">
        <f t="shared" si="14"/>
        <v>1298.8400000000001</v>
      </c>
      <c r="G80" s="75">
        <f t="shared" si="14"/>
        <v>1264.9400000000003</v>
      </c>
      <c r="H80" s="75">
        <f t="shared" si="14"/>
        <v>1250.0400000000002</v>
      </c>
      <c r="I80" s="75">
        <f t="shared" si="14"/>
        <v>1247.0400000000002</v>
      </c>
      <c r="J80" s="75">
        <f t="shared" si="14"/>
        <v>1284.6400000000003</v>
      </c>
      <c r="K80" s="75">
        <f t="shared" si="14"/>
        <v>1314.74</v>
      </c>
      <c r="L80" s="75">
        <f t="shared" si="14"/>
        <v>1334.74</v>
      </c>
      <c r="M80" s="75">
        <f t="shared" si="14"/>
        <v>1380.94</v>
      </c>
      <c r="N80" s="75">
        <f t="shared" si="14"/>
        <v>1405.4399999999998</v>
      </c>
      <c r="O80" s="75">
        <f t="shared" si="14"/>
        <v>1497.3400000000001</v>
      </c>
      <c r="P80" s="75">
        <f t="shared" si="14"/>
        <v>1497.3400000000001</v>
      </c>
      <c r="Q80" s="75">
        <f t="shared" si="14"/>
        <v>1511.3400000000001</v>
      </c>
      <c r="R80" s="75">
        <f t="shared" si="14"/>
        <v>958.34000000000015</v>
      </c>
      <c r="S80" s="75">
        <f t="shared" si="14"/>
        <v>1503.24</v>
      </c>
      <c r="T80" s="75">
        <f t="shared" si="14"/>
        <v>1566.3400000000001</v>
      </c>
      <c r="U80" s="75">
        <f t="shared" si="14"/>
        <v>1532.1400000000003</v>
      </c>
      <c r="V80" s="75">
        <f t="shared" si="14"/>
        <v>1468.14</v>
      </c>
      <c r="W80" s="75">
        <f t="shared" si="14"/>
        <v>1415.8400000000001</v>
      </c>
      <c r="X80" s="75">
        <f t="shared" si="14"/>
        <v>1422.0400000000002</v>
      </c>
      <c r="Y80" s="75">
        <f t="shared" si="14"/>
        <v>1506.1400000000003</v>
      </c>
      <c r="Z80" s="75">
        <f t="shared" si="14"/>
        <v>1502.2399999999998</v>
      </c>
      <c r="AA80" s="75">
        <f t="shared" si="14"/>
        <v>1570.54</v>
      </c>
      <c r="AB80" s="75">
        <f t="shared" si="14"/>
        <v>1611.14</v>
      </c>
      <c r="AC80" s="75">
        <f t="shared" si="14"/>
        <v>1588.8400000000001</v>
      </c>
      <c r="AD80" s="75">
        <f t="shared" si="14"/>
        <v>1549.94</v>
      </c>
      <c r="AE80" s="75">
        <f t="shared" si="14"/>
        <v>1544.94</v>
      </c>
      <c r="AF80" s="75">
        <f t="shared" si="14"/>
        <v>1458.6399999999999</v>
      </c>
      <c r="AG80" s="138"/>
      <c r="AH80" s="54">
        <f t="shared" ref="AH80:AH97" si="15">MAX(B80:AF80)</f>
        <v>1611.14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>IF(B64&lt;0,B64*-1,0)</f>
        <v>0</v>
      </c>
      <c r="C81" s="71">
        <f t="shared" ref="C81:AF81" si="16">IF(C64&lt;0,C64*-1,0)</f>
        <v>0</v>
      </c>
      <c r="D81" s="71">
        <f t="shared" si="16"/>
        <v>0</v>
      </c>
      <c r="E81" s="71">
        <f t="shared" si="16"/>
        <v>0</v>
      </c>
      <c r="F81" s="71">
        <f t="shared" si="16"/>
        <v>0</v>
      </c>
      <c r="G81" s="71">
        <f t="shared" si="16"/>
        <v>0</v>
      </c>
      <c r="H81" s="71">
        <f t="shared" si="16"/>
        <v>0</v>
      </c>
      <c r="I81" s="71">
        <f>IF(I64&lt;0,I64*-1,0)</f>
        <v>0</v>
      </c>
      <c r="J81" s="71">
        <f>IF(J64&lt;0,J64*-1,0)</f>
        <v>0</v>
      </c>
      <c r="K81" s="71">
        <f t="shared" si="16"/>
        <v>0</v>
      </c>
      <c r="L81" s="71">
        <f t="shared" si="16"/>
        <v>0</v>
      </c>
      <c r="M81" s="71">
        <f t="shared" si="16"/>
        <v>0</v>
      </c>
      <c r="N81" s="71">
        <f t="shared" si="16"/>
        <v>0</v>
      </c>
      <c r="O81" s="71">
        <f t="shared" si="16"/>
        <v>0</v>
      </c>
      <c r="P81" s="71">
        <f t="shared" si="16"/>
        <v>0</v>
      </c>
      <c r="Q81" s="71">
        <f t="shared" si="16"/>
        <v>0</v>
      </c>
      <c r="R81" s="71">
        <f t="shared" si="16"/>
        <v>0</v>
      </c>
      <c r="S81" s="71">
        <f t="shared" si="16"/>
        <v>0</v>
      </c>
      <c r="T81" s="71">
        <f t="shared" si="16"/>
        <v>0</v>
      </c>
      <c r="U81" s="71">
        <f t="shared" si="16"/>
        <v>0</v>
      </c>
      <c r="V81" s="71">
        <f t="shared" si="16"/>
        <v>0</v>
      </c>
      <c r="W81" s="71">
        <f t="shared" si="16"/>
        <v>0</v>
      </c>
      <c r="X81" s="71">
        <f t="shared" si="16"/>
        <v>0</v>
      </c>
      <c r="Y81" s="71">
        <f t="shared" si="16"/>
        <v>0</v>
      </c>
      <c r="Z81" s="71">
        <f t="shared" si="16"/>
        <v>0</v>
      </c>
      <c r="AA81" s="71">
        <f t="shared" si="16"/>
        <v>0</v>
      </c>
      <c r="AB81" s="71">
        <f t="shared" si="16"/>
        <v>0</v>
      </c>
      <c r="AC81" s="71">
        <f t="shared" si="16"/>
        <v>0</v>
      </c>
      <c r="AD81" s="71">
        <f t="shared" si="16"/>
        <v>0</v>
      </c>
      <c r="AE81" s="71">
        <f t="shared" si="16"/>
        <v>0</v>
      </c>
      <c r="AF81" s="71">
        <f t="shared" si="16"/>
        <v>0</v>
      </c>
      <c r="AG81" s="135"/>
      <c r="AH81" s="54">
        <f t="shared" si="15"/>
        <v>0</v>
      </c>
      <c r="AI81" s="55">
        <f t="shared" ref="AI81:AI97" si="17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>IF(B62&lt;0,B62*-1,0)</f>
        <v>0</v>
      </c>
      <c r="C82" s="71">
        <f t="shared" ref="C82:AF82" si="18">IF(C62&lt;0,C62*-1,0)</f>
        <v>0</v>
      </c>
      <c r="D82" s="71">
        <f t="shared" si="18"/>
        <v>0</v>
      </c>
      <c r="E82" s="71">
        <f t="shared" si="18"/>
        <v>0</v>
      </c>
      <c r="F82" s="71">
        <f t="shared" si="18"/>
        <v>0</v>
      </c>
      <c r="G82" s="71">
        <f t="shared" si="18"/>
        <v>0</v>
      </c>
      <c r="H82" s="71">
        <f t="shared" si="18"/>
        <v>0</v>
      </c>
      <c r="I82" s="71">
        <f t="shared" si="18"/>
        <v>0</v>
      </c>
      <c r="J82" s="71">
        <f t="shared" si="18"/>
        <v>0</v>
      </c>
      <c r="K82" s="71">
        <f t="shared" si="18"/>
        <v>0</v>
      </c>
      <c r="L82" s="71">
        <f t="shared" si="18"/>
        <v>0</v>
      </c>
      <c r="M82" s="71">
        <f t="shared" si="18"/>
        <v>0</v>
      </c>
      <c r="N82" s="71">
        <f t="shared" si="18"/>
        <v>0</v>
      </c>
      <c r="O82" s="71">
        <f t="shared" si="18"/>
        <v>0</v>
      </c>
      <c r="P82" s="71">
        <f t="shared" si="18"/>
        <v>0</v>
      </c>
      <c r="Q82" s="71">
        <f t="shared" si="18"/>
        <v>0</v>
      </c>
      <c r="R82" s="71">
        <f t="shared" si="18"/>
        <v>0</v>
      </c>
      <c r="S82" s="71">
        <f t="shared" si="18"/>
        <v>0</v>
      </c>
      <c r="T82" s="71">
        <f t="shared" si="18"/>
        <v>0</v>
      </c>
      <c r="U82" s="71">
        <f t="shared" si="18"/>
        <v>0</v>
      </c>
      <c r="V82" s="71">
        <f t="shared" si="18"/>
        <v>0</v>
      </c>
      <c r="W82" s="71">
        <f t="shared" si="18"/>
        <v>0</v>
      </c>
      <c r="X82" s="71">
        <f t="shared" si="18"/>
        <v>0</v>
      </c>
      <c r="Y82" s="71">
        <f t="shared" si="18"/>
        <v>0</v>
      </c>
      <c r="Z82" s="71">
        <f t="shared" si="18"/>
        <v>0</v>
      </c>
      <c r="AA82" s="71">
        <f t="shared" si="18"/>
        <v>0</v>
      </c>
      <c r="AB82" s="71">
        <f t="shared" si="18"/>
        <v>0</v>
      </c>
      <c r="AC82" s="71">
        <f t="shared" si="18"/>
        <v>0</v>
      </c>
      <c r="AD82" s="71">
        <f t="shared" si="18"/>
        <v>0</v>
      </c>
      <c r="AE82" s="71">
        <f t="shared" si="18"/>
        <v>0</v>
      </c>
      <c r="AF82" s="71">
        <f t="shared" si="18"/>
        <v>0</v>
      </c>
      <c r="AG82" s="136"/>
      <c r="AH82" s="54">
        <f t="shared" si="15"/>
        <v>0</v>
      </c>
      <c r="AI82" s="55">
        <f t="shared" si="17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>IF(B65&lt;0,B65*-1,0)</f>
        <v>0</v>
      </c>
      <c r="C83" s="71">
        <f t="shared" ref="C83:AF83" si="19">IF(C65&lt;0,C65*-1,0)</f>
        <v>0</v>
      </c>
      <c r="D83" s="71">
        <f t="shared" si="19"/>
        <v>0</v>
      </c>
      <c r="E83" s="71">
        <f t="shared" si="19"/>
        <v>0</v>
      </c>
      <c r="F83" s="71">
        <f t="shared" si="19"/>
        <v>0</v>
      </c>
      <c r="G83" s="71">
        <f t="shared" si="19"/>
        <v>0</v>
      </c>
      <c r="H83" s="71">
        <f t="shared" si="19"/>
        <v>0</v>
      </c>
      <c r="I83" s="71">
        <f>IF(I65&lt;0,I65*-1,0)</f>
        <v>0</v>
      </c>
      <c r="J83" s="71">
        <f>IF(J65&lt;0,J65*-1,0)</f>
        <v>0</v>
      </c>
      <c r="K83" s="71">
        <f t="shared" si="19"/>
        <v>0</v>
      </c>
      <c r="L83" s="71">
        <f t="shared" si="19"/>
        <v>0</v>
      </c>
      <c r="M83" s="71">
        <f t="shared" si="19"/>
        <v>0</v>
      </c>
      <c r="N83" s="71">
        <f t="shared" si="19"/>
        <v>0</v>
      </c>
      <c r="O83" s="71">
        <f t="shared" si="19"/>
        <v>0</v>
      </c>
      <c r="P83" s="71">
        <f t="shared" si="19"/>
        <v>0</v>
      </c>
      <c r="Q83" s="71">
        <f t="shared" si="19"/>
        <v>0</v>
      </c>
      <c r="R83" s="71">
        <f t="shared" si="19"/>
        <v>0</v>
      </c>
      <c r="S83" s="71">
        <f t="shared" si="19"/>
        <v>0</v>
      </c>
      <c r="T83" s="71">
        <f t="shared" si="19"/>
        <v>0</v>
      </c>
      <c r="U83" s="71">
        <f t="shared" si="19"/>
        <v>0</v>
      </c>
      <c r="V83" s="71">
        <f t="shared" si="19"/>
        <v>0</v>
      </c>
      <c r="W83" s="71">
        <f t="shared" si="19"/>
        <v>0</v>
      </c>
      <c r="X83" s="71">
        <f t="shared" si="19"/>
        <v>0</v>
      </c>
      <c r="Y83" s="71">
        <f t="shared" si="19"/>
        <v>0</v>
      </c>
      <c r="Z83" s="71">
        <f t="shared" si="19"/>
        <v>0</v>
      </c>
      <c r="AA83" s="71">
        <f t="shared" si="19"/>
        <v>0</v>
      </c>
      <c r="AB83" s="71">
        <f t="shared" si="19"/>
        <v>0</v>
      </c>
      <c r="AC83" s="71">
        <f t="shared" si="19"/>
        <v>0</v>
      </c>
      <c r="AD83" s="71">
        <f t="shared" si="19"/>
        <v>0</v>
      </c>
      <c r="AE83" s="71">
        <f t="shared" si="19"/>
        <v>0</v>
      </c>
      <c r="AF83" s="71">
        <f t="shared" si="19"/>
        <v>0</v>
      </c>
      <c r="AG83" s="144"/>
      <c r="AH83" s="54">
        <f t="shared" si="15"/>
        <v>0</v>
      </c>
      <c r="AI83" s="55">
        <f t="shared" si="17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>IF(B63&lt;0,B63*-1,0)</f>
        <v>366</v>
      </c>
      <c r="C84" s="71">
        <f t="shared" ref="C84:AF84" si="20">IF(C63&lt;0,C63*-1,0)</f>
        <v>395</v>
      </c>
      <c r="D84" s="71">
        <f t="shared" si="20"/>
        <v>393</v>
      </c>
      <c r="E84" s="71">
        <f t="shared" si="20"/>
        <v>400</v>
      </c>
      <c r="F84" s="71">
        <f t="shared" si="20"/>
        <v>388</v>
      </c>
      <c r="G84" s="71">
        <f t="shared" si="20"/>
        <v>400</v>
      </c>
      <c r="H84" s="71">
        <f t="shared" si="20"/>
        <v>390</v>
      </c>
      <c r="I84" s="71">
        <f t="shared" si="20"/>
        <v>392</v>
      </c>
      <c r="J84" s="71">
        <f t="shared" si="20"/>
        <v>386</v>
      </c>
      <c r="K84" s="71">
        <f t="shared" si="20"/>
        <v>382</v>
      </c>
      <c r="L84" s="71">
        <f t="shared" si="20"/>
        <v>380</v>
      </c>
      <c r="M84" s="71">
        <f t="shared" si="20"/>
        <v>389</v>
      </c>
      <c r="N84" s="71">
        <f t="shared" si="20"/>
        <v>382</v>
      </c>
      <c r="O84" s="71">
        <f t="shared" si="20"/>
        <v>296</v>
      </c>
      <c r="P84" s="71">
        <f t="shared" si="20"/>
        <v>296</v>
      </c>
      <c r="Q84" s="71">
        <f t="shared" si="20"/>
        <v>282</v>
      </c>
      <c r="R84" s="71">
        <f t="shared" si="20"/>
        <v>297</v>
      </c>
      <c r="S84" s="71">
        <f t="shared" si="20"/>
        <v>305</v>
      </c>
      <c r="T84" s="71">
        <f t="shared" si="20"/>
        <v>256</v>
      </c>
      <c r="U84" s="71">
        <f t="shared" si="20"/>
        <v>282.60000000000002</v>
      </c>
      <c r="V84" s="71">
        <f t="shared" si="20"/>
        <v>325</v>
      </c>
      <c r="W84" s="71">
        <f t="shared" si="20"/>
        <v>367</v>
      </c>
      <c r="X84" s="71">
        <f t="shared" si="20"/>
        <v>350</v>
      </c>
      <c r="Y84" s="71">
        <f t="shared" si="20"/>
        <v>330</v>
      </c>
      <c r="Z84" s="71">
        <f t="shared" si="20"/>
        <v>355.3</v>
      </c>
      <c r="AA84" s="71">
        <f t="shared" si="20"/>
        <v>283</v>
      </c>
      <c r="AB84" s="71">
        <f t="shared" si="20"/>
        <v>240.3</v>
      </c>
      <c r="AC84" s="71">
        <f t="shared" si="20"/>
        <v>265</v>
      </c>
      <c r="AD84" s="71">
        <f t="shared" si="20"/>
        <v>294</v>
      </c>
      <c r="AE84" s="71">
        <f t="shared" si="20"/>
        <v>305</v>
      </c>
      <c r="AF84" s="71">
        <f t="shared" si="20"/>
        <v>330</v>
      </c>
      <c r="AG84" s="144"/>
      <c r="AH84" s="54">
        <f t="shared" si="15"/>
        <v>400</v>
      </c>
      <c r="AI84" s="55">
        <f t="shared" si="17"/>
        <v>240.3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>IF(B61&lt;0,B61*-1,0)</f>
        <v>0</v>
      </c>
      <c r="C85" s="71">
        <f t="shared" ref="C85:AF85" si="21">IF(C61&lt;0,C61*-1,0)</f>
        <v>0</v>
      </c>
      <c r="D85" s="71">
        <f t="shared" si="21"/>
        <v>0</v>
      </c>
      <c r="E85" s="71">
        <f t="shared" si="21"/>
        <v>0</v>
      </c>
      <c r="F85" s="71">
        <f t="shared" si="21"/>
        <v>0</v>
      </c>
      <c r="G85" s="71">
        <f t="shared" si="21"/>
        <v>0</v>
      </c>
      <c r="H85" s="71">
        <f t="shared" si="21"/>
        <v>0</v>
      </c>
      <c r="I85" s="71">
        <f t="shared" si="21"/>
        <v>0</v>
      </c>
      <c r="J85" s="71">
        <f t="shared" si="21"/>
        <v>0</v>
      </c>
      <c r="K85" s="71">
        <f t="shared" si="21"/>
        <v>0</v>
      </c>
      <c r="L85" s="71">
        <f t="shared" si="21"/>
        <v>0</v>
      </c>
      <c r="M85" s="71">
        <f t="shared" si="21"/>
        <v>0</v>
      </c>
      <c r="N85" s="71">
        <f t="shared" si="21"/>
        <v>0</v>
      </c>
      <c r="O85" s="71">
        <f t="shared" si="21"/>
        <v>0</v>
      </c>
      <c r="P85" s="71">
        <f t="shared" si="21"/>
        <v>0</v>
      </c>
      <c r="Q85" s="71">
        <f t="shared" si="21"/>
        <v>0</v>
      </c>
      <c r="R85" s="71">
        <f t="shared" si="21"/>
        <v>0</v>
      </c>
      <c r="S85" s="71">
        <f t="shared" si="21"/>
        <v>0</v>
      </c>
      <c r="T85" s="71">
        <f t="shared" si="21"/>
        <v>0</v>
      </c>
      <c r="U85" s="71">
        <f t="shared" si="21"/>
        <v>0</v>
      </c>
      <c r="V85" s="71">
        <f t="shared" si="21"/>
        <v>0</v>
      </c>
      <c r="W85" s="71">
        <f t="shared" si="21"/>
        <v>0</v>
      </c>
      <c r="X85" s="71">
        <f t="shared" si="21"/>
        <v>0</v>
      </c>
      <c r="Y85" s="71">
        <f t="shared" si="21"/>
        <v>0</v>
      </c>
      <c r="Z85" s="71">
        <f t="shared" si="21"/>
        <v>0</v>
      </c>
      <c r="AA85" s="71">
        <f t="shared" si="21"/>
        <v>0</v>
      </c>
      <c r="AB85" s="71">
        <f t="shared" si="21"/>
        <v>0</v>
      </c>
      <c r="AC85" s="71">
        <f t="shared" si="21"/>
        <v>0</v>
      </c>
      <c r="AD85" s="71">
        <f t="shared" si="21"/>
        <v>0</v>
      </c>
      <c r="AE85" s="71">
        <f t="shared" si="21"/>
        <v>0</v>
      </c>
      <c r="AF85" s="71">
        <f t="shared" si="21"/>
        <v>0</v>
      </c>
      <c r="AG85" s="144"/>
      <c r="AH85" s="54">
        <f t="shared" si="15"/>
        <v>0</v>
      </c>
      <c r="AI85" s="55">
        <f t="shared" si="17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/>
      <c r="AD86" s="74"/>
      <c r="AE86" s="74"/>
      <c r="AF86" s="74"/>
      <c r="AG86" s="141"/>
      <c r="AH86" s="54">
        <f t="shared" si="15"/>
        <v>0</v>
      </c>
      <c r="AI86" s="55">
        <f t="shared" si="17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>SUM(B81:B86)</f>
        <v>366</v>
      </c>
      <c r="C87" s="66">
        <f t="shared" ref="C87:AF87" si="22">SUM(C81:C86)</f>
        <v>395</v>
      </c>
      <c r="D87" s="66">
        <f t="shared" si="22"/>
        <v>393</v>
      </c>
      <c r="E87" s="66">
        <f t="shared" si="22"/>
        <v>400</v>
      </c>
      <c r="F87" s="66">
        <f t="shared" si="22"/>
        <v>388</v>
      </c>
      <c r="G87" s="66">
        <f t="shared" si="22"/>
        <v>400</v>
      </c>
      <c r="H87" s="66">
        <f t="shared" si="22"/>
        <v>390</v>
      </c>
      <c r="I87" s="66">
        <f t="shared" si="22"/>
        <v>392</v>
      </c>
      <c r="J87" s="66">
        <f t="shared" si="22"/>
        <v>386</v>
      </c>
      <c r="K87" s="66">
        <f t="shared" si="22"/>
        <v>382</v>
      </c>
      <c r="L87" s="66">
        <f t="shared" si="22"/>
        <v>380</v>
      </c>
      <c r="M87" s="66">
        <f t="shared" si="22"/>
        <v>389</v>
      </c>
      <c r="N87" s="66">
        <f t="shared" si="22"/>
        <v>382</v>
      </c>
      <c r="O87" s="66">
        <f t="shared" si="22"/>
        <v>296</v>
      </c>
      <c r="P87" s="66">
        <f t="shared" si="22"/>
        <v>296</v>
      </c>
      <c r="Q87" s="66">
        <f t="shared" si="22"/>
        <v>282</v>
      </c>
      <c r="R87" s="66">
        <f t="shared" si="22"/>
        <v>297</v>
      </c>
      <c r="S87" s="66">
        <f t="shared" si="22"/>
        <v>305</v>
      </c>
      <c r="T87" s="66">
        <f t="shared" si="22"/>
        <v>256</v>
      </c>
      <c r="U87" s="66">
        <f t="shared" si="22"/>
        <v>282.60000000000002</v>
      </c>
      <c r="V87" s="66">
        <f t="shared" si="22"/>
        <v>325</v>
      </c>
      <c r="W87" s="66">
        <f t="shared" si="22"/>
        <v>367</v>
      </c>
      <c r="X87" s="66">
        <f t="shared" si="22"/>
        <v>350</v>
      </c>
      <c r="Y87" s="66">
        <f t="shared" si="22"/>
        <v>330</v>
      </c>
      <c r="Z87" s="66">
        <f t="shared" si="22"/>
        <v>355.3</v>
      </c>
      <c r="AA87" s="66">
        <f t="shared" si="22"/>
        <v>283</v>
      </c>
      <c r="AB87" s="66">
        <f t="shared" si="22"/>
        <v>240.3</v>
      </c>
      <c r="AC87" s="66">
        <f t="shared" si="22"/>
        <v>265</v>
      </c>
      <c r="AD87" s="66">
        <f t="shared" si="22"/>
        <v>294</v>
      </c>
      <c r="AE87" s="66">
        <f t="shared" si="22"/>
        <v>305</v>
      </c>
      <c r="AF87" s="66">
        <f t="shared" si="22"/>
        <v>330</v>
      </c>
      <c r="AG87" s="138"/>
      <c r="AH87" s="54">
        <f t="shared" si="15"/>
        <v>400</v>
      </c>
      <c r="AI87" s="55">
        <f t="shared" si="17"/>
        <v>240.3</v>
      </c>
      <c r="AK87" s="56"/>
    </row>
    <row r="88" spans="1:88" s="1" customFormat="1" ht="15.75" thickBot="1" x14ac:dyDescent="0.3">
      <c r="A88" s="65" t="s">
        <v>64</v>
      </c>
      <c r="B88" s="66">
        <f>B72-B87</f>
        <v>-333</v>
      </c>
      <c r="C88" s="66">
        <f t="shared" ref="C88:AF88" si="23">C72-C87</f>
        <v>-372</v>
      </c>
      <c r="D88" s="66">
        <f t="shared" si="23"/>
        <v>-376</v>
      </c>
      <c r="E88" s="66">
        <f t="shared" si="23"/>
        <v>-384</v>
      </c>
      <c r="F88" s="66">
        <f t="shared" si="23"/>
        <v>-374</v>
      </c>
      <c r="G88" s="66">
        <f t="shared" si="23"/>
        <v>-387</v>
      </c>
      <c r="H88" s="66">
        <f t="shared" si="23"/>
        <v>-380</v>
      </c>
      <c r="I88" s="66">
        <f t="shared" si="23"/>
        <v>-383</v>
      </c>
      <c r="J88" s="66">
        <f t="shared" si="23"/>
        <v>-381</v>
      </c>
      <c r="K88" s="66">
        <f t="shared" si="23"/>
        <v>-369</v>
      </c>
      <c r="L88" s="66">
        <f t="shared" si="23"/>
        <v>-373</v>
      </c>
      <c r="M88" s="66">
        <f t="shared" si="23"/>
        <v>-361.5</v>
      </c>
      <c r="N88" s="66">
        <f t="shared" si="23"/>
        <v>-337.3</v>
      </c>
      <c r="O88" s="66">
        <f t="shared" si="23"/>
        <v>-242.6</v>
      </c>
      <c r="P88" s="66">
        <f t="shared" si="23"/>
        <v>-242.6</v>
      </c>
      <c r="Q88" s="66">
        <f t="shared" si="23"/>
        <v>-228.6</v>
      </c>
      <c r="R88" s="66">
        <f t="shared" si="23"/>
        <v>-243.6</v>
      </c>
      <c r="S88" s="66">
        <f t="shared" si="23"/>
        <v>-276.89999999999998</v>
      </c>
      <c r="T88" s="66">
        <f t="shared" si="23"/>
        <v>-213.8</v>
      </c>
      <c r="U88" s="66">
        <f t="shared" si="23"/>
        <v>-252.10000000000002</v>
      </c>
      <c r="V88" s="66">
        <f t="shared" si="23"/>
        <v>-272.5</v>
      </c>
      <c r="W88" s="66">
        <f t="shared" si="23"/>
        <v>-316.8</v>
      </c>
      <c r="X88" s="66">
        <f t="shared" si="23"/>
        <v>-299.8</v>
      </c>
      <c r="Y88" s="66">
        <f t="shared" si="23"/>
        <v>-269.60000000000002</v>
      </c>
      <c r="Z88" s="66">
        <f t="shared" si="23"/>
        <v>-323</v>
      </c>
      <c r="AA88" s="66">
        <f t="shared" si="23"/>
        <v>-243</v>
      </c>
      <c r="AB88" s="66">
        <f t="shared" si="23"/>
        <v>-176.8</v>
      </c>
      <c r="AC88" s="66">
        <f t="shared" si="23"/>
        <v>-199.1</v>
      </c>
      <c r="AD88" s="66">
        <f t="shared" si="23"/>
        <v>-238</v>
      </c>
      <c r="AE88" s="66">
        <f t="shared" si="23"/>
        <v>-243</v>
      </c>
      <c r="AF88" s="66">
        <f t="shared" si="23"/>
        <v>-297</v>
      </c>
      <c r="AG88" s="138"/>
      <c r="AH88" s="54">
        <f t="shared" si="15"/>
        <v>-176.8</v>
      </c>
      <c r="AI88" s="55">
        <f t="shared" si="17"/>
        <v>-387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50.04</v>
      </c>
      <c r="C89" s="80">
        <v>50.03</v>
      </c>
      <c r="D89" s="80">
        <v>50</v>
      </c>
      <c r="E89" s="80">
        <v>49.951000000000001</v>
      </c>
      <c r="F89" s="80">
        <v>50.04</v>
      </c>
      <c r="G89" s="80">
        <v>50.04</v>
      </c>
      <c r="H89" s="80">
        <v>50.027000000000001</v>
      </c>
      <c r="I89" s="80">
        <v>50.015999999999998</v>
      </c>
      <c r="J89" s="80">
        <v>50.076999999999998</v>
      </c>
      <c r="K89" s="80">
        <v>50.058</v>
      </c>
      <c r="L89" s="80">
        <v>50.058</v>
      </c>
      <c r="M89" s="80">
        <v>50.030999999999999</v>
      </c>
      <c r="N89" s="80">
        <v>50.08</v>
      </c>
      <c r="O89" s="80">
        <v>50.2</v>
      </c>
      <c r="P89" s="80">
        <v>50.2</v>
      </c>
      <c r="Q89" s="80">
        <v>50.2</v>
      </c>
      <c r="R89" s="80">
        <v>50.2</v>
      </c>
      <c r="S89" s="80">
        <v>50.064</v>
      </c>
      <c r="T89" s="80">
        <v>50.128999999999998</v>
      </c>
      <c r="U89" s="80">
        <v>50.015000000000001</v>
      </c>
      <c r="V89" s="80">
        <v>50.017000000000003</v>
      </c>
      <c r="W89" s="80">
        <v>50.002000000000002</v>
      </c>
      <c r="X89" s="80">
        <v>50.002000000000002</v>
      </c>
      <c r="Y89" s="80">
        <v>50.000999999999998</v>
      </c>
      <c r="Z89" s="80">
        <v>50.01</v>
      </c>
      <c r="AA89" s="80">
        <v>50.006999999999998</v>
      </c>
      <c r="AB89" s="80">
        <v>49.871000000000002</v>
      </c>
      <c r="AC89" s="80">
        <v>49.98</v>
      </c>
      <c r="AD89" s="80">
        <v>49.98</v>
      </c>
      <c r="AE89" s="80">
        <v>50.01</v>
      </c>
      <c r="AF89" s="80">
        <v>50.03</v>
      </c>
      <c r="AG89" s="145"/>
      <c r="AH89" s="54">
        <f t="shared" si="15"/>
        <v>50.2</v>
      </c>
      <c r="AI89" s="55">
        <f t="shared" si="17"/>
        <v>49.871000000000002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123</v>
      </c>
      <c r="C90" s="48">
        <v>125</v>
      </c>
      <c r="D90" s="48">
        <v>127</v>
      </c>
      <c r="E90" s="48">
        <v>125</v>
      </c>
      <c r="F90" s="48">
        <v>126</v>
      </c>
      <c r="G90" s="48">
        <v>126</v>
      </c>
      <c r="H90" s="48">
        <v>126</v>
      </c>
      <c r="I90" s="48">
        <v>126</v>
      </c>
      <c r="J90" s="48">
        <v>125</v>
      </c>
      <c r="K90" s="48">
        <v>123</v>
      </c>
      <c r="L90" s="48">
        <v>123</v>
      </c>
      <c r="M90" s="48">
        <v>123.5</v>
      </c>
      <c r="N90" s="48">
        <v>122.6</v>
      </c>
      <c r="O90" s="48">
        <v>122.4</v>
      </c>
      <c r="P90" s="48">
        <v>122.4</v>
      </c>
      <c r="Q90" s="48">
        <v>122.4</v>
      </c>
      <c r="R90" s="48">
        <v>122.4</v>
      </c>
      <c r="S90" s="48">
        <v>121.5</v>
      </c>
      <c r="T90" s="48">
        <v>122.5</v>
      </c>
      <c r="U90" s="48">
        <v>124.1</v>
      </c>
      <c r="V90" s="48">
        <v>124.7</v>
      </c>
      <c r="W90" s="48">
        <v>126.1</v>
      </c>
      <c r="X90" s="48">
        <v>126.1</v>
      </c>
      <c r="Y90" s="48">
        <v>125.8</v>
      </c>
      <c r="Z90" s="48">
        <v>124.6</v>
      </c>
      <c r="AA90" s="48">
        <v>125.7</v>
      </c>
      <c r="AB90" s="48">
        <v>123.4</v>
      </c>
      <c r="AC90" s="48">
        <v>123.6</v>
      </c>
      <c r="AD90" s="48">
        <v>123</v>
      </c>
      <c r="AE90" s="48">
        <v>124</v>
      </c>
      <c r="AF90" s="48">
        <v>124</v>
      </c>
      <c r="AG90" s="146"/>
      <c r="AH90" s="54">
        <f t="shared" ref="AH90:AH96" si="24">MAX(B90:AF90)</f>
        <v>127</v>
      </c>
      <c r="AI90" s="55">
        <f t="shared" ref="AI90:AI96" si="25">MIN(B90:AF90)</f>
        <v>121.5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129</v>
      </c>
      <c r="C91" s="48">
        <v>130</v>
      </c>
      <c r="D91" s="48">
        <v>131</v>
      </c>
      <c r="E91" s="48">
        <v>130</v>
      </c>
      <c r="F91" s="48">
        <v>131</v>
      </c>
      <c r="G91" s="48">
        <v>131</v>
      </c>
      <c r="H91" s="48">
        <v>131</v>
      </c>
      <c r="I91" s="48">
        <v>131</v>
      </c>
      <c r="J91" s="48">
        <v>128</v>
      </c>
      <c r="K91" s="48">
        <v>127</v>
      </c>
      <c r="L91" s="48">
        <v>127</v>
      </c>
      <c r="M91" s="48">
        <v>126.7</v>
      </c>
      <c r="N91" s="48">
        <v>126.3</v>
      </c>
      <c r="O91" s="48">
        <v>122.4</v>
      </c>
      <c r="P91" s="48">
        <v>122.4</v>
      </c>
      <c r="Q91" s="48">
        <v>122.4</v>
      </c>
      <c r="R91" s="48">
        <v>122.4</v>
      </c>
      <c r="S91" s="48">
        <v>125.5</v>
      </c>
      <c r="T91" s="48">
        <v>125.8</v>
      </c>
      <c r="U91" s="48">
        <v>127</v>
      </c>
      <c r="V91" s="48">
        <v>128</v>
      </c>
      <c r="W91" s="48">
        <v>129</v>
      </c>
      <c r="X91" s="48">
        <v>129</v>
      </c>
      <c r="Y91" s="48">
        <v>128.9</v>
      </c>
      <c r="Z91" s="48">
        <v>128.4</v>
      </c>
      <c r="AA91" s="48">
        <v>128.69999999999999</v>
      </c>
      <c r="AB91" s="48">
        <v>127.7</v>
      </c>
      <c r="AC91" s="48">
        <v>127.8</v>
      </c>
      <c r="AD91" s="48">
        <v>126.9</v>
      </c>
      <c r="AE91" s="48">
        <v>128.19999999999999</v>
      </c>
      <c r="AF91" s="48">
        <v>128.19999999999999</v>
      </c>
      <c r="AG91" s="146"/>
      <c r="AH91" s="54">
        <f t="shared" si="24"/>
        <v>131</v>
      </c>
      <c r="AI91" s="55">
        <f t="shared" si="25"/>
        <v>122.4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127</v>
      </c>
      <c r="C92" s="48">
        <v>130</v>
      </c>
      <c r="D92" s="48">
        <v>131</v>
      </c>
      <c r="E92" s="48">
        <v>130</v>
      </c>
      <c r="F92" s="48">
        <v>130</v>
      </c>
      <c r="G92" s="48">
        <v>130</v>
      </c>
      <c r="H92" s="48">
        <v>130</v>
      </c>
      <c r="I92" s="48">
        <v>130</v>
      </c>
      <c r="J92" s="48">
        <v>129</v>
      </c>
      <c r="K92" s="48">
        <v>129</v>
      </c>
      <c r="L92" s="48">
        <v>129</v>
      </c>
      <c r="M92" s="48">
        <v>128.5</v>
      </c>
      <c r="N92" s="48">
        <v>128.69999999999999</v>
      </c>
      <c r="O92" s="48">
        <v>131.69999999999999</v>
      </c>
      <c r="P92" s="48">
        <v>131.69999999999999</v>
      </c>
      <c r="Q92" s="48">
        <v>131.69999999999999</v>
      </c>
      <c r="R92" s="48">
        <v>131.69999999999999</v>
      </c>
      <c r="S92" s="48">
        <v>128.5</v>
      </c>
      <c r="T92" s="48">
        <v>129.80000000000001</v>
      </c>
      <c r="U92" s="48">
        <v>129.4</v>
      </c>
      <c r="V92" s="48">
        <v>130.5</v>
      </c>
      <c r="W92" s="48">
        <v>131.69999999999999</v>
      </c>
      <c r="X92" s="48">
        <v>131.69999999999999</v>
      </c>
      <c r="Y92" s="48">
        <v>131.30000000000001</v>
      </c>
      <c r="Z92" s="48">
        <v>131.30000000000001</v>
      </c>
      <c r="AA92" s="48">
        <v>128.19999999999999</v>
      </c>
      <c r="AB92" s="48">
        <v>129.9</v>
      </c>
      <c r="AC92" s="48">
        <v>128.69999999999999</v>
      </c>
      <c r="AD92" s="48">
        <v>128</v>
      </c>
      <c r="AE92" s="48">
        <v>130</v>
      </c>
      <c r="AF92" s="48">
        <v>130</v>
      </c>
      <c r="AG92" s="146"/>
      <c r="AH92" s="54">
        <f t="shared" si="24"/>
        <v>131.69999999999999</v>
      </c>
      <c r="AI92" s="55">
        <f t="shared" si="25"/>
        <v>127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>
        <v>132</v>
      </c>
      <c r="C93" s="48">
        <v>135</v>
      </c>
      <c r="D93" s="48">
        <v>136</v>
      </c>
      <c r="E93" s="48">
        <v>136</v>
      </c>
      <c r="F93" s="48">
        <v>135</v>
      </c>
      <c r="G93" s="48">
        <v>135</v>
      </c>
      <c r="H93" s="48">
        <v>135</v>
      </c>
      <c r="I93" s="48">
        <v>135</v>
      </c>
      <c r="J93" s="48">
        <v>132</v>
      </c>
      <c r="K93" s="48">
        <v>133</v>
      </c>
      <c r="L93" s="48">
        <v>133</v>
      </c>
      <c r="M93" s="48">
        <v>133</v>
      </c>
      <c r="N93" s="48">
        <v>131.9</v>
      </c>
      <c r="O93" s="48">
        <v>131.9</v>
      </c>
      <c r="P93" s="48">
        <v>131.9</v>
      </c>
      <c r="Q93" s="48">
        <v>131.9</v>
      </c>
      <c r="R93" s="48">
        <v>131.9</v>
      </c>
      <c r="S93" s="48">
        <v>132.6</v>
      </c>
      <c r="T93" s="48">
        <v>133.80000000000001</v>
      </c>
      <c r="U93" s="48">
        <v>132.9</v>
      </c>
      <c r="V93" s="48">
        <v>134.30000000000001</v>
      </c>
      <c r="W93" s="48">
        <v>135.80000000000001</v>
      </c>
      <c r="X93" s="48">
        <v>135.80000000000001</v>
      </c>
      <c r="Y93" s="48">
        <v>133.9</v>
      </c>
      <c r="Z93" s="48">
        <v>133.6</v>
      </c>
      <c r="AA93" s="48">
        <v>130.69999999999999</v>
      </c>
      <c r="AB93" s="48">
        <v>134.9</v>
      </c>
      <c r="AC93" s="48">
        <v>133.80000000000001</v>
      </c>
      <c r="AD93" s="48">
        <v>133.6</v>
      </c>
      <c r="AE93" s="48">
        <v>135.80000000000001</v>
      </c>
      <c r="AF93" s="48">
        <v>135.80000000000001</v>
      </c>
      <c r="AG93" s="146"/>
      <c r="AH93" s="54">
        <f t="shared" si="24"/>
        <v>136</v>
      </c>
      <c r="AI93" s="55">
        <f t="shared" si="25"/>
        <v>130.69999999999999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131</v>
      </c>
      <c r="C94" s="82">
        <v>135</v>
      </c>
      <c r="D94" s="82">
        <v>134</v>
      </c>
      <c r="E94" s="82">
        <v>131</v>
      </c>
      <c r="F94" s="82">
        <v>132</v>
      </c>
      <c r="G94" s="82">
        <v>132</v>
      </c>
      <c r="H94" s="82">
        <v>132</v>
      </c>
      <c r="I94" s="82">
        <v>132</v>
      </c>
      <c r="J94" s="82">
        <v>131</v>
      </c>
      <c r="K94" s="82">
        <v>132</v>
      </c>
      <c r="L94" s="82">
        <v>132</v>
      </c>
      <c r="M94" s="82">
        <v>133.6</v>
      </c>
      <c r="N94" s="82">
        <v>131.5</v>
      </c>
      <c r="O94" s="82">
        <v>131.5</v>
      </c>
      <c r="P94" s="82">
        <v>131.5</v>
      </c>
      <c r="Q94" s="82">
        <v>131.5</v>
      </c>
      <c r="R94" s="82">
        <v>131.5</v>
      </c>
      <c r="S94" s="82">
        <v>134.30000000000001</v>
      </c>
      <c r="T94" s="82">
        <v>132.69999999999999</v>
      </c>
      <c r="U94" s="82">
        <v>131.69999999999999</v>
      </c>
      <c r="V94" s="82">
        <v>133.6</v>
      </c>
      <c r="W94" s="82">
        <v>134.19999999999999</v>
      </c>
      <c r="X94" s="82">
        <v>134.19999999999999</v>
      </c>
      <c r="Y94" s="82">
        <v>132.9</v>
      </c>
      <c r="Z94" s="82">
        <v>132.5</v>
      </c>
      <c r="AA94" s="82">
        <v>130.6</v>
      </c>
      <c r="AB94" s="82">
        <v>131.4</v>
      </c>
      <c r="AC94" s="82">
        <v>130.9</v>
      </c>
      <c r="AD94" s="82">
        <v>132</v>
      </c>
      <c r="AE94" s="82">
        <v>132.5</v>
      </c>
      <c r="AF94" s="82">
        <v>132.5</v>
      </c>
      <c r="AG94" s="147"/>
      <c r="AH94" s="54">
        <f t="shared" si="24"/>
        <v>135</v>
      </c>
      <c r="AI94" s="55">
        <f t="shared" si="25"/>
        <v>130.6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125</v>
      </c>
      <c r="C95" s="48">
        <v>122</v>
      </c>
      <c r="D95" s="48">
        <v>128</v>
      </c>
      <c r="E95" s="48">
        <v>121</v>
      </c>
      <c r="F95" s="48">
        <v>120</v>
      </c>
      <c r="G95" s="48">
        <v>120</v>
      </c>
      <c r="H95" s="48">
        <v>120</v>
      </c>
      <c r="I95" s="48">
        <v>120</v>
      </c>
      <c r="J95" s="48">
        <v>123</v>
      </c>
      <c r="K95" s="48">
        <v>123</v>
      </c>
      <c r="L95" s="48">
        <v>123</v>
      </c>
      <c r="M95" s="48">
        <v>129.5</v>
      </c>
      <c r="N95" s="48">
        <v>129.5</v>
      </c>
      <c r="O95" s="48">
        <v>129.5</v>
      </c>
      <c r="P95" s="48">
        <v>129.5</v>
      </c>
      <c r="Q95" s="48">
        <v>129.5</v>
      </c>
      <c r="R95" s="48">
        <v>129.5</v>
      </c>
      <c r="S95" s="48">
        <v>131.30000000000001</v>
      </c>
      <c r="T95" s="48">
        <v>128</v>
      </c>
      <c r="U95" s="48">
        <v>128.6</v>
      </c>
      <c r="V95" s="48">
        <v>135.19999999999999</v>
      </c>
      <c r="W95" s="48">
        <v>133</v>
      </c>
      <c r="X95" s="48">
        <v>133</v>
      </c>
      <c r="Y95" s="48">
        <v>131.80000000000001</v>
      </c>
      <c r="Z95" s="48">
        <v>131.4</v>
      </c>
      <c r="AA95" s="48">
        <v>126.1</v>
      </c>
      <c r="AB95" s="48">
        <v>126.5</v>
      </c>
      <c r="AC95" s="48">
        <v>129</v>
      </c>
      <c r="AD95" s="48">
        <v>132</v>
      </c>
      <c r="AE95" s="48">
        <v>130</v>
      </c>
      <c r="AF95" s="48">
        <v>130</v>
      </c>
      <c r="AG95" s="146"/>
      <c r="AH95" s="54">
        <f t="shared" si="24"/>
        <v>135.19999999999999</v>
      </c>
      <c r="AI95" s="55">
        <f t="shared" si="25"/>
        <v>120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65.2</v>
      </c>
      <c r="C96" s="83">
        <v>65.8</v>
      </c>
      <c r="D96" s="83">
        <v>66.599999999999994</v>
      </c>
      <c r="E96" s="83">
        <v>66</v>
      </c>
      <c r="F96" s="83">
        <v>66.400000000000006</v>
      </c>
      <c r="G96" s="83">
        <v>66.400000000000006</v>
      </c>
      <c r="H96" s="83">
        <v>66.400000000000006</v>
      </c>
      <c r="I96" s="83">
        <v>66.400000000000006</v>
      </c>
      <c r="J96" s="83">
        <v>65</v>
      </c>
      <c r="K96" s="83">
        <v>64.400000000000006</v>
      </c>
      <c r="L96" s="83">
        <v>64.400000000000006</v>
      </c>
      <c r="M96" s="83">
        <v>64.2</v>
      </c>
      <c r="N96" s="83">
        <v>39.799999999999997</v>
      </c>
      <c r="O96" s="83">
        <v>39.799999999999997</v>
      </c>
      <c r="P96" s="83">
        <v>39.799999999999997</v>
      </c>
      <c r="Q96" s="83">
        <v>39.799999999999997</v>
      </c>
      <c r="R96" s="83">
        <f>50.03</f>
        <v>50.03</v>
      </c>
      <c r="S96" s="83">
        <v>63.6</v>
      </c>
      <c r="T96" s="83">
        <v>63.7</v>
      </c>
      <c r="U96" s="83">
        <v>64</v>
      </c>
      <c r="V96" s="83">
        <v>64.8</v>
      </c>
      <c r="W96" s="83">
        <v>65.3</v>
      </c>
      <c r="X96" s="83">
        <v>65.3</v>
      </c>
      <c r="Y96" s="83">
        <v>65.5</v>
      </c>
      <c r="Z96" s="83">
        <v>65.2</v>
      </c>
      <c r="AA96" s="83">
        <v>65.2</v>
      </c>
      <c r="AB96" s="83">
        <v>64.7</v>
      </c>
      <c r="AC96" s="83">
        <v>64.7</v>
      </c>
      <c r="AD96" s="83">
        <v>64.7</v>
      </c>
      <c r="AE96" s="83">
        <v>64.7</v>
      </c>
      <c r="AF96" s="83">
        <v>64.7</v>
      </c>
      <c r="AG96" s="148"/>
      <c r="AH96" s="54">
        <f t="shared" si="24"/>
        <v>66.599999999999994</v>
      </c>
      <c r="AI96" s="55">
        <f t="shared" si="25"/>
        <v>39.799999999999997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15"/>
        <v>0</v>
      </c>
      <c r="AI97" s="55">
        <f t="shared" si="17"/>
        <v>0</v>
      </c>
    </row>
    <row r="98" spans="1:37" ht="15.75" thickBot="1" x14ac:dyDescent="0.3">
      <c r="A98" s="85" t="s">
        <v>73</v>
      </c>
      <c r="B98" s="86">
        <f t="shared" ref="B98:AF98" si="26">SUM(B15,B18,B21:B22,B46,B48:B49,B51,B53,B99:B102,B123,B129,B135,B144,B146,B158,B165,B168:B169,B176,B178,B180,B184:B186,B188:B190,B195,B201:B202,B204:B206,B214,B219)</f>
        <v>22.099999999999994</v>
      </c>
      <c r="C98" s="86">
        <f t="shared" si="26"/>
        <v>-8.459999999999976</v>
      </c>
      <c r="D98" s="86">
        <f t="shared" si="26"/>
        <v>-3.4599999999999773</v>
      </c>
      <c r="E98" s="86">
        <f t="shared" si="26"/>
        <v>8.7400000000000126</v>
      </c>
      <c r="F98" s="86">
        <f t="shared" si="26"/>
        <v>13.840000000000007</v>
      </c>
      <c r="G98" s="86">
        <f t="shared" si="26"/>
        <v>298.83999999999997</v>
      </c>
      <c r="H98" s="86">
        <f t="shared" si="26"/>
        <v>42.239999999999995</v>
      </c>
      <c r="I98" s="86">
        <f t="shared" si="26"/>
        <v>62.94</v>
      </c>
      <c r="J98" s="86">
        <f t="shared" si="26"/>
        <v>103.34</v>
      </c>
      <c r="K98" s="86">
        <f t="shared" si="26"/>
        <v>280.33999999999997</v>
      </c>
      <c r="L98" s="86">
        <f t="shared" si="26"/>
        <v>141.84</v>
      </c>
      <c r="M98" s="86">
        <f t="shared" si="26"/>
        <v>166.84000000000003</v>
      </c>
      <c r="N98" s="86">
        <f t="shared" si="26"/>
        <v>156.84000000000003</v>
      </c>
      <c r="O98" s="86">
        <f t="shared" si="26"/>
        <v>157.84000000000003</v>
      </c>
      <c r="P98" s="86">
        <f t="shared" si="26"/>
        <v>158.84000000000003</v>
      </c>
      <c r="Q98" s="86">
        <f t="shared" si="26"/>
        <v>158.90000000000003</v>
      </c>
      <c r="R98" s="86">
        <f t="shared" si="26"/>
        <v>159.90000000000003</v>
      </c>
      <c r="S98" s="86">
        <f t="shared" si="26"/>
        <v>177</v>
      </c>
      <c r="T98" s="86">
        <f t="shared" si="26"/>
        <v>245.20000000000002</v>
      </c>
      <c r="U98" s="86">
        <f t="shared" si="26"/>
        <v>200.60000000000002</v>
      </c>
      <c r="V98" s="86">
        <f t="shared" si="26"/>
        <v>176.2</v>
      </c>
      <c r="W98" s="86">
        <f t="shared" si="26"/>
        <v>164.2</v>
      </c>
      <c r="X98" s="86">
        <f t="shared" si="26"/>
        <v>162.39999999999998</v>
      </c>
      <c r="Y98" s="86">
        <f t="shared" si="26"/>
        <v>210.5</v>
      </c>
      <c r="Z98" s="86">
        <f t="shared" si="26"/>
        <v>207.60000000000002</v>
      </c>
      <c r="AA98" s="86">
        <f t="shared" si="26"/>
        <v>225.60000000000002</v>
      </c>
      <c r="AB98" s="86">
        <f t="shared" si="26"/>
        <v>200.1</v>
      </c>
      <c r="AC98" s="86">
        <f t="shared" si="26"/>
        <v>178.60000000000002</v>
      </c>
      <c r="AD98" s="86">
        <f t="shared" si="26"/>
        <v>131.9</v>
      </c>
      <c r="AE98" s="86">
        <f t="shared" si="26"/>
        <v>92.5</v>
      </c>
      <c r="AF98" s="86">
        <f t="shared" si="26"/>
        <v>50.900000000000006</v>
      </c>
      <c r="AG98" s="150"/>
      <c r="AH98" s="54">
        <f>MAX(C98:AF98)</f>
        <v>298.83999999999997</v>
      </c>
      <c r="AI98" s="55">
        <f>MIN(C98:AF98)</f>
        <v>-8.459999999999976</v>
      </c>
    </row>
    <row r="99" spans="1:37" x14ac:dyDescent="0.25">
      <c r="A99" s="170" t="s">
        <v>74</v>
      </c>
      <c r="B99" s="87">
        <v>10</v>
      </c>
      <c r="C99" s="87">
        <v>10</v>
      </c>
      <c r="D99" s="87">
        <v>7.5</v>
      </c>
      <c r="E99" s="87">
        <v>8.5</v>
      </c>
      <c r="F99" s="87">
        <v>5</v>
      </c>
      <c r="G99" s="87">
        <v>11</v>
      </c>
      <c r="H99" s="87">
        <v>8</v>
      </c>
      <c r="I99" s="87">
        <v>13</v>
      </c>
      <c r="J99" s="87">
        <v>15</v>
      </c>
      <c r="K99" s="87">
        <v>25</v>
      </c>
      <c r="L99" s="87">
        <v>31</v>
      </c>
      <c r="M99" s="87">
        <v>32</v>
      </c>
      <c r="N99" s="87">
        <v>30.9</v>
      </c>
      <c r="O99" s="87">
        <v>31.9</v>
      </c>
      <c r="P99" s="87">
        <v>32.9</v>
      </c>
      <c r="Q99" s="87">
        <v>33.9</v>
      </c>
      <c r="R99" s="87">
        <v>34.9</v>
      </c>
      <c r="S99" s="87">
        <v>29</v>
      </c>
      <c r="T99" s="87">
        <v>21.1</v>
      </c>
      <c r="U99" s="87">
        <v>25.8</v>
      </c>
      <c r="V99" s="87">
        <v>29.2</v>
      </c>
      <c r="W99" s="87">
        <v>34</v>
      </c>
      <c r="X99" s="87">
        <v>35</v>
      </c>
      <c r="Y99" s="87">
        <v>4</v>
      </c>
      <c r="Z99" s="87">
        <v>36</v>
      </c>
      <c r="AA99" s="87">
        <v>33.5</v>
      </c>
      <c r="AB99" s="87">
        <v>32.9</v>
      </c>
      <c r="AC99" s="87">
        <v>32.700000000000003</v>
      </c>
      <c r="AD99" s="87">
        <v>33</v>
      </c>
      <c r="AE99" s="87">
        <v>25</v>
      </c>
      <c r="AF99" s="87">
        <v>14</v>
      </c>
      <c r="AG99" s="151">
        <v>75</v>
      </c>
      <c r="AH99" s="54">
        <f t="shared" ref="AH99:AH105" si="27">IF(ABS(MAX(C99:AF99))&gt;ABS(MIN(C99:AF99)),MAX(C99:AF99),MIN(C99:AF99))</f>
        <v>36</v>
      </c>
      <c r="AI99" s="89">
        <f t="shared" ref="AI99:AI105" si="28">INDEX($C$9:$AF$9,1,MATCH(AH99,C99:AF99,0))</f>
        <v>0.79166666666666663</v>
      </c>
    </row>
    <row r="100" spans="1:37" x14ac:dyDescent="0.25">
      <c r="A100" s="163" t="s">
        <v>75</v>
      </c>
      <c r="B100" s="90">
        <v>-140</v>
      </c>
      <c r="C100" s="90">
        <v>-150</v>
      </c>
      <c r="D100" s="90">
        <v>-140</v>
      </c>
      <c r="E100" s="90">
        <v>-147</v>
      </c>
      <c r="F100" s="90">
        <v>-137</v>
      </c>
      <c r="G100" s="90">
        <f>--138</f>
        <v>138</v>
      </c>
      <c r="H100" s="90">
        <v>-111</v>
      </c>
      <c r="I100" s="90">
        <v>-98</v>
      </c>
      <c r="J100" s="90">
        <v>-76</v>
      </c>
      <c r="K100" s="90">
        <f>--86</f>
        <v>86</v>
      </c>
      <c r="L100" s="90">
        <v>-71</v>
      </c>
      <c r="M100" s="90">
        <v>-105</v>
      </c>
      <c r="N100" s="90">
        <f>-51.7-55.8</f>
        <v>-107.5</v>
      </c>
      <c r="O100" s="90">
        <f>-51.7-55.8</f>
        <v>-107.5</v>
      </c>
      <c r="P100" s="90">
        <f t="shared" ref="P100:R100" si="29">-51.7-55.8</f>
        <v>-107.5</v>
      </c>
      <c r="Q100" s="90">
        <f t="shared" si="29"/>
        <v>-107.5</v>
      </c>
      <c r="R100" s="90">
        <f t="shared" si="29"/>
        <v>-107.5</v>
      </c>
      <c r="S100" s="90">
        <f>-55-51.3</f>
        <v>-106.3</v>
      </c>
      <c r="T100" s="90">
        <v>-47.7</v>
      </c>
      <c r="U100" s="90">
        <f>-46-49.4</f>
        <v>-95.4</v>
      </c>
      <c r="V100" s="90">
        <f>-49-46</f>
        <v>-95</v>
      </c>
      <c r="W100" s="90">
        <f>-48.6-45.2</f>
        <v>-93.800000000000011</v>
      </c>
      <c r="X100" s="90">
        <f>-48.6-45.2</f>
        <v>-93.800000000000011</v>
      </c>
      <c r="Y100" s="90">
        <f>-38-50.6+5.6+15.3</f>
        <v>-67.7</v>
      </c>
      <c r="Z100" s="90">
        <f>-46.1-53.2+4+11</f>
        <v>-84.300000000000011</v>
      </c>
      <c r="AA100" s="90">
        <f>-26.8-34.1+2.9+7.9</f>
        <v>-50.100000000000009</v>
      </c>
      <c r="AB100" s="90">
        <v>-55</v>
      </c>
      <c r="AC100" s="90">
        <v>-63</v>
      </c>
      <c r="AD100" s="90">
        <v>-99</v>
      </c>
      <c r="AE100" s="90">
        <v>-126</v>
      </c>
      <c r="AF100" s="90">
        <v>-132</v>
      </c>
      <c r="AG100" s="151">
        <v>240</v>
      </c>
      <c r="AH100" s="54">
        <f t="shared" si="27"/>
        <v>-150</v>
      </c>
      <c r="AI100" s="89">
        <f t="shared" si="28"/>
        <v>4.1666666666666664E-2</v>
      </c>
    </row>
    <row r="101" spans="1:37" x14ac:dyDescent="0.25">
      <c r="A101" s="163" t="s">
        <v>76</v>
      </c>
      <c r="B101" s="90">
        <v>-3</v>
      </c>
      <c r="C101" s="90">
        <v>-4.5</v>
      </c>
      <c r="D101" s="90">
        <v>-7</v>
      </c>
      <c r="E101" s="90">
        <v>-8</v>
      </c>
      <c r="F101" s="90">
        <v>-7</v>
      </c>
      <c r="G101" s="90">
        <v>-3</v>
      </c>
      <c r="H101" s="90">
        <v>2.2999999999999998</v>
      </c>
      <c r="I101" s="90">
        <v>5</v>
      </c>
      <c r="J101" s="90">
        <v>11</v>
      </c>
      <c r="K101" s="90">
        <v>7.5</v>
      </c>
      <c r="L101" s="90">
        <v>10</v>
      </c>
      <c r="M101" s="90">
        <v>8.4</v>
      </c>
      <c r="N101" s="90">
        <v>6.9</v>
      </c>
      <c r="O101" s="90">
        <v>6.9</v>
      </c>
      <c r="P101" s="90">
        <v>6.9</v>
      </c>
      <c r="Q101" s="90">
        <v>6.9</v>
      </c>
      <c r="R101" s="90">
        <v>6.9</v>
      </c>
      <c r="S101" s="90">
        <v>1.2</v>
      </c>
      <c r="T101" s="90">
        <v>4</v>
      </c>
      <c r="U101" s="90">
        <v>8.3000000000000007</v>
      </c>
      <c r="V101" s="90">
        <v>9.6</v>
      </c>
      <c r="W101" s="90">
        <v>10.1</v>
      </c>
      <c r="X101" s="90">
        <v>10.1</v>
      </c>
      <c r="Y101" s="90">
        <v>37.4</v>
      </c>
      <c r="Z101" s="90">
        <v>20.8</v>
      </c>
      <c r="AA101" s="90">
        <v>22.4</v>
      </c>
      <c r="AB101" s="90">
        <v>14.1</v>
      </c>
      <c r="AC101" s="90">
        <v>14</v>
      </c>
      <c r="AD101" s="90">
        <v>7</v>
      </c>
      <c r="AE101" s="90">
        <v>2.6</v>
      </c>
      <c r="AF101" s="90">
        <v>-2</v>
      </c>
      <c r="AG101" s="151">
        <v>60</v>
      </c>
      <c r="AH101" s="54">
        <f t="shared" si="27"/>
        <v>37.4</v>
      </c>
      <c r="AI101" s="89">
        <f t="shared" si="28"/>
        <v>0.77083333333333337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0</v>
      </c>
      <c r="M102" s="91">
        <v>46.4</v>
      </c>
      <c r="N102" s="91">
        <v>41.5</v>
      </c>
      <c r="O102" s="91">
        <v>41.5</v>
      </c>
      <c r="P102" s="91">
        <v>41.5</v>
      </c>
      <c r="Q102" s="91">
        <v>41.5</v>
      </c>
      <c r="R102" s="91">
        <v>41.5</v>
      </c>
      <c r="S102" s="91">
        <v>54.2</v>
      </c>
      <c r="T102" s="91">
        <v>68.900000000000006</v>
      </c>
      <c r="U102" s="91">
        <v>63</v>
      </c>
      <c r="V102" s="91">
        <v>50.7</v>
      </c>
      <c r="W102" s="91">
        <v>40.200000000000003</v>
      </c>
      <c r="X102" s="91">
        <v>40.200000000000003</v>
      </c>
      <c r="Y102" s="91">
        <v>65.900000000000006</v>
      </c>
      <c r="Z102" s="91">
        <v>44.2</v>
      </c>
      <c r="AA102" s="91">
        <v>28.9</v>
      </c>
      <c r="AB102" s="91">
        <v>17.2</v>
      </c>
      <c r="AC102" s="91">
        <v>4</v>
      </c>
      <c r="AD102" s="91">
        <v>0</v>
      </c>
      <c r="AE102" s="91">
        <v>0</v>
      </c>
      <c r="AF102" s="91">
        <v>0</v>
      </c>
      <c r="AG102" s="152">
        <v>120</v>
      </c>
      <c r="AH102" s="54">
        <f t="shared" si="27"/>
        <v>68.900000000000006</v>
      </c>
      <c r="AI102" s="89">
        <f t="shared" si="28"/>
        <v>0.625</v>
      </c>
    </row>
    <row r="103" spans="1:37" x14ac:dyDescent="0.25">
      <c r="A103" s="164" t="s">
        <v>78</v>
      </c>
      <c r="B103" s="91">
        <v>42</v>
      </c>
      <c r="C103" s="91">
        <v>32</v>
      </c>
      <c r="D103" s="91">
        <v>33.5</v>
      </c>
      <c r="E103" s="91">
        <v>35</v>
      </c>
      <c r="F103" s="91">
        <v>40</v>
      </c>
      <c r="G103" s="91">
        <v>39</v>
      </c>
      <c r="H103" s="91">
        <v>56</v>
      </c>
      <c r="I103" s="91">
        <v>60</v>
      </c>
      <c r="J103" s="91">
        <v>63</v>
      </c>
      <c r="K103" s="91">
        <v>61</v>
      </c>
      <c r="L103" s="91">
        <v>68</v>
      </c>
      <c r="M103" s="91">
        <v>38.799999999999997</v>
      </c>
      <c r="N103" s="91">
        <v>50.6</v>
      </c>
      <c r="O103" s="91">
        <v>50.6</v>
      </c>
      <c r="P103" s="91">
        <v>50.6</v>
      </c>
      <c r="Q103" s="91">
        <v>50.6</v>
      </c>
      <c r="R103" s="91">
        <v>50.6</v>
      </c>
      <c r="S103" s="91">
        <v>63.6</v>
      </c>
      <c r="T103" s="91">
        <v>72.5</v>
      </c>
      <c r="U103" s="91">
        <v>59</v>
      </c>
      <c r="V103" s="91">
        <v>47.3</v>
      </c>
      <c r="W103" s="91">
        <v>34.6</v>
      </c>
      <c r="X103" s="91">
        <v>34.6</v>
      </c>
      <c r="Y103" s="91">
        <v>56.6</v>
      </c>
      <c r="Z103" s="91">
        <v>37.299999999999997</v>
      </c>
      <c r="AA103" s="91">
        <v>66</v>
      </c>
      <c r="AB103" s="91">
        <v>80.2</v>
      </c>
      <c r="AC103" s="91">
        <v>75</v>
      </c>
      <c r="AD103" s="91">
        <v>49</v>
      </c>
      <c r="AE103" s="91">
        <v>48</v>
      </c>
      <c r="AF103" s="91">
        <v>49</v>
      </c>
      <c r="AG103" s="152"/>
      <c r="AH103" s="54">
        <f t="shared" si="27"/>
        <v>80.2</v>
      </c>
      <c r="AI103" s="89">
        <f t="shared" si="28"/>
        <v>0.83333333333333337</v>
      </c>
    </row>
    <row r="104" spans="1:37" x14ac:dyDescent="0.25">
      <c r="A104" s="164" t="s">
        <v>105</v>
      </c>
      <c r="B104" s="91">
        <v>60</v>
      </c>
      <c r="C104" s="91">
        <v>48</v>
      </c>
      <c r="D104" s="91">
        <v>65</v>
      </c>
      <c r="E104" s="91">
        <v>55</v>
      </c>
      <c r="F104" s="91">
        <v>56</v>
      </c>
      <c r="G104" s="91">
        <v>0</v>
      </c>
      <c r="H104" s="91">
        <v>38</v>
      </c>
      <c r="I104" s="91">
        <v>23</v>
      </c>
      <c r="J104" s="91">
        <v>38</v>
      </c>
      <c r="K104" s="91">
        <v>1</v>
      </c>
      <c r="L104" s="91">
        <v>-6</v>
      </c>
      <c r="M104" s="91">
        <v>-23</v>
      </c>
      <c r="N104" s="91">
        <v>-24.3</v>
      </c>
      <c r="O104" s="91">
        <v>-24.3</v>
      </c>
      <c r="P104" s="91">
        <v>-24.3</v>
      </c>
      <c r="Q104" s="91">
        <v>-24.3</v>
      </c>
      <c r="R104" s="91">
        <v>-24.3</v>
      </c>
      <c r="S104" s="91">
        <v>2.8</v>
      </c>
      <c r="T104" s="91">
        <v>13.6</v>
      </c>
      <c r="U104" s="91">
        <v>34.299999999999997</v>
      </c>
      <c r="V104" s="91">
        <v>6.5</v>
      </c>
      <c r="W104" s="91">
        <v>-1.1000000000000001</v>
      </c>
      <c r="X104" s="91">
        <v>-1.1000000000000001</v>
      </c>
      <c r="Y104" s="91">
        <v>75.400000000000006</v>
      </c>
      <c r="Z104" s="91">
        <v>-3.6</v>
      </c>
      <c r="AA104" s="91">
        <v>15.2</v>
      </c>
      <c r="AB104" s="91">
        <v>15.8</v>
      </c>
      <c r="AC104" s="91">
        <v>15</v>
      </c>
      <c r="AD104" s="91">
        <v>2</v>
      </c>
      <c r="AE104" s="91">
        <v>33</v>
      </c>
      <c r="AF104" s="91">
        <v>46</v>
      </c>
      <c r="AG104" s="153"/>
      <c r="AH104" s="54">
        <f t="shared" si="27"/>
        <v>75.400000000000006</v>
      </c>
      <c r="AI104" s="89">
        <f t="shared" si="28"/>
        <v>0.77083333333333337</v>
      </c>
    </row>
    <row r="105" spans="1:37" ht="15.75" thickBot="1" x14ac:dyDescent="0.3">
      <c r="A105" s="171" t="s">
        <v>106</v>
      </c>
      <c r="B105" s="82">
        <v>107</v>
      </c>
      <c r="C105" s="82">
        <v>109</v>
      </c>
      <c r="D105" s="82">
        <v>109</v>
      </c>
      <c r="E105" s="82">
        <v>112</v>
      </c>
      <c r="F105" s="82">
        <v>114</v>
      </c>
      <c r="G105" s="82">
        <v>118</v>
      </c>
      <c r="H105" s="82">
        <v>121</v>
      </c>
      <c r="I105" s="82">
        <v>113</v>
      </c>
      <c r="J105" s="82">
        <v>111</v>
      </c>
      <c r="K105" s="82">
        <v>107</v>
      </c>
      <c r="L105" s="82">
        <v>121</v>
      </c>
      <c r="M105" s="82"/>
      <c r="N105" s="82">
        <v>108.3</v>
      </c>
      <c r="O105" s="82">
        <v>108.3</v>
      </c>
      <c r="P105" s="82">
        <v>108.3</v>
      </c>
      <c r="Q105" s="82">
        <v>108.3</v>
      </c>
      <c r="R105" s="82">
        <f>58.6+81.7</f>
        <v>140.30000000000001</v>
      </c>
      <c r="S105" s="82">
        <v>102</v>
      </c>
      <c r="T105" s="82">
        <v>97.2</v>
      </c>
      <c r="U105" s="82">
        <v>80</v>
      </c>
      <c r="V105" s="82">
        <v>88</v>
      </c>
      <c r="W105" s="82">
        <v>85.5</v>
      </c>
      <c r="X105" s="82">
        <v>85.5</v>
      </c>
      <c r="Y105" s="82">
        <v>88</v>
      </c>
      <c r="Z105" s="82">
        <v>80</v>
      </c>
      <c r="AA105" s="82">
        <v>74.099999999999994</v>
      </c>
      <c r="AB105" s="82">
        <v>75.7</v>
      </c>
      <c r="AC105" s="82">
        <v>78</v>
      </c>
      <c r="AD105" s="82">
        <v>79</v>
      </c>
      <c r="AE105" s="82">
        <v>83</v>
      </c>
      <c r="AF105" s="82">
        <v>86</v>
      </c>
      <c r="AG105" s="153"/>
      <c r="AH105" s="54">
        <f t="shared" si="27"/>
        <v>140.30000000000001</v>
      </c>
      <c r="AI105" s="89">
        <f t="shared" si="28"/>
        <v>0.54166666666666696</v>
      </c>
    </row>
    <row r="106" spans="1:37" ht="15.75" thickBot="1" x14ac:dyDescent="0.3">
      <c r="A106" s="92" t="s">
        <v>79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154"/>
      <c r="AH106" s="94"/>
      <c r="AI106" s="55"/>
      <c r="AK106" s="56"/>
    </row>
    <row r="107" spans="1:37" x14ac:dyDescent="0.25">
      <c r="A107" s="162" t="s">
        <v>133</v>
      </c>
      <c r="B107" s="95"/>
      <c r="C107" s="53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6">
        <v>9.94</v>
      </c>
      <c r="AH107" s="54"/>
      <c r="AI107" s="55"/>
      <c r="AK107" s="56"/>
    </row>
    <row r="108" spans="1:37" x14ac:dyDescent="0.25">
      <c r="A108" s="163" t="s">
        <v>134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/>
      <c r="AH108" s="54"/>
      <c r="AI108" s="55"/>
      <c r="AK108" s="56"/>
    </row>
    <row r="109" spans="1:37" x14ac:dyDescent="0.25">
      <c r="A109" s="163" t="s">
        <v>135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136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137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138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139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140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141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142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143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144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145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146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147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148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149</v>
      </c>
      <c r="B123" s="97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9">
        <v>9.9</v>
      </c>
      <c r="AH123" s="54"/>
      <c r="AI123" s="55"/>
      <c r="AK123" s="56"/>
    </row>
    <row r="124" spans="1:37" x14ac:dyDescent="0.25">
      <c r="A124" s="164" t="s">
        <v>80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100">
        <v>9.6579999999999995</v>
      </c>
      <c r="AH124" s="54"/>
      <c r="AI124" s="55"/>
      <c r="AK124" s="56"/>
    </row>
    <row r="125" spans="1:37" x14ac:dyDescent="0.25">
      <c r="A125" s="164" t="s">
        <v>150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</v>
      </c>
      <c r="AH125" s="54"/>
      <c r="AI125" s="55"/>
      <c r="AK125" s="56"/>
    </row>
    <row r="126" spans="1:37" x14ac:dyDescent="0.25">
      <c r="A126" s="164" t="s">
        <v>151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9.51</v>
      </c>
      <c r="AH126" s="54"/>
      <c r="AI126" s="55"/>
      <c r="AK126" s="56"/>
    </row>
    <row r="127" spans="1:37" x14ac:dyDescent="0.25">
      <c r="A127" s="164" t="s">
        <v>152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9.4</v>
      </c>
      <c r="AH127" s="54"/>
      <c r="AI127" s="55"/>
      <c r="AK127" s="56"/>
    </row>
    <row r="128" spans="1:37" x14ac:dyDescent="0.25">
      <c r="A128" s="164" t="s">
        <v>153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8.8000000000000007</v>
      </c>
      <c r="AH128" s="54"/>
      <c r="AI128" s="55"/>
      <c r="AK128" s="56"/>
    </row>
    <row r="129" spans="1:37" x14ac:dyDescent="0.25">
      <c r="A129" s="164" t="s">
        <v>154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8.5</v>
      </c>
      <c r="AH129" s="54"/>
      <c r="AI129" s="55"/>
      <c r="AK129" s="56"/>
    </row>
    <row r="130" spans="1:37" x14ac:dyDescent="0.25">
      <c r="A130" s="164" t="s">
        <v>155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156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8.4</v>
      </c>
      <c r="AH131" s="54"/>
      <c r="AI131" s="55"/>
      <c r="AK131" s="56"/>
    </row>
    <row r="132" spans="1:37" ht="13.5" customHeight="1" x14ac:dyDescent="0.25">
      <c r="A132" s="164" t="s">
        <v>157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</v>
      </c>
      <c r="AH132" s="54"/>
      <c r="AI132" s="55"/>
      <c r="AK132" s="56"/>
    </row>
    <row r="133" spans="1:37" x14ac:dyDescent="0.25">
      <c r="A133" s="164" t="s">
        <v>158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159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160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7.8</v>
      </c>
      <c r="AH135" s="54"/>
      <c r="AI135" s="55"/>
      <c r="AK135" s="56"/>
    </row>
    <row r="136" spans="1:37" x14ac:dyDescent="0.25">
      <c r="A136" s="164" t="s">
        <v>161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7.6</v>
      </c>
      <c r="AH136" s="54"/>
      <c r="AI136" s="55"/>
      <c r="AK136" s="56"/>
    </row>
    <row r="137" spans="1:37" x14ac:dyDescent="0.25">
      <c r="A137" s="164" t="s">
        <v>162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7.5</v>
      </c>
      <c r="AH137" s="54"/>
      <c r="AI137" s="55"/>
      <c r="AK137" s="56"/>
    </row>
    <row r="138" spans="1:37" x14ac:dyDescent="0.25">
      <c r="A138" s="164" t="s">
        <v>163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164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</v>
      </c>
      <c r="AH139" s="54"/>
      <c r="AI139" s="55"/>
      <c r="AK139" s="56"/>
    </row>
    <row r="140" spans="1:37" x14ac:dyDescent="0.25">
      <c r="A140" s="164" t="s">
        <v>165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166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167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168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6.6</v>
      </c>
      <c r="AH143" s="54"/>
      <c r="AI143" s="55"/>
      <c r="AK143" s="56"/>
    </row>
    <row r="144" spans="1:37" x14ac:dyDescent="0.25">
      <c r="A144" s="164" t="s">
        <v>169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170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6.4</v>
      </c>
      <c r="AH145" s="54"/>
      <c r="AI145" s="55"/>
      <c r="AK145" s="56"/>
    </row>
    <row r="146" spans="1:37" x14ac:dyDescent="0.25">
      <c r="A146" s="164" t="s">
        <v>171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</v>
      </c>
      <c r="AH146" s="54"/>
      <c r="AI146" s="55"/>
      <c r="AK146" s="56"/>
    </row>
    <row r="147" spans="1:37" x14ac:dyDescent="0.25">
      <c r="A147" s="164" t="s">
        <v>172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5.0999999999999996</v>
      </c>
      <c r="AH147" s="54"/>
      <c r="AI147" s="55"/>
      <c r="AK147" s="56"/>
    </row>
    <row r="148" spans="1:37" x14ac:dyDescent="0.25">
      <c r="A148" s="164" t="s">
        <v>173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</v>
      </c>
      <c r="AH148" s="54"/>
      <c r="AI148" s="55"/>
      <c r="AK148" s="56"/>
    </row>
    <row r="149" spans="1:37" x14ac:dyDescent="0.25">
      <c r="A149" s="163" t="s">
        <v>174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9">
        <v>5</v>
      </c>
      <c r="AH149" s="54"/>
      <c r="AI149" s="55"/>
      <c r="AK149" s="56"/>
    </row>
    <row r="150" spans="1:37" x14ac:dyDescent="0.25">
      <c r="A150" s="164" t="s">
        <v>175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100">
        <v>5</v>
      </c>
      <c r="AH150" s="54"/>
      <c r="AI150" s="55"/>
      <c r="AK150" s="56"/>
    </row>
    <row r="151" spans="1:37" x14ac:dyDescent="0.25">
      <c r="A151" s="164" t="s">
        <v>176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177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178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179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180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4.9930000000000003</v>
      </c>
      <c r="AH155" s="54"/>
      <c r="AI155" s="55"/>
      <c r="AK155" s="56"/>
    </row>
    <row r="156" spans="1:37" x14ac:dyDescent="0.25">
      <c r="A156" s="164" t="s">
        <v>181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4.9800000000000004</v>
      </c>
      <c r="AH156" s="54"/>
      <c r="AI156" s="55"/>
      <c r="AK156" s="56"/>
    </row>
    <row r="157" spans="1:37" x14ac:dyDescent="0.25">
      <c r="A157" s="164" t="s">
        <v>182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4.95</v>
      </c>
      <c r="AH157" s="54"/>
      <c r="AI157" s="55"/>
      <c r="AK157" s="56"/>
    </row>
    <row r="158" spans="1:37" x14ac:dyDescent="0.25">
      <c r="A158" s="164" t="s">
        <v>81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183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4.8</v>
      </c>
      <c r="AH159" s="54"/>
      <c r="AI159" s="55"/>
      <c r="AK159" s="56"/>
    </row>
    <row r="160" spans="1:37" x14ac:dyDescent="0.25">
      <c r="A160" s="164" t="s">
        <v>184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185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186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4.5</v>
      </c>
      <c r="AH162" s="54"/>
      <c r="AI162" s="55"/>
      <c r="AK162" s="56"/>
    </row>
    <row r="163" spans="1:37" x14ac:dyDescent="0.25">
      <c r="A163" s="164" t="s">
        <v>187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188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4.4550000000000001</v>
      </c>
      <c r="AH164" s="54"/>
      <c r="AI164" s="55"/>
      <c r="AK164" s="56"/>
    </row>
    <row r="165" spans="1:37" x14ac:dyDescent="0.25">
      <c r="A165" s="164" t="s">
        <v>189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4.41</v>
      </c>
      <c r="AH165" s="54"/>
      <c r="AI165" s="55"/>
      <c r="AK165" s="56"/>
    </row>
    <row r="166" spans="1:37" x14ac:dyDescent="0.25">
      <c r="A166" s="164" t="s">
        <v>190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4.4000000000000004</v>
      </c>
      <c r="AH166" s="54"/>
      <c r="AI166" s="55"/>
      <c r="AK166" s="56"/>
    </row>
    <row r="167" spans="1:37" x14ac:dyDescent="0.25">
      <c r="A167" s="164" t="s">
        <v>191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4.3600000000000003</v>
      </c>
      <c r="AH167" s="54"/>
      <c r="AI167" s="55"/>
      <c r="AK167" s="56"/>
    </row>
    <row r="168" spans="1:37" x14ac:dyDescent="0.25">
      <c r="A168" s="164" t="s">
        <v>192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4.2</v>
      </c>
      <c r="AH168" s="54"/>
      <c r="AI168" s="55"/>
      <c r="AK168" s="56"/>
    </row>
    <row r="169" spans="1:37" x14ac:dyDescent="0.25">
      <c r="A169" s="164" t="s">
        <v>193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</v>
      </c>
      <c r="AH169" s="54"/>
      <c r="AI169" s="55"/>
      <c r="AK169" s="56"/>
    </row>
    <row r="170" spans="1:37" x14ac:dyDescent="0.25">
      <c r="A170" s="164" t="s">
        <v>194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195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196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197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198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199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200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201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3.75</v>
      </c>
      <c r="AH177" s="54"/>
      <c r="AI177" s="55"/>
      <c r="AK177" s="56"/>
    </row>
    <row r="178" spans="1:37" x14ac:dyDescent="0.25">
      <c r="A178" s="164" t="s">
        <v>202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3.52</v>
      </c>
      <c r="AH178" s="54"/>
      <c r="AI178" s="55"/>
      <c r="AK178" s="56"/>
    </row>
    <row r="179" spans="1:37" x14ac:dyDescent="0.25">
      <c r="A179" s="164" t="s">
        <v>203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3.33</v>
      </c>
      <c r="AH179" s="54"/>
      <c r="AI179" s="55"/>
      <c r="AK179" s="56"/>
    </row>
    <row r="180" spans="1:37" x14ac:dyDescent="0.25">
      <c r="A180" s="164" t="s">
        <v>204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3.2</v>
      </c>
      <c r="AH180" s="54"/>
      <c r="AI180" s="55"/>
      <c r="AK180" s="56"/>
    </row>
    <row r="181" spans="1:37" x14ac:dyDescent="0.25">
      <c r="A181" s="164" t="s">
        <v>205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</v>
      </c>
      <c r="AH181" s="54"/>
      <c r="AI181" s="55"/>
      <c r="AK181" s="56"/>
    </row>
    <row r="182" spans="1:37" x14ac:dyDescent="0.25">
      <c r="A182" s="164" t="s">
        <v>206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207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208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209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210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211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212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213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2.83</v>
      </c>
      <c r="AH189" s="54"/>
      <c r="AI189" s="55"/>
      <c r="AK189" s="56"/>
    </row>
    <row r="190" spans="1:37" x14ac:dyDescent="0.25">
      <c r="A190" s="164" t="s">
        <v>214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2.5</v>
      </c>
      <c r="AH190" s="54"/>
      <c r="AI190" s="55"/>
      <c r="AK190" s="56"/>
    </row>
    <row r="191" spans="1:37" x14ac:dyDescent="0.25">
      <c r="A191" s="164" t="s">
        <v>215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216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2.4</v>
      </c>
      <c r="AH192" s="54"/>
      <c r="AI192" s="55"/>
      <c r="AK192" s="56"/>
    </row>
    <row r="193" spans="1:37" x14ac:dyDescent="0.25">
      <c r="A193" s="164" t="s">
        <v>217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218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2.2000000000000002</v>
      </c>
      <c r="AH194" s="54"/>
      <c r="AI194" s="55"/>
      <c r="AK194" s="56"/>
    </row>
    <row r="195" spans="1:37" x14ac:dyDescent="0.25">
      <c r="A195" s="164" t="s">
        <v>219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</v>
      </c>
      <c r="AH195" s="54"/>
      <c r="AI195" s="55"/>
      <c r="AK195" s="56"/>
    </row>
    <row r="196" spans="1:37" x14ac:dyDescent="0.25">
      <c r="A196" s="164" t="s">
        <v>220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221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222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1.8</v>
      </c>
      <c r="AH198" s="54"/>
      <c r="AI198" s="55"/>
      <c r="AK198" s="56"/>
    </row>
    <row r="199" spans="1:37" x14ac:dyDescent="0.25">
      <c r="A199" s="164" t="s">
        <v>223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224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1.65</v>
      </c>
      <c r="AH200" s="54"/>
      <c r="AI200" s="55"/>
      <c r="AK200" s="56"/>
    </row>
    <row r="201" spans="1:37" x14ac:dyDescent="0.25">
      <c r="A201" s="164" t="s">
        <v>225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1.5</v>
      </c>
      <c r="AH201" s="54"/>
      <c r="AI201" s="55"/>
      <c r="AK201" s="56"/>
    </row>
    <row r="202" spans="1:37" x14ac:dyDescent="0.25">
      <c r="A202" s="164" t="s">
        <v>226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0.998</v>
      </c>
      <c r="AH202" s="54"/>
      <c r="AI202" s="55"/>
      <c r="AK202" s="56"/>
    </row>
    <row r="203" spans="1:37" x14ac:dyDescent="0.25">
      <c r="A203" s="164" t="s">
        <v>227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0.997</v>
      </c>
      <c r="AH203" s="54"/>
      <c r="AI203" s="55"/>
      <c r="AK203" s="56"/>
    </row>
    <row r="204" spans="1:37" x14ac:dyDescent="0.25">
      <c r="A204" s="164" t="s">
        <v>228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229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0.996</v>
      </c>
      <c r="AH205" s="54"/>
      <c r="AI205" s="55"/>
      <c r="AK205" s="56"/>
    </row>
    <row r="206" spans="1:37" x14ac:dyDescent="0.25">
      <c r="A206" s="164" t="s">
        <v>230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231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232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0.995</v>
      </c>
      <c r="AH208" s="54"/>
      <c r="AI208" s="55"/>
      <c r="AK208" s="56"/>
    </row>
    <row r="209" spans="1:37" x14ac:dyDescent="0.25">
      <c r="A209" s="164" t="s">
        <v>233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0.99299999999999999</v>
      </c>
      <c r="AH209" s="54"/>
      <c r="AI209" s="55"/>
      <c r="AK209" s="56"/>
    </row>
    <row r="210" spans="1:37" x14ac:dyDescent="0.25">
      <c r="A210" s="164" t="s">
        <v>234</v>
      </c>
      <c r="B210" s="97"/>
      <c r="C210" s="53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</v>
      </c>
      <c r="AH210" s="54"/>
      <c r="AI210" s="55"/>
      <c r="AK210" s="56"/>
    </row>
    <row r="211" spans="1:37" ht="15.75" thickBot="1" x14ac:dyDescent="0.3">
      <c r="A211" s="164" t="s">
        <v>235</v>
      </c>
      <c r="B211" s="102"/>
      <c r="C211" s="166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0">
        <v>0.97899999999999998</v>
      </c>
      <c r="AH211" s="54"/>
      <c r="AI211" s="55"/>
      <c r="AK211" s="56"/>
    </row>
    <row r="212" spans="1:37" ht="15.75" thickBot="1" x14ac:dyDescent="0.3">
      <c r="A212" s="165" t="s">
        <v>82</v>
      </c>
      <c r="B212" s="167">
        <f>SUM(B107:B211)</f>
        <v>0</v>
      </c>
      <c r="C212" s="103">
        <f t="shared" ref="C212:AG212" si="30">SUM(C107:C211)</f>
        <v>0</v>
      </c>
      <c r="D212" s="103">
        <f t="shared" si="30"/>
        <v>0</v>
      </c>
      <c r="E212" s="103">
        <f t="shared" si="30"/>
        <v>0</v>
      </c>
      <c r="F212" s="103">
        <f t="shared" si="30"/>
        <v>0</v>
      </c>
      <c r="G212" s="103">
        <f t="shared" si="30"/>
        <v>0</v>
      </c>
      <c r="H212" s="103">
        <f t="shared" si="30"/>
        <v>0</v>
      </c>
      <c r="I212" s="103">
        <f t="shared" si="30"/>
        <v>0</v>
      </c>
      <c r="J212" s="103">
        <f t="shared" si="30"/>
        <v>0</v>
      </c>
      <c r="K212" s="103">
        <f t="shared" si="30"/>
        <v>0</v>
      </c>
      <c r="L212" s="103">
        <f t="shared" si="30"/>
        <v>0</v>
      </c>
      <c r="M212" s="103">
        <f t="shared" si="30"/>
        <v>0</v>
      </c>
      <c r="N212" s="103">
        <f t="shared" si="30"/>
        <v>0</v>
      </c>
      <c r="O212" s="103">
        <f t="shared" si="30"/>
        <v>0</v>
      </c>
      <c r="P212" s="103">
        <f t="shared" si="30"/>
        <v>0</v>
      </c>
      <c r="Q212" s="103">
        <f t="shared" si="30"/>
        <v>0</v>
      </c>
      <c r="R212" s="103">
        <f t="shared" si="30"/>
        <v>0</v>
      </c>
      <c r="S212" s="103">
        <f t="shared" si="30"/>
        <v>0</v>
      </c>
      <c r="T212" s="103">
        <f t="shared" si="30"/>
        <v>0</v>
      </c>
      <c r="U212" s="103">
        <f t="shared" si="30"/>
        <v>0</v>
      </c>
      <c r="V212" s="103">
        <f t="shared" si="30"/>
        <v>0</v>
      </c>
      <c r="W212" s="103">
        <f t="shared" si="30"/>
        <v>0</v>
      </c>
      <c r="X212" s="103">
        <f t="shared" si="30"/>
        <v>0</v>
      </c>
      <c r="Y212" s="103">
        <f t="shared" si="30"/>
        <v>0</v>
      </c>
      <c r="Z212" s="103">
        <f t="shared" si="30"/>
        <v>0</v>
      </c>
      <c r="AA212" s="103">
        <f t="shared" si="30"/>
        <v>0</v>
      </c>
      <c r="AB212" s="103">
        <f t="shared" si="30"/>
        <v>0</v>
      </c>
      <c r="AC212" s="103">
        <f t="shared" si="30"/>
        <v>0</v>
      </c>
      <c r="AD212" s="103">
        <f t="shared" si="30"/>
        <v>0</v>
      </c>
      <c r="AE212" s="103">
        <f t="shared" si="30"/>
        <v>0</v>
      </c>
      <c r="AF212" s="168">
        <f t="shared" si="30"/>
        <v>0</v>
      </c>
      <c r="AG212" s="169">
        <f t="shared" si="30"/>
        <v>412.72299999999984</v>
      </c>
      <c r="AH212" s="54"/>
      <c r="AI212" s="55"/>
      <c r="AK212" s="56"/>
    </row>
    <row r="213" spans="1:37" ht="15.75" thickBot="1" x14ac:dyDescent="0.3">
      <c r="A213" s="28" t="s">
        <v>35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149"/>
      <c r="AH213" s="54"/>
      <c r="AI213" s="55"/>
      <c r="AK213" s="56"/>
    </row>
    <row r="214" spans="1:37" x14ac:dyDescent="0.25">
      <c r="A214" s="170" t="s">
        <v>83</v>
      </c>
      <c r="B214" s="101">
        <f t="shared" ref="B214:B219" si="31">AF214</f>
        <v>0</v>
      </c>
      <c r="C214" s="101">
        <v>0.3</v>
      </c>
      <c r="D214" s="101">
        <f t="shared" ref="D214:P219" si="32">C214</f>
        <v>0.3</v>
      </c>
      <c r="E214" s="101">
        <f t="shared" si="32"/>
        <v>0.3</v>
      </c>
      <c r="F214" s="101">
        <f t="shared" si="32"/>
        <v>0.3</v>
      </c>
      <c r="G214" s="101">
        <f t="shared" si="32"/>
        <v>0.3</v>
      </c>
      <c r="H214" s="101">
        <f t="shared" si="32"/>
        <v>0.3</v>
      </c>
      <c r="I214" s="101">
        <f t="shared" si="32"/>
        <v>0.3</v>
      </c>
      <c r="J214" s="101">
        <f t="shared" si="32"/>
        <v>0.3</v>
      </c>
      <c r="K214" s="101">
        <f t="shared" si="32"/>
        <v>0.3</v>
      </c>
      <c r="L214" s="101">
        <f t="shared" si="32"/>
        <v>0.3</v>
      </c>
      <c r="M214" s="101">
        <f t="shared" si="32"/>
        <v>0.3</v>
      </c>
      <c r="N214" s="101">
        <f t="shared" si="32"/>
        <v>0.3</v>
      </c>
      <c r="O214" s="101">
        <f t="shared" si="32"/>
        <v>0.3</v>
      </c>
      <c r="P214" s="101">
        <f t="shared" si="32"/>
        <v>0.3</v>
      </c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55">
        <v>2.4</v>
      </c>
      <c r="AH214" s="54"/>
      <c r="AI214" s="55"/>
      <c r="AK214" s="56"/>
    </row>
    <row r="215" spans="1:37" x14ac:dyDescent="0.25">
      <c r="A215" s="163" t="s">
        <v>84</v>
      </c>
      <c r="B215" s="97">
        <f t="shared" si="31"/>
        <v>0</v>
      </c>
      <c r="C215" s="97">
        <v>0.4</v>
      </c>
      <c r="D215" s="97">
        <f t="shared" si="32"/>
        <v>0.4</v>
      </c>
      <c r="E215" s="97">
        <f t="shared" si="32"/>
        <v>0.4</v>
      </c>
      <c r="F215" s="97">
        <f t="shared" si="32"/>
        <v>0.4</v>
      </c>
      <c r="G215" s="97">
        <f t="shared" si="32"/>
        <v>0.4</v>
      </c>
      <c r="H215" s="97">
        <f t="shared" si="32"/>
        <v>0.4</v>
      </c>
      <c r="I215" s="97">
        <f t="shared" si="32"/>
        <v>0.4</v>
      </c>
      <c r="J215" s="97">
        <f t="shared" si="32"/>
        <v>0.4</v>
      </c>
      <c r="K215" s="97">
        <f t="shared" si="32"/>
        <v>0.4</v>
      </c>
      <c r="L215" s="97">
        <f t="shared" si="32"/>
        <v>0.4</v>
      </c>
      <c r="M215" s="97">
        <f t="shared" si="32"/>
        <v>0.4</v>
      </c>
      <c r="N215" s="97">
        <f t="shared" si="32"/>
        <v>0.4</v>
      </c>
      <c r="O215" s="97">
        <f t="shared" si="32"/>
        <v>0.4</v>
      </c>
      <c r="P215" s="97">
        <f t="shared" si="32"/>
        <v>0.4</v>
      </c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56">
        <v>2</v>
      </c>
      <c r="AH215" s="54"/>
      <c r="AI215" s="55"/>
      <c r="AK215" s="56"/>
    </row>
    <row r="216" spans="1:37" x14ac:dyDescent="0.25">
      <c r="A216" s="163" t="s">
        <v>85</v>
      </c>
      <c r="B216" s="97">
        <f t="shared" si="31"/>
        <v>0</v>
      </c>
      <c r="C216" s="97">
        <v>1.5</v>
      </c>
      <c r="D216" s="97">
        <f t="shared" si="32"/>
        <v>1.5</v>
      </c>
      <c r="E216" s="97">
        <f t="shared" si="32"/>
        <v>1.5</v>
      </c>
      <c r="F216" s="97">
        <f t="shared" si="32"/>
        <v>1.5</v>
      </c>
      <c r="G216" s="97">
        <f t="shared" si="32"/>
        <v>1.5</v>
      </c>
      <c r="H216" s="97">
        <f t="shared" si="32"/>
        <v>1.5</v>
      </c>
      <c r="I216" s="97">
        <f t="shared" si="32"/>
        <v>1.5</v>
      </c>
      <c r="J216" s="97">
        <f t="shared" si="32"/>
        <v>1.5</v>
      </c>
      <c r="K216" s="97">
        <f t="shared" si="32"/>
        <v>1.5</v>
      </c>
      <c r="L216" s="97">
        <f t="shared" si="32"/>
        <v>1.5</v>
      </c>
      <c r="M216" s="97">
        <f t="shared" si="32"/>
        <v>1.5</v>
      </c>
      <c r="N216" s="97">
        <f t="shared" si="32"/>
        <v>1.5</v>
      </c>
      <c r="O216" s="97">
        <f t="shared" si="32"/>
        <v>1.5</v>
      </c>
      <c r="P216" s="97">
        <f t="shared" si="32"/>
        <v>1.5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1.5</v>
      </c>
      <c r="AH216" s="54"/>
      <c r="AI216" s="55"/>
      <c r="AK216" s="56"/>
    </row>
    <row r="217" spans="1:37" x14ac:dyDescent="0.25">
      <c r="A217" s="163" t="s">
        <v>86</v>
      </c>
      <c r="B217" s="97">
        <f t="shared" si="31"/>
        <v>0</v>
      </c>
      <c r="C217" s="97">
        <v>0.3</v>
      </c>
      <c r="D217" s="97">
        <f t="shared" si="32"/>
        <v>0.3</v>
      </c>
      <c r="E217" s="97">
        <f t="shared" si="32"/>
        <v>0.3</v>
      </c>
      <c r="F217" s="97">
        <f t="shared" si="32"/>
        <v>0.3</v>
      </c>
      <c r="G217" s="97">
        <f t="shared" si="32"/>
        <v>0.3</v>
      </c>
      <c r="H217" s="97">
        <f t="shared" si="32"/>
        <v>0.3</v>
      </c>
      <c r="I217" s="97">
        <f t="shared" si="32"/>
        <v>0.3</v>
      </c>
      <c r="J217" s="97">
        <f t="shared" si="32"/>
        <v>0.3</v>
      </c>
      <c r="K217" s="97">
        <f t="shared" si="32"/>
        <v>0.3</v>
      </c>
      <c r="L217" s="97">
        <f t="shared" si="32"/>
        <v>0.3</v>
      </c>
      <c r="M217" s="97">
        <f t="shared" si="32"/>
        <v>0.3</v>
      </c>
      <c r="N217" s="97">
        <f t="shared" si="32"/>
        <v>0.3</v>
      </c>
      <c r="O217" s="97">
        <f t="shared" si="32"/>
        <v>0.3</v>
      </c>
      <c r="P217" s="97">
        <f t="shared" si="32"/>
        <v>0.3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</v>
      </c>
      <c r="AH217" s="54"/>
      <c r="AI217" s="55"/>
      <c r="AK217" s="56"/>
    </row>
    <row r="218" spans="1:37" x14ac:dyDescent="0.25">
      <c r="A218" s="163" t="s">
        <v>87</v>
      </c>
      <c r="B218" s="97">
        <f t="shared" si="31"/>
        <v>0</v>
      </c>
      <c r="C218" s="97">
        <v>0.4</v>
      </c>
      <c r="D218" s="97">
        <f t="shared" si="32"/>
        <v>0.4</v>
      </c>
      <c r="E218" s="97">
        <f t="shared" si="32"/>
        <v>0.4</v>
      </c>
      <c r="F218" s="97">
        <f t="shared" si="32"/>
        <v>0.4</v>
      </c>
      <c r="G218" s="97">
        <f t="shared" si="32"/>
        <v>0.4</v>
      </c>
      <c r="H218" s="97">
        <f t="shared" si="32"/>
        <v>0.4</v>
      </c>
      <c r="I218" s="97">
        <f t="shared" si="32"/>
        <v>0.4</v>
      </c>
      <c r="J218" s="97">
        <f t="shared" si="32"/>
        <v>0.4</v>
      </c>
      <c r="K218" s="97">
        <f t="shared" si="32"/>
        <v>0.4</v>
      </c>
      <c r="L218" s="97">
        <f t="shared" si="32"/>
        <v>0.4</v>
      </c>
      <c r="M218" s="97">
        <f t="shared" si="32"/>
        <v>0.4</v>
      </c>
      <c r="N218" s="97">
        <f t="shared" si="32"/>
        <v>0.4</v>
      </c>
      <c r="O218" s="97">
        <f t="shared" si="32"/>
        <v>0.4</v>
      </c>
      <c r="P218" s="97">
        <f t="shared" si="32"/>
        <v>0.4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ht="15.75" thickBot="1" x14ac:dyDescent="0.3">
      <c r="A219" s="164" t="s">
        <v>88</v>
      </c>
      <c r="B219" s="102">
        <f t="shared" si="31"/>
        <v>0</v>
      </c>
      <c r="C219" s="102">
        <v>0.64</v>
      </c>
      <c r="D219" s="102">
        <f t="shared" si="32"/>
        <v>0.64</v>
      </c>
      <c r="E219" s="102">
        <f t="shared" si="32"/>
        <v>0.64</v>
      </c>
      <c r="F219" s="102">
        <f t="shared" si="32"/>
        <v>0.64</v>
      </c>
      <c r="G219" s="102">
        <f t="shared" si="32"/>
        <v>0.64</v>
      </c>
      <c r="H219" s="102">
        <f t="shared" si="32"/>
        <v>0.64</v>
      </c>
      <c r="I219" s="102">
        <f t="shared" si="32"/>
        <v>0.64</v>
      </c>
      <c r="J219" s="102">
        <f t="shared" si="32"/>
        <v>0.64</v>
      </c>
      <c r="K219" s="102">
        <f t="shared" si="32"/>
        <v>0.64</v>
      </c>
      <c r="L219" s="102">
        <f t="shared" si="32"/>
        <v>0.64</v>
      </c>
      <c r="M219" s="102">
        <f t="shared" si="32"/>
        <v>0.64</v>
      </c>
      <c r="N219" s="102">
        <f t="shared" si="32"/>
        <v>0.64</v>
      </c>
      <c r="O219" s="102">
        <f t="shared" si="32"/>
        <v>0.64</v>
      </c>
      <c r="P219" s="102">
        <f t="shared" si="32"/>
        <v>0.64</v>
      </c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57">
        <v>0.66</v>
      </c>
      <c r="AH219" s="54"/>
      <c r="AI219" s="55"/>
    </row>
    <row r="220" spans="1:37" ht="15.75" thickBot="1" x14ac:dyDescent="0.3">
      <c r="A220" s="173" t="s">
        <v>35</v>
      </c>
      <c r="B220" s="103">
        <f>SUM(B214:B219)</f>
        <v>0</v>
      </c>
      <c r="C220" s="103">
        <f>SUM(C214:C219)</f>
        <v>3.54</v>
      </c>
      <c r="D220" s="103">
        <f t="shared" ref="D220:L220" si="33">SUM(D214:D219)</f>
        <v>3.54</v>
      </c>
      <c r="E220" s="103">
        <f t="shared" si="33"/>
        <v>3.54</v>
      </c>
      <c r="F220" s="103">
        <f t="shared" si="33"/>
        <v>3.54</v>
      </c>
      <c r="G220" s="103">
        <f t="shared" si="33"/>
        <v>3.54</v>
      </c>
      <c r="H220" s="103">
        <f t="shared" si="33"/>
        <v>3.54</v>
      </c>
      <c r="I220" s="103">
        <f t="shared" si="33"/>
        <v>3.54</v>
      </c>
      <c r="J220" s="103">
        <f t="shared" si="33"/>
        <v>3.54</v>
      </c>
      <c r="K220" s="103">
        <f t="shared" si="33"/>
        <v>3.54</v>
      </c>
      <c r="L220" s="103">
        <f t="shared" si="33"/>
        <v>3.54</v>
      </c>
      <c r="M220" s="103">
        <f>SUM(M214:M219)</f>
        <v>3.54</v>
      </c>
      <c r="N220" s="103">
        <f t="shared" ref="N220:S220" si="34">SUM(N214:N219)</f>
        <v>3.54</v>
      </c>
      <c r="O220" s="103">
        <f t="shared" si="34"/>
        <v>3.54</v>
      </c>
      <c r="P220" s="103">
        <f t="shared" si="34"/>
        <v>3.54</v>
      </c>
      <c r="Q220" s="103">
        <f t="shared" si="34"/>
        <v>0</v>
      </c>
      <c r="R220" s="103">
        <f t="shared" si="34"/>
        <v>0</v>
      </c>
      <c r="S220" s="103">
        <f t="shared" si="34"/>
        <v>0</v>
      </c>
      <c r="T220" s="103">
        <f>SUM(T214:T219)</f>
        <v>0</v>
      </c>
      <c r="U220" s="103">
        <f t="shared" ref="U220:AG220" si="35">SUM(U214:U219)</f>
        <v>0</v>
      </c>
      <c r="V220" s="103">
        <f t="shared" si="35"/>
        <v>0</v>
      </c>
      <c r="W220" s="103">
        <f t="shared" si="35"/>
        <v>0</v>
      </c>
      <c r="X220" s="103">
        <f t="shared" si="35"/>
        <v>0</v>
      </c>
      <c r="Y220" s="103">
        <f t="shared" si="35"/>
        <v>0</v>
      </c>
      <c r="Z220" s="103">
        <f t="shared" si="35"/>
        <v>0</v>
      </c>
      <c r="AA220" s="103">
        <f t="shared" si="35"/>
        <v>0</v>
      </c>
      <c r="AB220" s="103">
        <f t="shared" si="35"/>
        <v>0</v>
      </c>
      <c r="AC220" s="103">
        <f t="shared" si="35"/>
        <v>0</v>
      </c>
      <c r="AD220" s="103">
        <f t="shared" si="35"/>
        <v>0</v>
      </c>
      <c r="AE220" s="103">
        <f t="shared" si="35"/>
        <v>0</v>
      </c>
      <c r="AF220" s="103">
        <f t="shared" si="35"/>
        <v>0</v>
      </c>
      <c r="AG220" s="158">
        <f t="shared" si="35"/>
        <v>8.56</v>
      </c>
      <c r="AH220" s="54"/>
      <c r="AI220" s="55"/>
    </row>
    <row r="221" spans="1:37" ht="15.75" thickBot="1" x14ac:dyDescent="0.3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84"/>
      <c r="AH221" s="47"/>
    </row>
    <row r="222" spans="1:37" x14ac:dyDescent="0.25">
      <c r="A222" s="79" t="s">
        <v>89</v>
      </c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5"/>
      <c r="AG222" s="47"/>
      <c r="AH222" s="54"/>
      <c r="AI222" s="55"/>
    </row>
    <row r="223" spans="1:37" x14ac:dyDescent="0.25">
      <c r="A223" s="106" t="s">
        <v>90</v>
      </c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8"/>
      <c r="AG223" s="109"/>
      <c r="AH223" s="54"/>
      <c r="AI223" s="55"/>
    </row>
    <row r="224" spans="1:37" x14ac:dyDescent="0.25">
      <c r="A224" s="81" t="s">
        <v>91</v>
      </c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1"/>
      <c r="AG224" s="109"/>
      <c r="AH224" s="54"/>
      <c r="AI224" s="55"/>
    </row>
    <row r="225" spans="1:50" x14ac:dyDescent="0.25">
      <c r="A225" s="81" t="s">
        <v>92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ht="15.75" thickBot="1" x14ac:dyDescent="0.3">
      <c r="A226" s="112" t="s">
        <v>93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4"/>
      <c r="AG226" s="109"/>
      <c r="AH226" s="54"/>
      <c r="AI226" s="55"/>
    </row>
    <row r="227" spans="1:50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50" x14ac:dyDescent="0.25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50" x14ac:dyDescent="0.25">
      <c r="A229" s="115" t="s">
        <v>94</v>
      </c>
      <c r="B229" s="116">
        <f>MAX(G79:N79)</f>
        <v>1787.4399999999998</v>
      </c>
      <c r="C229" s="117">
        <f>INDEX(G9:N9,1,MATCH(MAX(G79:N79),G79:N79,0))</f>
        <v>0.375</v>
      </c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50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118" t="str">
        <f ca="1">MID(CELL("filename",C7),FIND("]",CELL("filename",C7))+1,600)</f>
        <v>8</v>
      </c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50" x14ac:dyDescent="0.25">
      <c r="A231" s="208" t="s">
        <v>95</v>
      </c>
      <c r="B231" s="208"/>
      <c r="C231" s="47"/>
      <c r="D231" s="118" t="str">
        <f ca="1">"Pie Chart of Daily Peak Demand(Inclusive of Export) of Nepal ("&amp;A4&amp;" "&amp;B4&amp;")"</f>
        <v>Pie Chart of Daily Peak Demand(Inclusive of Export) of Nepal (Nepali Date: 2079/02/8)</v>
      </c>
      <c r="E231" s="47"/>
      <c r="F231" s="47"/>
      <c r="G231" s="118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118" t="str">
        <f ca="1">"Daily Load Curve(Excluding of Export) of Nepal ("&amp;A4&amp;" "&amp;B4&amp;")"</f>
        <v>Daily Load Curve(Excluding of Export) of Nepal (Nepali Date: 2079/02/8)</v>
      </c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50" ht="12.75" customHeight="1" thickBot="1" x14ac:dyDescent="0.3">
      <c r="A232" s="119" t="s">
        <v>7</v>
      </c>
      <c r="B232" s="120"/>
      <c r="C232" s="47"/>
      <c r="D232" s="121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50" ht="15.75" thickTop="1" x14ac:dyDescent="0.25">
      <c r="A233" s="119" t="s">
        <v>96</v>
      </c>
      <c r="B233" s="120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122" t="s">
        <v>97</v>
      </c>
      <c r="T233" s="123">
        <v>0</v>
      </c>
      <c r="U233" s="124">
        <v>4.1666666666666664E-2</v>
      </c>
      <c r="V233" s="125">
        <v>8.3333333333333301E-2</v>
      </c>
      <c r="W233" s="125">
        <v>0.125</v>
      </c>
      <c r="X233" s="125">
        <v>0.16666666666666699</v>
      </c>
      <c r="Y233" s="125">
        <v>0.20833333333333301</v>
      </c>
      <c r="Z233" s="125">
        <v>0.22916666666666666</v>
      </c>
      <c r="AA233" s="125">
        <v>0.25</v>
      </c>
      <c r="AB233" s="125">
        <v>0.27083333333333331</v>
      </c>
      <c r="AC233" s="125">
        <v>0.29166666666666669</v>
      </c>
      <c r="AD233" s="125">
        <v>0.3125</v>
      </c>
      <c r="AE233" s="126">
        <v>0.33333333333333331</v>
      </c>
      <c r="AF233" s="126">
        <v>0.375</v>
      </c>
      <c r="AG233" s="126">
        <v>0.41666666666666702</v>
      </c>
      <c r="AH233" s="126">
        <v>0.45833333333333298</v>
      </c>
      <c r="AI233" s="126">
        <v>0.5</v>
      </c>
      <c r="AJ233" s="126">
        <v>0.54166666666666696</v>
      </c>
      <c r="AK233" s="126">
        <v>0.58333333333333304</v>
      </c>
      <c r="AL233" s="126">
        <v>0.625</v>
      </c>
      <c r="AM233" s="126">
        <v>0.66666666666666696</v>
      </c>
      <c r="AN233" s="126">
        <v>0.70833333333333304</v>
      </c>
      <c r="AO233" s="126">
        <v>0.72916666666666663</v>
      </c>
      <c r="AP233" s="126">
        <v>0.75</v>
      </c>
      <c r="AQ233" s="126">
        <v>0.77083333333333337</v>
      </c>
      <c r="AR233" s="126">
        <v>0.79166666666666663</v>
      </c>
      <c r="AS233" s="126">
        <v>0.8125</v>
      </c>
      <c r="AT233" s="125">
        <v>0.83333333333333337</v>
      </c>
      <c r="AU233" s="125">
        <v>0.85416666666666663</v>
      </c>
      <c r="AV233" s="125">
        <v>0.875</v>
      </c>
      <c r="AW233" s="125">
        <v>0.91666666666666696</v>
      </c>
      <c r="AX233" s="125">
        <v>0.95833333333333304</v>
      </c>
    </row>
    <row r="234" spans="1:50" x14ac:dyDescent="0.25">
      <c r="A234" s="119" t="s">
        <v>98</v>
      </c>
      <c r="B234" s="120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 t="s">
        <v>99</v>
      </c>
      <c r="T234" s="127">
        <f t="shared" ref="T234:AX234" si="36">B79</f>
        <v>1739.5400000000002</v>
      </c>
      <c r="U234" s="127">
        <f t="shared" si="36"/>
        <v>1701.94</v>
      </c>
      <c r="V234" s="127">
        <f t="shared" si="36"/>
        <v>1690.94</v>
      </c>
      <c r="W234" s="127">
        <f t="shared" si="36"/>
        <v>1708.0400000000002</v>
      </c>
      <c r="X234" s="127">
        <f t="shared" si="36"/>
        <v>1686.8400000000001</v>
      </c>
      <c r="Y234" s="127">
        <f t="shared" si="36"/>
        <v>1664.9400000000003</v>
      </c>
      <c r="Z234" s="127">
        <f t="shared" si="36"/>
        <v>1640.0400000000002</v>
      </c>
      <c r="AA234" s="127">
        <f t="shared" si="36"/>
        <v>1639.0400000000002</v>
      </c>
      <c r="AB234" s="127">
        <f t="shared" si="36"/>
        <v>1670.6400000000003</v>
      </c>
      <c r="AC234" s="127">
        <f t="shared" si="36"/>
        <v>1696.74</v>
      </c>
      <c r="AD234" s="127">
        <f t="shared" si="36"/>
        <v>1714.74</v>
      </c>
      <c r="AE234" s="127">
        <f t="shared" si="36"/>
        <v>1769.94</v>
      </c>
      <c r="AF234" s="127">
        <f t="shared" si="36"/>
        <v>1787.4399999999998</v>
      </c>
      <c r="AG234" s="127">
        <f t="shared" si="36"/>
        <v>1793.3400000000001</v>
      </c>
      <c r="AH234" s="127">
        <f t="shared" si="36"/>
        <v>1793.3400000000001</v>
      </c>
      <c r="AI234" s="127">
        <f t="shared" si="36"/>
        <v>1793.3400000000001</v>
      </c>
      <c r="AJ234" s="127">
        <f t="shared" si="36"/>
        <v>1255.3400000000001</v>
      </c>
      <c r="AK234" s="127">
        <f t="shared" si="36"/>
        <v>1808.24</v>
      </c>
      <c r="AL234" s="127">
        <f t="shared" si="36"/>
        <v>1822.3400000000001</v>
      </c>
      <c r="AM234" s="127">
        <f t="shared" si="36"/>
        <v>1814.7400000000002</v>
      </c>
      <c r="AN234" s="127">
        <f t="shared" si="36"/>
        <v>1793.14</v>
      </c>
      <c r="AO234" s="127">
        <f t="shared" si="36"/>
        <v>1782.8400000000001</v>
      </c>
      <c r="AP234" s="127">
        <f t="shared" si="36"/>
        <v>1772.0400000000002</v>
      </c>
      <c r="AQ234" s="127">
        <f t="shared" si="36"/>
        <v>1836.1400000000003</v>
      </c>
      <c r="AR234" s="127">
        <f t="shared" si="36"/>
        <v>1857.5399999999997</v>
      </c>
      <c r="AS234" s="127">
        <f t="shared" si="36"/>
        <v>1853.54</v>
      </c>
      <c r="AT234" s="127">
        <f t="shared" si="36"/>
        <v>1851.44</v>
      </c>
      <c r="AU234" s="127">
        <f t="shared" si="36"/>
        <v>1853.8400000000001</v>
      </c>
      <c r="AV234" s="127">
        <f t="shared" si="36"/>
        <v>1843.94</v>
      </c>
      <c r="AW234" s="127">
        <f t="shared" si="36"/>
        <v>1849.94</v>
      </c>
      <c r="AX234" s="127">
        <f t="shared" si="36"/>
        <v>1788.6399999999999</v>
      </c>
    </row>
    <row r="235" spans="1:50" x14ac:dyDescent="0.25">
      <c r="A235" s="119" t="s">
        <v>100</v>
      </c>
      <c r="B235" s="120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</row>
    <row r="236" spans="1:50" x14ac:dyDescent="0.25">
      <c r="A236" s="119" t="s">
        <v>101</v>
      </c>
      <c r="B236" s="120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</row>
    <row r="237" spans="1:50" x14ac:dyDescent="0.25">
      <c r="A237" s="119" t="s">
        <v>102</v>
      </c>
      <c r="B237" s="120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50" x14ac:dyDescent="0.25">
      <c r="A238" s="119" t="s">
        <v>103</v>
      </c>
      <c r="B238" s="128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50" x14ac:dyDescent="0.25">
      <c r="A239" s="119" t="s">
        <v>104</v>
      </c>
      <c r="B239" s="120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50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1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1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1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1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1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</row>
    <row r="246" spans="1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J246"/>
    </row>
    <row r="247" spans="1:36" x14ac:dyDescent="0.25"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J247"/>
    </row>
    <row r="248" spans="1:36" x14ac:dyDescent="0.25"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J248"/>
    </row>
    <row r="249" spans="1:36" x14ac:dyDescent="0.25"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J249"/>
    </row>
    <row r="250" spans="1:36" x14ac:dyDescent="0.25"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J250"/>
    </row>
    <row r="251" spans="1:36" x14ac:dyDescent="0.25"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J251"/>
    </row>
    <row r="252" spans="1:36" x14ac:dyDescent="0.25"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J252"/>
    </row>
    <row r="253" spans="1:36" x14ac:dyDescent="0.25"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J253"/>
    </row>
    <row r="254" spans="1:36" x14ac:dyDescent="0.25"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J254"/>
    </row>
    <row r="255" spans="1:36" x14ac:dyDescent="0.25">
      <c r="A255" s="129" t="s">
        <v>89</v>
      </c>
      <c r="B255" s="130">
        <f t="shared" ref="B255:AE255" si="37">C219</f>
        <v>0.64</v>
      </c>
      <c r="C255" s="130">
        <f t="shared" si="37"/>
        <v>0.64</v>
      </c>
      <c r="D255" s="130">
        <f t="shared" si="37"/>
        <v>0.64</v>
      </c>
      <c r="E255" s="130">
        <f t="shared" si="37"/>
        <v>0.64</v>
      </c>
      <c r="F255" s="130">
        <f t="shared" si="37"/>
        <v>0.64</v>
      </c>
      <c r="G255" s="130">
        <f t="shared" si="37"/>
        <v>0.64</v>
      </c>
      <c r="H255" s="130">
        <f t="shared" si="37"/>
        <v>0.64</v>
      </c>
      <c r="I255" s="130">
        <f t="shared" si="37"/>
        <v>0.64</v>
      </c>
      <c r="J255" s="130">
        <f t="shared" si="37"/>
        <v>0.64</v>
      </c>
      <c r="K255" s="130">
        <f t="shared" si="37"/>
        <v>0.64</v>
      </c>
      <c r="L255" s="130">
        <f t="shared" si="37"/>
        <v>0.64</v>
      </c>
      <c r="M255" s="130">
        <f t="shared" si="37"/>
        <v>0.64</v>
      </c>
      <c r="N255" s="130">
        <f t="shared" si="37"/>
        <v>0.64</v>
      </c>
      <c r="O255" s="130">
        <f t="shared" si="37"/>
        <v>0.64</v>
      </c>
      <c r="P255" s="130">
        <f t="shared" si="37"/>
        <v>0</v>
      </c>
      <c r="Q255" s="130">
        <f t="shared" si="37"/>
        <v>0</v>
      </c>
      <c r="R255" s="130">
        <f t="shared" si="37"/>
        <v>0</v>
      </c>
      <c r="S255" s="130">
        <f t="shared" si="37"/>
        <v>0</v>
      </c>
      <c r="T255" s="130">
        <f t="shared" si="37"/>
        <v>0</v>
      </c>
      <c r="U255" s="130">
        <f t="shared" si="37"/>
        <v>0</v>
      </c>
      <c r="V255" s="130">
        <f t="shared" si="37"/>
        <v>0</v>
      </c>
      <c r="W255" s="130">
        <f t="shared" si="37"/>
        <v>0</v>
      </c>
      <c r="X255" s="130">
        <f t="shared" si="37"/>
        <v>0</v>
      </c>
      <c r="Y255" s="130">
        <f t="shared" si="37"/>
        <v>0</v>
      </c>
      <c r="Z255" s="130">
        <f t="shared" si="37"/>
        <v>0</v>
      </c>
      <c r="AA255" s="130">
        <f t="shared" si="37"/>
        <v>0</v>
      </c>
      <c r="AB255" s="130">
        <f t="shared" si="37"/>
        <v>0</v>
      </c>
      <c r="AC255" s="130">
        <f t="shared" si="37"/>
        <v>0</v>
      </c>
      <c r="AD255" s="130">
        <f t="shared" si="37"/>
        <v>0</v>
      </c>
      <c r="AE255" s="130">
        <f t="shared" si="37"/>
        <v>0</v>
      </c>
      <c r="AF255" s="130">
        <f>B219</f>
        <v>0</v>
      </c>
      <c r="AG255" s="47"/>
      <c r="AH255" s="47"/>
      <c r="AJ255"/>
    </row>
    <row r="256" spans="1:36" x14ac:dyDescent="0.25">
      <c r="A256" s="88" t="str">
        <f>A223</f>
        <v>KGA</v>
      </c>
      <c r="B256" s="88" t="str">
        <f>IF(B223&lt;100,"",B223-520)</f>
        <v/>
      </c>
      <c r="C256" s="88" t="str">
        <f t="shared" ref="C256:AF256" si="38">IF(C223&lt;100,"",C223-520)</f>
        <v/>
      </c>
      <c r="D256" s="88" t="str">
        <f t="shared" si="38"/>
        <v/>
      </c>
      <c r="E256" s="88" t="str">
        <f t="shared" si="38"/>
        <v/>
      </c>
      <c r="F256" s="88" t="str">
        <f t="shared" si="38"/>
        <v/>
      </c>
      <c r="G256" s="88" t="str">
        <f t="shared" si="38"/>
        <v/>
      </c>
      <c r="H256" s="88" t="str">
        <f t="shared" si="38"/>
        <v/>
      </c>
      <c r="I256" s="88" t="str">
        <f t="shared" si="38"/>
        <v/>
      </c>
      <c r="J256" s="88" t="str">
        <f t="shared" si="38"/>
        <v/>
      </c>
      <c r="K256" s="88" t="str">
        <f t="shared" si="38"/>
        <v/>
      </c>
      <c r="L256" s="88" t="str">
        <f t="shared" si="38"/>
        <v/>
      </c>
      <c r="M256" s="88" t="str">
        <f t="shared" si="38"/>
        <v/>
      </c>
      <c r="N256" s="88" t="str">
        <f t="shared" si="38"/>
        <v/>
      </c>
      <c r="O256" s="88" t="str">
        <f t="shared" si="38"/>
        <v/>
      </c>
      <c r="P256" s="88" t="str">
        <f t="shared" si="38"/>
        <v/>
      </c>
      <c r="Q256" s="88" t="str">
        <f t="shared" si="38"/>
        <v/>
      </c>
      <c r="R256" s="88" t="str">
        <f t="shared" si="38"/>
        <v/>
      </c>
      <c r="S256" s="88" t="str">
        <f t="shared" si="38"/>
        <v/>
      </c>
      <c r="T256" s="88" t="str">
        <f t="shared" si="38"/>
        <v/>
      </c>
      <c r="U256" s="88" t="str">
        <f t="shared" si="38"/>
        <v/>
      </c>
      <c r="V256" s="88" t="str">
        <f t="shared" si="38"/>
        <v/>
      </c>
      <c r="W256" s="88" t="str">
        <f t="shared" si="38"/>
        <v/>
      </c>
      <c r="X256" s="88" t="str">
        <f t="shared" si="38"/>
        <v/>
      </c>
      <c r="Y256" s="88" t="str">
        <f t="shared" si="38"/>
        <v/>
      </c>
      <c r="Z256" s="88" t="str">
        <f t="shared" si="38"/>
        <v/>
      </c>
      <c r="AA256" s="88" t="str">
        <f t="shared" si="38"/>
        <v/>
      </c>
      <c r="AB256" s="88" t="str">
        <f t="shared" si="38"/>
        <v/>
      </c>
      <c r="AC256" s="88" t="str">
        <f t="shared" si="38"/>
        <v/>
      </c>
      <c r="AD256" s="88" t="str">
        <f t="shared" si="38"/>
        <v/>
      </c>
      <c r="AE256" s="88" t="str">
        <f t="shared" si="38"/>
        <v/>
      </c>
      <c r="AF256" s="88" t="str">
        <f t="shared" si="38"/>
        <v/>
      </c>
      <c r="AG256" s="47"/>
      <c r="AH256" s="47"/>
      <c r="AJ256"/>
    </row>
    <row r="257" spans="1:36" x14ac:dyDescent="0.25">
      <c r="A257" s="88" t="str">
        <f>A224</f>
        <v>MMRS</v>
      </c>
      <c r="B257" s="88" t="str">
        <f t="shared" ref="B257:AF257" si="39">IF(B224&lt;100,"",B224-620)</f>
        <v/>
      </c>
      <c r="C257" s="88" t="str">
        <f t="shared" si="39"/>
        <v/>
      </c>
      <c r="D257" s="88" t="str">
        <f t="shared" si="39"/>
        <v/>
      </c>
      <c r="E257" s="88" t="str">
        <f t="shared" si="39"/>
        <v/>
      </c>
      <c r="F257" s="88" t="str">
        <f t="shared" si="39"/>
        <v/>
      </c>
      <c r="G257" s="88" t="str">
        <f t="shared" si="39"/>
        <v/>
      </c>
      <c r="H257" s="88" t="str">
        <f t="shared" si="39"/>
        <v/>
      </c>
      <c r="I257" s="88" t="str">
        <f t="shared" si="39"/>
        <v/>
      </c>
      <c r="J257" s="88" t="str">
        <f t="shared" si="39"/>
        <v/>
      </c>
      <c r="K257" s="88" t="str">
        <f t="shared" si="39"/>
        <v/>
      </c>
      <c r="L257" s="88" t="str">
        <f t="shared" si="39"/>
        <v/>
      </c>
      <c r="M257" s="88" t="str">
        <f t="shared" si="39"/>
        <v/>
      </c>
      <c r="N257" s="88" t="str">
        <f t="shared" si="39"/>
        <v/>
      </c>
      <c r="O257" s="88" t="str">
        <f t="shared" si="39"/>
        <v/>
      </c>
      <c r="P257" s="88" t="str">
        <f t="shared" si="39"/>
        <v/>
      </c>
      <c r="Q257" s="88" t="str">
        <f t="shared" si="39"/>
        <v/>
      </c>
      <c r="R257" s="88" t="str">
        <f t="shared" si="39"/>
        <v/>
      </c>
      <c r="S257" s="88" t="str">
        <f t="shared" si="39"/>
        <v/>
      </c>
      <c r="T257" s="88" t="str">
        <f t="shared" si="39"/>
        <v/>
      </c>
      <c r="U257" s="88" t="str">
        <f t="shared" si="39"/>
        <v/>
      </c>
      <c r="V257" s="88" t="str">
        <f t="shared" si="39"/>
        <v/>
      </c>
      <c r="W257" s="88" t="str">
        <f t="shared" si="39"/>
        <v/>
      </c>
      <c r="X257" s="88" t="str">
        <f t="shared" si="39"/>
        <v/>
      </c>
      <c r="Y257" s="88" t="str">
        <f t="shared" si="39"/>
        <v/>
      </c>
      <c r="Z257" s="88" t="str">
        <f t="shared" si="39"/>
        <v/>
      </c>
      <c r="AA257" s="88" t="str">
        <f t="shared" si="39"/>
        <v/>
      </c>
      <c r="AB257" s="88" t="str">
        <f t="shared" si="39"/>
        <v/>
      </c>
      <c r="AC257" s="88" t="str">
        <f t="shared" si="39"/>
        <v/>
      </c>
      <c r="AD257" s="88" t="str">
        <f t="shared" si="39"/>
        <v/>
      </c>
      <c r="AE257" s="88" t="str">
        <f t="shared" si="39"/>
        <v/>
      </c>
      <c r="AF257" s="88" t="str">
        <f t="shared" si="39"/>
        <v/>
      </c>
      <c r="AG257" s="47"/>
      <c r="AH257" s="47"/>
      <c r="AJ257"/>
    </row>
    <row r="258" spans="1:36" x14ac:dyDescent="0.25">
      <c r="A258" s="88" t="str">
        <f>A225</f>
        <v>MRS</v>
      </c>
      <c r="B258" s="88" t="str">
        <f t="shared" ref="B258:AF258" si="40">IF(B225&lt;100,"",B225-330)</f>
        <v/>
      </c>
      <c r="C258" s="88" t="str">
        <f t="shared" si="40"/>
        <v/>
      </c>
      <c r="D258" s="88" t="str">
        <f t="shared" si="40"/>
        <v/>
      </c>
      <c r="E258" s="88" t="str">
        <f t="shared" si="40"/>
        <v/>
      </c>
      <c r="F258" s="88" t="str">
        <f t="shared" si="40"/>
        <v/>
      </c>
      <c r="G258" s="88" t="str">
        <f t="shared" si="40"/>
        <v/>
      </c>
      <c r="H258" s="88" t="str">
        <f t="shared" si="40"/>
        <v/>
      </c>
      <c r="I258" s="88" t="str">
        <f t="shared" si="40"/>
        <v/>
      </c>
      <c r="J258" s="88" t="str">
        <f t="shared" si="40"/>
        <v/>
      </c>
      <c r="K258" s="88" t="str">
        <f t="shared" si="40"/>
        <v/>
      </c>
      <c r="L258" s="88" t="str">
        <f t="shared" si="40"/>
        <v/>
      </c>
      <c r="M258" s="88" t="str">
        <f t="shared" si="40"/>
        <v/>
      </c>
      <c r="N258" s="88" t="str">
        <f t="shared" si="40"/>
        <v/>
      </c>
      <c r="O258" s="88" t="str">
        <f t="shared" si="40"/>
        <v/>
      </c>
      <c r="P258" s="88" t="str">
        <f t="shared" si="40"/>
        <v/>
      </c>
      <c r="Q258" s="88" t="str">
        <f t="shared" si="40"/>
        <v/>
      </c>
      <c r="R258" s="88" t="str">
        <f t="shared" si="40"/>
        <v/>
      </c>
      <c r="S258" s="88" t="str">
        <f t="shared" si="40"/>
        <v/>
      </c>
      <c r="T258" s="88" t="str">
        <f t="shared" si="40"/>
        <v/>
      </c>
      <c r="U258" s="88" t="str">
        <f t="shared" si="40"/>
        <v/>
      </c>
      <c r="V258" s="88" t="str">
        <f t="shared" si="40"/>
        <v/>
      </c>
      <c r="W258" s="88" t="str">
        <f t="shared" si="40"/>
        <v/>
      </c>
      <c r="X258" s="88" t="str">
        <f t="shared" si="40"/>
        <v/>
      </c>
      <c r="Y258" s="88" t="str">
        <f t="shared" si="40"/>
        <v/>
      </c>
      <c r="Z258" s="88" t="str">
        <f t="shared" si="40"/>
        <v/>
      </c>
      <c r="AA258" s="88" t="str">
        <f t="shared" si="40"/>
        <v/>
      </c>
      <c r="AB258" s="88" t="str">
        <f t="shared" si="40"/>
        <v/>
      </c>
      <c r="AC258" s="88" t="str">
        <f t="shared" si="40"/>
        <v/>
      </c>
      <c r="AD258" s="88" t="str">
        <f t="shared" si="40"/>
        <v/>
      </c>
      <c r="AE258" s="88" t="str">
        <f t="shared" si="40"/>
        <v/>
      </c>
      <c r="AF258" s="88" t="str">
        <f t="shared" si="40"/>
        <v/>
      </c>
      <c r="AG258" s="47"/>
      <c r="AH258" s="47"/>
      <c r="AJ258"/>
    </row>
    <row r="259" spans="1:36" x14ac:dyDescent="0.25">
      <c r="A259" s="88" t="str">
        <f>A226</f>
        <v>KL 1</v>
      </c>
      <c r="B259" s="88" t="str">
        <f>IF(B226&lt;100,"",B226-1500)</f>
        <v/>
      </c>
      <c r="C259" s="88" t="str">
        <f t="shared" ref="C259:AF259" si="41">IF(C226&lt;100,"",C226-1500)</f>
        <v/>
      </c>
      <c r="D259" s="88" t="str">
        <f t="shared" si="41"/>
        <v/>
      </c>
      <c r="E259" s="88" t="str">
        <f t="shared" si="41"/>
        <v/>
      </c>
      <c r="F259" s="88" t="str">
        <f t="shared" si="41"/>
        <v/>
      </c>
      <c r="G259" s="88" t="str">
        <f t="shared" si="41"/>
        <v/>
      </c>
      <c r="H259" s="88" t="str">
        <f t="shared" si="41"/>
        <v/>
      </c>
      <c r="I259" s="88" t="str">
        <f t="shared" si="41"/>
        <v/>
      </c>
      <c r="J259" s="88" t="str">
        <f t="shared" si="41"/>
        <v/>
      </c>
      <c r="K259" s="88" t="str">
        <f t="shared" si="41"/>
        <v/>
      </c>
      <c r="L259" s="88" t="str">
        <f t="shared" si="41"/>
        <v/>
      </c>
      <c r="M259" s="88" t="str">
        <f t="shared" si="41"/>
        <v/>
      </c>
      <c r="N259" s="88" t="str">
        <f t="shared" si="41"/>
        <v/>
      </c>
      <c r="O259" s="88" t="str">
        <f t="shared" si="41"/>
        <v/>
      </c>
      <c r="P259" s="88" t="str">
        <f t="shared" si="41"/>
        <v/>
      </c>
      <c r="Q259" s="88" t="str">
        <f t="shared" si="41"/>
        <v/>
      </c>
      <c r="R259" s="88" t="str">
        <f t="shared" si="41"/>
        <v/>
      </c>
      <c r="S259" s="88" t="str">
        <f t="shared" si="41"/>
        <v/>
      </c>
      <c r="T259" s="88" t="str">
        <f t="shared" si="41"/>
        <v/>
      </c>
      <c r="U259" s="88" t="str">
        <f t="shared" si="41"/>
        <v/>
      </c>
      <c r="V259" s="88" t="str">
        <f t="shared" si="41"/>
        <v/>
      </c>
      <c r="W259" s="88" t="str">
        <f t="shared" si="41"/>
        <v/>
      </c>
      <c r="X259" s="88" t="str">
        <f t="shared" si="41"/>
        <v/>
      </c>
      <c r="Y259" s="88" t="str">
        <f t="shared" si="41"/>
        <v/>
      </c>
      <c r="Z259" s="88" t="str">
        <f t="shared" si="41"/>
        <v/>
      </c>
      <c r="AA259" s="88" t="str">
        <f t="shared" si="41"/>
        <v/>
      </c>
      <c r="AB259" s="88" t="str">
        <f t="shared" si="41"/>
        <v/>
      </c>
      <c r="AC259" s="88" t="str">
        <f t="shared" si="41"/>
        <v/>
      </c>
      <c r="AD259" s="88" t="str">
        <f t="shared" si="41"/>
        <v/>
      </c>
      <c r="AE259" s="88" t="str">
        <f t="shared" si="41"/>
        <v/>
      </c>
      <c r="AF259" s="88" t="str">
        <f t="shared" si="41"/>
        <v/>
      </c>
      <c r="AG259" s="47"/>
      <c r="AH259" s="47"/>
      <c r="AJ259"/>
    </row>
    <row r="260" spans="1:36" x14ac:dyDescent="0.25"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J260"/>
    </row>
    <row r="261" spans="1:36" x14ac:dyDescent="0.25"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J261"/>
    </row>
    <row r="262" spans="1:36" x14ac:dyDescent="0.25"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J262"/>
    </row>
    <row r="263" spans="1:36" x14ac:dyDescent="0.25"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J263"/>
    </row>
    <row r="264" spans="1:36" x14ac:dyDescent="0.25"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J264"/>
    </row>
    <row r="265" spans="1:36" x14ac:dyDescent="0.25"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J265"/>
    </row>
    <row r="266" spans="1:36" x14ac:dyDescent="0.25"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J266"/>
    </row>
    <row r="490" spans="36:38" x14ac:dyDescent="0.25">
      <c r="AK490" s="1"/>
    </row>
    <row r="491" spans="36:38" x14ac:dyDescent="0.25">
      <c r="AK491" s="1"/>
      <c r="AL491" s="1"/>
    </row>
    <row r="492" spans="36:38" x14ac:dyDescent="0.25">
      <c r="AJ492"/>
    </row>
  </sheetData>
  <mergeCells count="48">
    <mergeCell ref="A231:B23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D214:AF220 B214:B220 B212:AF212 U233:AF233 B9:AF10 C99:AF105 AB11:AF11">
    <cfRule type="expression" dxfId="5502" priority="228">
      <formula>B$9&gt;=20/24</formula>
    </cfRule>
    <cfRule type="expression" dxfId="5501" priority="229">
      <formula>AND(B$9&gt;=14/24,B$9&lt;20/24)</formula>
    </cfRule>
    <cfRule type="expression" dxfId="5500" priority="230">
      <formula>AND(B$9&gt;=8/24,B$9&lt;14/24)</formula>
    </cfRule>
    <cfRule type="expression" dxfId="5499" priority="231">
      <formula>B$9&lt;8/24</formula>
    </cfRule>
  </conditionalFormatting>
  <conditionalFormatting sqref="AL4:AL6">
    <cfRule type="iconSet" priority="227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5498" priority="223">
      <formula>S$9&gt;=20/24</formula>
    </cfRule>
    <cfRule type="expression" dxfId="5497" priority="224">
      <formula>AND(S$9&gt;=14/24,S$9&lt;20/24)</formula>
    </cfRule>
    <cfRule type="expression" dxfId="5496" priority="225">
      <formula>AND(S$9&gt;=8/24,S$9&lt;14/24)</formula>
    </cfRule>
    <cfRule type="expression" dxfId="5495" priority="226">
      <formula>S$9&lt;8/24</formula>
    </cfRule>
  </conditionalFormatting>
  <conditionalFormatting sqref="AG55 B12:L16 V15 M16:V16 M11:AA11 W15:AA16 AB11:AF16 S37:AF37 B35:AF35">
    <cfRule type="expression" dxfId="5494" priority="222">
      <formula>B11&gt;$AG11</formula>
    </cfRule>
  </conditionalFormatting>
  <conditionalFormatting sqref="A89:A102 A11:A14 A49:A76 A85:A87 A190:A220 A16:A30 A36:A47 A106:A177 A32:A33 A81:A83 A78:A79">
    <cfRule type="expression" dxfId="5493" priority="221">
      <formula>$AH11=0</formula>
    </cfRule>
  </conditionalFormatting>
  <conditionalFormatting sqref="A103">
    <cfRule type="expression" dxfId="5492" priority="220">
      <formula>$AH103=0</formula>
    </cfRule>
  </conditionalFormatting>
  <conditionalFormatting sqref="AL33">
    <cfRule type="iconSet" priority="219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5491" priority="218">
      <formula>$AH35=0</formula>
    </cfRule>
  </conditionalFormatting>
  <conditionalFormatting sqref="A88">
    <cfRule type="expression" dxfId="5490" priority="217">
      <formula>$AH88=0</formula>
    </cfRule>
  </conditionalFormatting>
  <conditionalFormatting sqref="A15">
    <cfRule type="expression" dxfId="5489" priority="216">
      <formula>$AH15=0</formula>
    </cfRule>
  </conditionalFormatting>
  <conditionalFormatting sqref="A184:A189">
    <cfRule type="expression" dxfId="5488" priority="215">
      <formula>$AH184=0</formula>
    </cfRule>
  </conditionalFormatting>
  <conditionalFormatting sqref="A178:A183">
    <cfRule type="expression" dxfId="5487" priority="214">
      <formula>$AH178=0</formula>
    </cfRule>
  </conditionalFormatting>
  <conditionalFormatting sqref="A48">
    <cfRule type="expression" dxfId="5486" priority="213">
      <formula>$AH48=0</formula>
    </cfRule>
  </conditionalFormatting>
  <conditionalFormatting sqref="A84">
    <cfRule type="expression" dxfId="5485" priority="212">
      <formula>$AH84=0</formula>
    </cfRule>
  </conditionalFormatting>
  <conditionalFormatting sqref="C89:AF89">
    <cfRule type="expression" dxfId="5484" priority="208">
      <formula>C$9&gt;=20/24</formula>
    </cfRule>
    <cfRule type="expression" dxfId="5483" priority="209">
      <formula>AND(C$9&gt;=14/24,C$9&lt;20/24)</formula>
    </cfRule>
    <cfRule type="expression" dxfId="5482" priority="210">
      <formula>AND(C$9&gt;=8/24,C$9&lt;14/24)</formula>
    </cfRule>
    <cfRule type="expression" dxfId="5481" priority="211">
      <formula>C$9&lt;8/24</formula>
    </cfRule>
  </conditionalFormatting>
  <conditionalFormatting sqref="AL34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480" priority="234">
      <formula>C$9&gt;=20/24</formula>
    </cfRule>
    <cfRule type="expression" dxfId="5479" priority="235">
      <formula>AND(C$9&gt;=14/24,C$9&lt;20/24)</formula>
    </cfRule>
    <cfRule type="expression" dxfId="5478" priority="236">
      <formula>AND(C$9&gt;=8/24,C$9&lt;14/24)</formula>
    </cfRule>
    <cfRule type="expression" dxfId="5477" priority="237">
      <formula>C$9&lt;8/24</formula>
    </cfRule>
  </conditionalFormatting>
  <conditionalFormatting sqref="A221">
    <cfRule type="expression" dxfId="5476" priority="238">
      <formula>$AH221=0</formula>
    </cfRule>
  </conditionalFormatting>
  <conditionalFormatting sqref="AG233">
    <cfRule type="expression" dxfId="5475" priority="239">
      <formula>B$9&gt;=20/24</formula>
    </cfRule>
    <cfRule type="expression" dxfId="5474" priority="240">
      <formula>AND(B$9&gt;=14/24,B$9&lt;20/24)</formula>
    </cfRule>
    <cfRule type="expression" dxfId="5473" priority="241">
      <formula>AND(B$9&gt;=8/24,B$9&lt;14/24)</formula>
    </cfRule>
    <cfRule type="expression" dxfId="5472" priority="242">
      <formula>B$9&lt;8/24</formula>
    </cfRule>
  </conditionalFormatting>
  <conditionalFormatting sqref="S8">
    <cfRule type="expression" dxfId="5471" priority="203">
      <formula>U$9&gt;=20/24</formula>
    </cfRule>
    <cfRule type="expression" dxfId="5470" priority="204">
      <formula>AND(U$9&gt;=14/24,U$9&lt;20/24)</formula>
    </cfRule>
    <cfRule type="expression" dxfId="5469" priority="205">
      <formula>AND(U$9&gt;=8/24,U$9&lt;14/24)</formula>
    </cfRule>
    <cfRule type="expression" dxfId="5468" priority="206">
      <formula>U$9&lt;8/24</formula>
    </cfRule>
  </conditionalFormatting>
  <conditionalFormatting sqref="AB8">
    <cfRule type="expression" dxfId="5467" priority="199">
      <formula>AD$9&gt;=20/24</formula>
    </cfRule>
    <cfRule type="expression" dxfId="5466" priority="200">
      <formula>AND(AD$9&gt;=14/24,AD$9&lt;20/24)</formula>
    </cfRule>
    <cfRule type="expression" dxfId="5465" priority="201">
      <formula>AND(AD$9&gt;=8/24,AD$9&lt;14/24)</formula>
    </cfRule>
    <cfRule type="expression" dxfId="5464" priority="202">
      <formula>AD$9&lt;8/24</formula>
    </cfRule>
  </conditionalFormatting>
  <conditionalFormatting sqref="AH233:AX233">
    <cfRule type="expression" dxfId="5463" priority="243">
      <formula>AG$9&gt;=20/24</formula>
    </cfRule>
    <cfRule type="expression" dxfId="5462" priority="244">
      <formula>AND(AG$9&gt;=14/24,AG$9&lt;20/24)</formula>
    </cfRule>
    <cfRule type="expression" dxfId="5461" priority="245">
      <formula>AND(AG$9&gt;=8/24,AG$9&lt;14/24)</formula>
    </cfRule>
    <cfRule type="expression" dxfId="5460" priority="246">
      <formula>AG$9&lt;8/24</formula>
    </cfRule>
  </conditionalFormatting>
  <conditionalFormatting sqref="T233">
    <cfRule type="expression" dxfId="5459" priority="247">
      <formula>AX$9&gt;=20/24</formula>
    </cfRule>
    <cfRule type="expression" dxfId="5458" priority="248">
      <formula>AND(AX$9&gt;=14/24,AX$9&lt;20/24)</formula>
    </cfRule>
    <cfRule type="expression" dxfId="5457" priority="249">
      <formula>AND(AX$9&gt;=8/24,AX$9&lt;14/24)</formula>
    </cfRule>
    <cfRule type="expression" dxfId="5456" priority="250">
      <formula>AX$9&lt;8/24</formula>
    </cfRule>
  </conditionalFormatting>
  <conditionalFormatting sqref="A104:A105">
    <cfRule type="expression" dxfId="5455" priority="198">
      <formula>$AH104=0</formula>
    </cfRule>
  </conditionalFormatting>
  <conditionalFormatting sqref="E44:H44 F45:H45 I44:L45 C61:AF61 AB36:AF36">
    <cfRule type="expression" dxfId="5454" priority="194">
      <formula>C$9&gt;=20/24</formula>
    </cfRule>
    <cfRule type="expression" dxfId="5453" priority="195">
      <formula>AND(C$9&gt;=14/24,C$9&lt;20/24)</formula>
    </cfRule>
    <cfRule type="expression" dxfId="5452" priority="196">
      <formula>AND(C$9&gt;=8/24,C$9&lt;14/24)</formula>
    </cfRule>
    <cfRule type="expression" dxfId="5451" priority="197">
      <formula>C$9&lt;8/24</formula>
    </cfRule>
  </conditionalFormatting>
  <conditionalFormatting sqref="E43:L43 U43:AF43">
    <cfRule type="expression" dxfId="5450" priority="190">
      <formula>E$9&gt;=20/24</formula>
    </cfRule>
    <cfRule type="expression" dxfId="5449" priority="191">
      <formula>AND(E$9&gt;=14/24,E$9&lt;20/24)</formula>
    </cfRule>
    <cfRule type="expression" dxfId="5448" priority="192">
      <formula>AND(E$9&gt;=8/24,E$9&lt;14/24)</formula>
    </cfRule>
    <cfRule type="expression" dxfId="5447" priority="193">
      <formula>E$9&lt;8/24</formula>
    </cfRule>
  </conditionalFormatting>
  <conditionalFormatting sqref="E43:H44 F45:H45 I43:L45 AB36:AF36 U43:AF43">
    <cfRule type="expression" dxfId="5446" priority="189">
      <formula>E36&gt;$AG36</formula>
    </cfRule>
  </conditionalFormatting>
  <conditionalFormatting sqref="C86:AF86 C62:M63 M64:M71 C71:L71 C64:L67 M36:R37 M11:AA14 S36:AA36 AB12:AF14 M16:AF16 M28:AF30 M18:AF22 M24:AF26 M32:AF32 K57:AF59 N62:AF71 C73:AF76 C90:AF96">
    <cfRule type="expression" dxfId="5445" priority="185">
      <formula>C$9&gt;=20/24</formula>
    </cfRule>
    <cfRule type="expression" dxfId="5444" priority="186">
      <formula>AND(C$9&gt;=14/24,C$9&lt;20/24)</formula>
    </cfRule>
    <cfRule type="expression" dxfId="5443" priority="187">
      <formula>AND(C$9&gt;=8/24,C$9&lt;14/24)</formula>
    </cfRule>
    <cfRule type="expression" dxfId="5442" priority="188">
      <formula>C$9&lt;8/24</formula>
    </cfRule>
  </conditionalFormatting>
  <conditionalFormatting sqref="M33:AF33">
    <cfRule type="expression" dxfId="5441" priority="181">
      <formula>M$9&gt;=20/24</formula>
    </cfRule>
    <cfRule type="expression" dxfId="5440" priority="182">
      <formula>AND(M$9&gt;=14/24,M$9&lt;20/24)</formula>
    </cfRule>
    <cfRule type="expression" dxfId="5439" priority="183">
      <formula>AND(M$9&gt;=8/24,M$9&lt;14/24)</formula>
    </cfRule>
    <cfRule type="expression" dxfId="5438" priority="184">
      <formula>M$9&lt;8/24</formula>
    </cfRule>
  </conditionalFormatting>
  <conditionalFormatting sqref="C55:AF55 F46:L48 M36:R37 M11:U15 V11:AA14 S36:AA36 M18:AF22 M24:AF30 M32:AF33 K57:AF59">
    <cfRule type="expression" dxfId="5437" priority="180">
      <formula>C11&gt;$AG11</formula>
    </cfRule>
  </conditionalFormatting>
  <conditionalFormatting sqref="M35:AF35">
    <cfRule type="expression" dxfId="5436" priority="176">
      <formula>M$9&gt;=20/24</formula>
    </cfRule>
    <cfRule type="expression" dxfId="5435" priority="177">
      <formula>AND(M$9&gt;=14/24,M$9&lt;20/24)</formula>
    </cfRule>
    <cfRule type="expression" dxfId="5434" priority="178">
      <formula>AND(M$9&gt;=8/24,M$9&lt;14/24)</formula>
    </cfRule>
    <cfRule type="expression" dxfId="5433" priority="179">
      <formula>M$9&lt;8/24</formula>
    </cfRule>
  </conditionalFormatting>
  <conditionalFormatting sqref="M15:AF15">
    <cfRule type="expression" dxfId="5432" priority="172">
      <formula>M$9&gt;=20/24</formula>
    </cfRule>
    <cfRule type="expression" dxfId="5431" priority="173">
      <formula>AND(M$9&gt;=14/24,M$9&lt;20/24)</formula>
    </cfRule>
    <cfRule type="expression" dxfId="5430" priority="174">
      <formula>AND(M$9&gt;=8/24,M$9&lt;14/24)</formula>
    </cfRule>
    <cfRule type="expression" dxfId="5429" priority="175">
      <formula>M$9&lt;8/24</formula>
    </cfRule>
  </conditionalFormatting>
  <conditionalFormatting sqref="M34:AF34">
    <cfRule type="expression" dxfId="5428" priority="168">
      <formula>M$9&gt;=20/24</formula>
    </cfRule>
    <cfRule type="expression" dxfId="5427" priority="169">
      <formula>AND(M$9&gt;=14/24,M$9&lt;20/24)</formula>
    </cfRule>
    <cfRule type="expression" dxfId="5426" priority="170">
      <formula>AND(M$9&gt;=8/24,M$9&lt;14/24)</formula>
    </cfRule>
    <cfRule type="expression" dxfId="5425" priority="171">
      <formula>M$9&lt;8/24</formula>
    </cfRule>
  </conditionalFormatting>
  <conditionalFormatting sqref="M34:AF34">
    <cfRule type="expression" dxfId="5424" priority="167">
      <formula>M34&gt;$AG34</formula>
    </cfRule>
  </conditionalFormatting>
  <conditionalFormatting sqref="M43:T54 U44:AF54">
    <cfRule type="expression" dxfId="5423" priority="154">
      <formula>M$9&gt;=20/24</formula>
    </cfRule>
    <cfRule type="expression" dxfId="5422" priority="155">
      <formula>AND(M$9&gt;=14/24,M$9&lt;20/24)</formula>
    </cfRule>
    <cfRule type="expression" dxfId="5421" priority="156">
      <formula>AND(M$9&gt;=8/24,M$9&lt;14/24)</formula>
    </cfRule>
    <cfRule type="expression" dxfId="5420" priority="157">
      <formula>M$9&lt;8/24</formula>
    </cfRule>
  </conditionalFormatting>
  <conditionalFormatting sqref="M43:T54 U44:AF54">
    <cfRule type="expression" dxfId="5419" priority="153">
      <formula>M43&gt;$AG43</formula>
    </cfRule>
  </conditionalFormatting>
  <conditionalFormatting sqref="M27:AF27">
    <cfRule type="expression" dxfId="5418" priority="149">
      <formula>M$9&gt;=20/24</formula>
    </cfRule>
    <cfRule type="expression" dxfId="5417" priority="150">
      <formula>AND(M$9&gt;=14/24,M$9&lt;20/24)</formula>
    </cfRule>
    <cfRule type="expression" dxfId="5416" priority="151">
      <formula>AND(M$9&gt;=8/24,M$9&lt;14/24)</formula>
    </cfRule>
    <cfRule type="expression" dxfId="5415" priority="152">
      <formula>M$9&lt;8/24</formula>
    </cfRule>
  </conditionalFormatting>
  <conditionalFormatting sqref="M17:AF17 M23:AF23">
    <cfRule type="expression" dxfId="5414" priority="145">
      <formula>M$9&gt;=20/24</formula>
    </cfRule>
    <cfRule type="expression" dxfId="5413" priority="146">
      <formula>AND(M$9&gt;=14/24,M$9&lt;20/24)</formula>
    </cfRule>
    <cfRule type="expression" dxfId="5412" priority="147">
      <formula>AND(M$9&gt;=8/24,M$9&lt;14/24)</formula>
    </cfRule>
    <cfRule type="expression" dxfId="5411" priority="148">
      <formula>M$9&lt;8/24</formula>
    </cfRule>
  </conditionalFormatting>
  <conditionalFormatting sqref="M17:AF17 M23:AF23">
    <cfRule type="expression" dxfId="5410" priority="140">
      <formula>M17&gt;$AG17</formula>
    </cfRule>
  </conditionalFormatting>
  <conditionalFormatting sqref="C68:L70">
    <cfRule type="expression" dxfId="5409" priority="114">
      <formula>C$9&gt;=20/24</formula>
    </cfRule>
    <cfRule type="expression" dxfId="5408" priority="115">
      <formula>AND(C$9&gt;=14/24,C$9&lt;20/24)</formula>
    </cfRule>
    <cfRule type="expression" dxfId="5407" priority="116">
      <formula>AND(C$9&gt;=8/24,C$9&lt;14/24)</formula>
    </cfRule>
    <cfRule type="expression" dxfId="5406" priority="117">
      <formula>C$9&lt;8/24</formula>
    </cfRule>
  </conditionalFormatting>
  <conditionalFormatting sqref="J49:K51 F49:I49 K52:K54 L49:L54">
    <cfRule type="expression" dxfId="5405" priority="109">
      <formula>F$9&gt;=20/24</formula>
    </cfRule>
    <cfRule type="expression" dxfId="5404" priority="110">
      <formula>AND(F$9&gt;=14/24,F$9&lt;20/24)</formula>
    </cfRule>
    <cfRule type="expression" dxfId="5403" priority="111">
      <formula>AND(F$9&gt;=8/24,F$9&lt;14/24)</formula>
    </cfRule>
    <cfRule type="expression" dxfId="5402" priority="112">
      <formula>F$9&lt;8/24</formula>
    </cfRule>
  </conditionalFormatting>
  <conditionalFormatting sqref="J49:K51 F49:I49 K52:K54 L49:L54">
    <cfRule type="expression" dxfId="5401" priority="108">
      <formula>F49&gt;$AG49</formula>
    </cfRule>
  </conditionalFormatting>
  <conditionalFormatting sqref="B99:B105 B78:AF78 B87:AF87 B11:L11">
    <cfRule type="expression" dxfId="5400" priority="95">
      <formula>B$9&gt;=20/24</formula>
    </cfRule>
    <cfRule type="expression" dxfId="5399" priority="96">
      <formula>AND(B$9&gt;=14/24,B$9&lt;20/24)</formula>
    </cfRule>
    <cfRule type="expression" dxfId="5398" priority="97">
      <formula>AND(B$9&gt;=8/24,B$9&lt;14/24)</formula>
    </cfRule>
    <cfRule type="expression" dxfId="5397" priority="98">
      <formula>B$9&lt;8/24</formula>
    </cfRule>
  </conditionalFormatting>
  <conditionalFormatting sqref="B37:L37">
    <cfRule type="expression" dxfId="5396" priority="91">
      <formula>B$9&gt;=20/24</formula>
    </cfRule>
    <cfRule type="expression" dxfId="5395" priority="92">
      <formula>AND(B$9&gt;=14/24,B$9&lt;20/24)</formula>
    </cfRule>
    <cfRule type="expression" dxfId="5394" priority="93">
      <formula>AND(B$9&gt;=8/24,B$9&lt;14/24)</formula>
    </cfRule>
    <cfRule type="expression" dxfId="5393" priority="94">
      <formula>B$9&lt;8/24</formula>
    </cfRule>
  </conditionalFormatting>
  <conditionalFormatting sqref="B37:L37 B11:L11">
    <cfRule type="expression" dxfId="5392" priority="90">
      <formula>B11&gt;$AG11</formula>
    </cfRule>
  </conditionalFormatting>
  <conditionalFormatting sqref="B89">
    <cfRule type="expression" dxfId="5391" priority="86">
      <formula>B$9&gt;=20/24</formula>
    </cfRule>
    <cfRule type="expression" dxfId="5390" priority="87">
      <formula>AND(B$9&gt;=14/24,B$9&lt;20/24)</formula>
    </cfRule>
    <cfRule type="expression" dxfId="5389" priority="88">
      <formula>AND(B$9&gt;=8/24,B$9&lt;14/24)</formula>
    </cfRule>
    <cfRule type="expression" dxfId="5388" priority="89">
      <formula>B$9&lt;8/24</formula>
    </cfRule>
  </conditionalFormatting>
  <conditionalFormatting sqref="B61 B44:D45 E45 B36:L36">
    <cfRule type="expression" dxfId="5387" priority="82">
      <formula>B$9&gt;=20/24</formula>
    </cfRule>
    <cfRule type="expression" dxfId="5386" priority="83">
      <formula>AND(B$9&gt;=14/24,B$9&lt;20/24)</formula>
    </cfRule>
    <cfRule type="expression" dxfId="5385" priority="84">
      <formula>AND(B$9&gt;=8/24,B$9&lt;14/24)</formula>
    </cfRule>
    <cfRule type="expression" dxfId="5384" priority="85">
      <formula>B$9&lt;8/24</formula>
    </cfRule>
  </conditionalFormatting>
  <conditionalFormatting sqref="B43:D43">
    <cfRule type="expression" dxfId="5383" priority="78">
      <formula>B$9&gt;=20/24</formula>
    </cfRule>
    <cfRule type="expression" dxfId="5382" priority="79">
      <formula>AND(B$9&gt;=14/24,B$9&lt;20/24)</formula>
    </cfRule>
    <cfRule type="expression" dxfId="5381" priority="80">
      <formula>AND(B$9&gt;=8/24,B$9&lt;14/24)</formula>
    </cfRule>
    <cfRule type="expression" dxfId="5380" priority="81">
      <formula>B$9&lt;8/24</formula>
    </cfRule>
  </conditionalFormatting>
  <conditionalFormatting sqref="B43:D45 E45 B36:L36">
    <cfRule type="expression" dxfId="5379" priority="77">
      <formula>B36&gt;$AG36</formula>
    </cfRule>
  </conditionalFormatting>
  <conditionalFormatting sqref="B90:B96 B57:B60 B62:B71 B73:B77 B79:AF79 B86 C60:AG60 C77:AG77 B88:AF88 C57:J59 B12:L14 B16:L16 B28:L30 B18:L22 B24:L26 B32:L32">
    <cfRule type="expression" dxfId="5378" priority="73">
      <formula>B$9&gt;=20/24</formula>
    </cfRule>
    <cfRule type="expression" dxfId="5377" priority="74">
      <formula>AND(B$9&gt;=14/24,B$9&lt;20/24)</formula>
    </cfRule>
    <cfRule type="expression" dxfId="5376" priority="75">
      <formula>AND(B$9&gt;=8/24,B$9&lt;14/24)</formula>
    </cfRule>
    <cfRule type="expression" dxfId="5375" priority="76">
      <formula>B$9&lt;8/24</formula>
    </cfRule>
  </conditionalFormatting>
  <conditionalFormatting sqref="B33:L33">
    <cfRule type="expression" dxfId="5374" priority="69">
      <formula>B$9&gt;=20/24</formula>
    </cfRule>
    <cfRule type="expression" dxfId="5373" priority="70">
      <formula>AND(B$9&gt;=14/24,B$9&lt;20/24)</formula>
    </cfRule>
    <cfRule type="expression" dxfId="5372" priority="71">
      <formula>AND(B$9&gt;=8/24,B$9&lt;14/24)</formula>
    </cfRule>
    <cfRule type="expression" dxfId="5371" priority="72">
      <formula>B$9&lt;8/24</formula>
    </cfRule>
  </conditionalFormatting>
  <conditionalFormatting sqref="B55:B60 B38:AG38 C56:AG56 C60:AG60 B46:E47 C57:J59 B18:L22 B24:L30 B32:L33">
    <cfRule type="expression" dxfId="5370" priority="68">
      <formula>B18&gt;$AG18</formula>
    </cfRule>
  </conditionalFormatting>
  <conditionalFormatting sqref="B35:L35">
    <cfRule type="expression" dxfId="5369" priority="64">
      <formula>B$9&gt;=20/24</formula>
    </cfRule>
    <cfRule type="expression" dxfId="5368" priority="65">
      <formula>AND(B$9&gt;=14/24,B$9&lt;20/24)</formula>
    </cfRule>
    <cfRule type="expression" dxfId="5367" priority="66">
      <formula>AND(B$9&gt;=8/24,B$9&lt;14/24)</formula>
    </cfRule>
    <cfRule type="expression" dxfId="5366" priority="67">
      <formula>B$9&lt;8/24</formula>
    </cfRule>
  </conditionalFormatting>
  <conditionalFormatting sqref="B15:L15">
    <cfRule type="expression" dxfId="5365" priority="60">
      <formula>B$9&gt;=20/24</formula>
    </cfRule>
    <cfRule type="expression" dxfId="5364" priority="61">
      <formula>AND(B$9&gt;=14/24,B$9&lt;20/24)</formula>
    </cfRule>
    <cfRule type="expression" dxfId="5363" priority="62">
      <formula>AND(B$9&gt;=8/24,B$9&lt;14/24)</formula>
    </cfRule>
    <cfRule type="expression" dxfId="5362" priority="63">
      <formula>B$9&lt;8/24</formula>
    </cfRule>
  </conditionalFormatting>
  <conditionalFormatting sqref="B34:L34">
    <cfRule type="expression" dxfId="5361" priority="56">
      <formula>B$9&gt;=20/24</formula>
    </cfRule>
    <cfRule type="expression" dxfId="5360" priority="57">
      <formula>AND(B$9&gt;=14/24,B$9&lt;20/24)</formula>
    </cfRule>
    <cfRule type="expression" dxfId="5359" priority="58">
      <formula>AND(B$9&gt;=8/24,B$9&lt;14/24)</formula>
    </cfRule>
    <cfRule type="expression" dxfId="5358" priority="59">
      <formula>B$9&lt;8/24</formula>
    </cfRule>
  </conditionalFormatting>
  <conditionalFormatting sqref="B34:L34">
    <cfRule type="expression" dxfId="5357" priority="55">
      <formula>B34&gt;$AG34</formula>
    </cfRule>
  </conditionalFormatting>
  <conditionalFormatting sqref="B48:E54 F50:I54 J52:J54">
    <cfRule type="expression" dxfId="5356" priority="51">
      <formula>B$9&gt;=20/24</formula>
    </cfRule>
    <cfRule type="expression" dxfId="5355" priority="52">
      <formula>AND(B$9&gt;=14/24,B$9&lt;20/24)</formula>
    </cfRule>
    <cfRule type="expression" dxfId="5354" priority="53">
      <formula>AND(B$9&gt;=8/24,B$9&lt;14/24)</formula>
    </cfRule>
    <cfRule type="expression" dxfId="5353" priority="54">
      <formula>B$9&lt;8/24</formula>
    </cfRule>
  </conditionalFormatting>
  <conditionalFormatting sqref="B48:E54 F50:I54 J52:J54">
    <cfRule type="expression" dxfId="5352" priority="50">
      <formula>B48&gt;$AG48</formula>
    </cfRule>
  </conditionalFormatting>
  <conditionalFormatting sqref="B27:L27">
    <cfRule type="expression" dxfId="5351" priority="46">
      <formula>B$9&gt;=20/24</formula>
    </cfRule>
    <cfRule type="expression" dxfId="5350" priority="47">
      <formula>AND(B$9&gt;=14/24,B$9&lt;20/24)</formula>
    </cfRule>
    <cfRule type="expression" dxfId="5349" priority="48">
      <formula>AND(B$9&gt;=8/24,B$9&lt;14/24)</formula>
    </cfRule>
    <cfRule type="expression" dxfId="5348" priority="49">
      <formula>B$9&lt;8/24</formula>
    </cfRule>
  </conditionalFormatting>
  <conditionalFormatting sqref="B17:L17 B23:L23">
    <cfRule type="expression" dxfId="5347" priority="42">
      <formula>B$9&gt;=20/24</formula>
    </cfRule>
    <cfRule type="expression" dxfId="5346" priority="43">
      <formula>AND(B$9&gt;=14/24,B$9&lt;20/24)</formula>
    </cfRule>
    <cfRule type="expression" dxfId="5345" priority="44">
      <formula>AND(B$9&gt;=8/24,B$9&lt;14/24)</formula>
    </cfRule>
    <cfRule type="expression" dxfId="5344" priority="45">
      <formula>B$9&lt;8/24</formula>
    </cfRule>
  </conditionalFormatting>
  <conditionalFormatting sqref="B17:L17 B23:L23">
    <cfRule type="expression" dxfId="5343" priority="41">
      <formula>B17&gt;$AG17</formula>
    </cfRule>
  </conditionalFormatting>
  <conditionalFormatting sqref="A34">
    <cfRule type="expression" dxfId="5342" priority="40">
      <formula>$AH34=0</formula>
    </cfRule>
  </conditionalFormatting>
  <conditionalFormatting sqref="B72:AF72">
    <cfRule type="expression" dxfId="5341" priority="36">
      <formula>B$9&gt;=20/24</formula>
    </cfRule>
    <cfRule type="expression" dxfId="5340" priority="37">
      <formula>AND(B$9&gt;=14/24,B$9&lt;20/24)</formula>
    </cfRule>
    <cfRule type="expression" dxfId="5339" priority="38">
      <formula>AND(B$9&gt;=8/24,B$9&lt;14/24)</formula>
    </cfRule>
    <cfRule type="expression" dxfId="5338" priority="39">
      <formula>B$9&lt;8/24</formula>
    </cfRule>
  </conditionalFormatting>
  <conditionalFormatting sqref="B81:AF85">
    <cfRule type="expression" dxfId="5337" priority="32">
      <formula>B$9&gt;=20/24</formula>
    </cfRule>
    <cfRule type="expression" dxfId="5336" priority="33">
      <formula>AND(B$9&gt;=14/24,B$9&lt;20/24)</formula>
    </cfRule>
    <cfRule type="expression" dxfId="5335" priority="34">
      <formula>AND(B$9&gt;=8/24,B$9&lt;14/24)</formula>
    </cfRule>
    <cfRule type="expression" dxfId="5334" priority="35">
      <formula>B$9&lt;8/24</formula>
    </cfRule>
  </conditionalFormatting>
  <conditionalFormatting sqref="AL35 AL7:AL30 AL32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M39:AF41">
    <cfRule type="expression" dxfId="5333" priority="28">
      <formula>M$9&gt;=20/24</formula>
    </cfRule>
    <cfRule type="expression" dxfId="5332" priority="29">
      <formula>AND(M$9&gt;=14/24,M$9&lt;20/24)</formula>
    </cfRule>
    <cfRule type="expression" dxfId="5331" priority="30">
      <formula>AND(M$9&gt;=8/24,M$9&lt;14/24)</formula>
    </cfRule>
    <cfRule type="expression" dxfId="5330" priority="31">
      <formula>M$9&lt;8/24</formula>
    </cfRule>
  </conditionalFormatting>
  <conditionalFormatting sqref="M39:AF41">
    <cfRule type="expression" dxfId="5329" priority="27">
      <formula>M39&gt;$AG39</formula>
    </cfRule>
  </conditionalFormatting>
  <conditionalFormatting sqref="B39:B42 C42:AG42 C39:L41">
    <cfRule type="expression" dxfId="5328" priority="23">
      <formula>B$9&gt;=20/24</formula>
    </cfRule>
    <cfRule type="expression" dxfId="5327" priority="24">
      <formula>AND(B$9&gt;=14/24,B$9&lt;20/24)</formula>
    </cfRule>
    <cfRule type="expression" dxfId="5326" priority="25">
      <formula>AND(B$9&gt;=8/24,B$9&lt;14/24)</formula>
    </cfRule>
    <cfRule type="expression" dxfId="5325" priority="26">
      <formula>B$9&lt;8/24</formula>
    </cfRule>
  </conditionalFormatting>
  <conditionalFormatting sqref="B39:B42 C42:AG42 C39:L41">
    <cfRule type="expression" dxfId="5324" priority="22">
      <formula>B39&gt;$AG39</formula>
    </cfRule>
  </conditionalFormatting>
  <conditionalFormatting sqref="C97:AF97">
    <cfRule type="expression" dxfId="5323" priority="18">
      <formula>C$9&gt;=20/24</formula>
    </cfRule>
    <cfRule type="expression" dxfId="5322" priority="19">
      <formula>AND(C$9&gt;=14/24,C$9&lt;20/24)</formula>
    </cfRule>
    <cfRule type="expression" dxfId="5321" priority="20">
      <formula>AND(C$9&gt;=8/24,C$9&lt;14/24)</formula>
    </cfRule>
    <cfRule type="expression" dxfId="5320" priority="21">
      <formula>C$9&lt;8/24</formula>
    </cfRule>
  </conditionalFormatting>
  <conditionalFormatting sqref="B97">
    <cfRule type="expression" dxfId="5319" priority="14">
      <formula>B$9&gt;=20/24</formula>
    </cfRule>
    <cfRule type="expression" dxfId="5318" priority="15">
      <formula>AND(B$9&gt;=14/24,B$9&lt;20/24)</formula>
    </cfRule>
    <cfRule type="expression" dxfId="5317" priority="16">
      <formula>AND(B$9&gt;=8/24,B$9&lt;14/24)</formula>
    </cfRule>
    <cfRule type="expression" dxfId="5316" priority="17">
      <formula>B$9&lt;8/24</formula>
    </cfRule>
  </conditionalFormatting>
  <conditionalFormatting sqref="AL31">
    <cfRule type="iconSet" priority="13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5315" priority="7">
      <formula>$AH31=0</formula>
    </cfRule>
  </conditionalFormatting>
  <conditionalFormatting sqref="A77">
    <cfRule type="expression" dxfId="5314" priority="2">
      <formula>$AH77=0</formula>
    </cfRule>
  </conditionalFormatting>
  <conditionalFormatting sqref="A80">
    <cfRule type="expression" dxfId="5313" priority="1">
      <formula>$AH80=0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5DD3759A-869A-4220-B313-99E222946120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" id="{62B5CE8D-FB5D-4895-8D7E-71B070119213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1" id="{F3B6C6EB-4E6E-4401-B8B6-006D761664A3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2" id="{C825ACD8-CE73-4B03-844E-2102FB8F8803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B31:AF31 B80:AF80</xm:sqref>
        </x14:conditionalFormatting>
        <x14:conditionalFormatting xmlns:xm="http://schemas.microsoft.com/office/excel/2006/main">
          <x14:cfRule type="expression" priority="8" id="{B5766D24-506C-4941-9403-7EAF3F1144E3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2"/>
  <sheetViews>
    <sheetView zoomScaleNormal="10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AH11" sqref="AH11:AI105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2079/02/9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("&amp;ROUND(B237,0)&amp;" MW)"&amp;"    IPP   = "&amp;ROUND(B232,0)&amp;" MW     NEA RoR = "&amp;ROUND(B233,0)&amp;" MWImport   = "&amp;ROUND(B235,0)&amp;" MW      KL1+KL2+K3 = "&amp;ROUND(B234,0) &amp;" MW    EXPORT = "&amp;ROUND(B236,0)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15</v>
      </c>
      <c r="C5" s="32">
        <f t="shared" si="0"/>
        <v>14.9</v>
      </c>
      <c r="D5" s="32">
        <f t="shared" si="0"/>
        <v>15</v>
      </c>
      <c r="E5" s="32">
        <f t="shared" si="0"/>
        <v>12.4</v>
      </c>
      <c r="F5" s="32">
        <f t="shared" si="0"/>
        <v>8.6</v>
      </c>
      <c r="G5" s="32">
        <f t="shared" si="0"/>
        <v>6.2</v>
      </c>
      <c r="H5" s="32">
        <f t="shared" si="0"/>
        <v>7.2</v>
      </c>
      <c r="I5" s="32">
        <f t="shared" si="0"/>
        <v>9.6</v>
      </c>
      <c r="J5" s="32">
        <f t="shared" si="0"/>
        <v>10.8</v>
      </c>
      <c r="K5" s="32">
        <f t="shared" si="0"/>
        <v>34.1</v>
      </c>
      <c r="L5" s="32">
        <f t="shared" si="0"/>
        <v>46.1</v>
      </c>
      <c r="M5" s="32">
        <f t="shared" si="0"/>
        <v>45.2</v>
      </c>
      <c r="N5" s="32">
        <f t="shared" si="0"/>
        <v>52.7</v>
      </c>
      <c r="O5" s="32">
        <f t="shared" si="0"/>
        <v>58.6</v>
      </c>
      <c r="P5" s="32">
        <f t="shared" si="0"/>
        <v>58.8</v>
      </c>
      <c r="Q5" s="32">
        <f t="shared" si="0"/>
        <v>32.700000000000003</v>
      </c>
      <c r="R5" s="32">
        <f t="shared" si="0"/>
        <v>64</v>
      </c>
      <c r="S5" s="32">
        <f t="shared" si="0"/>
        <v>59.6</v>
      </c>
      <c r="T5" s="32">
        <f t="shared" si="0"/>
        <v>51.1</v>
      </c>
      <c r="U5" s="32">
        <f t="shared" si="0"/>
        <v>51.1</v>
      </c>
      <c r="V5" s="32">
        <f t="shared" si="0"/>
        <v>51.1</v>
      </c>
      <c r="W5" s="32">
        <f t="shared" si="0"/>
        <v>49</v>
      </c>
      <c r="X5" s="32">
        <f t="shared" si="0"/>
        <v>40.6</v>
      </c>
      <c r="Y5" s="32">
        <f t="shared" si="0"/>
        <v>40.6</v>
      </c>
      <c r="Z5" s="32">
        <f t="shared" si="0"/>
        <v>21.5</v>
      </c>
      <c r="AA5" s="32">
        <f t="shared" si="0"/>
        <v>71.099999999999994</v>
      </c>
      <c r="AB5" s="32">
        <f t="shared" si="0"/>
        <v>74</v>
      </c>
      <c r="AC5" s="32">
        <f t="shared" si="0"/>
        <v>49.6</v>
      </c>
      <c r="AD5" s="32">
        <f t="shared" si="0"/>
        <v>47.7</v>
      </c>
      <c r="AE5" s="32">
        <f t="shared" si="0"/>
        <v>56.5</v>
      </c>
      <c r="AF5" s="32">
        <f>B72</f>
        <v>31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"&amp;ROUND(B237,0)&amp;"MW at "&amp;TRUNC(B238*24,0)&amp;":"&amp;ROUND((B238*24-TRUNC(B238*24,0))*60,0)&amp;"hr at "&amp;ROUND(B239,1)&amp;"Hz     "&amp;A229&amp;" "&amp;ROUND(B229,0)&amp;"MW at "&amp;TRUNC(C229*24,0)&amp;":"&amp;ROUND((C229*24-TRUNC(C229*24,0))*6,0)&amp;"0hr"</f>
        <v>Evening Peak 0MW at 0:0hr at 0Hz     Morning Peak 1825MW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Load=1711</v>
      </c>
      <c r="B7" s="37">
        <f>B79</f>
        <v>1786.6399999999999</v>
      </c>
      <c r="C7" s="37">
        <f t="shared" ref="C7:AF7" si="1">C79</f>
        <v>1767.7400000000002</v>
      </c>
      <c r="D7" s="37">
        <f t="shared" si="1"/>
        <v>1745.5400000000002</v>
      </c>
      <c r="E7" s="37">
        <f t="shared" si="1"/>
        <v>1728.8400000000001</v>
      </c>
      <c r="F7" s="37">
        <f t="shared" si="1"/>
        <v>1726.2400000000002</v>
      </c>
      <c r="G7" s="37">
        <f t="shared" si="1"/>
        <v>1710.54</v>
      </c>
      <c r="H7" s="37">
        <f t="shared" si="1"/>
        <v>1715.2400000000002</v>
      </c>
      <c r="I7" s="37">
        <f t="shared" si="1"/>
        <v>1727.8400000000001</v>
      </c>
      <c r="J7" s="37">
        <f t="shared" si="1"/>
        <v>1729.24</v>
      </c>
      <c r="K7" s="37">
        <f t="shared" si="1"/>
        <v>1764.84</v>
      </c>
      <c r="L7" s="37">
        <f t="shared" si="1"/>
        <v>1796.1399999999999</v>
      </c>
      <c r="M7" s="37">
        <f t="shared" si="1"/>
        <v>1825.04</v>
      </c>
      <c r="N7" s="37">
        <f t="shared" si="1"/>
        <v>1820.14</v>
      </c>
      <c r="O7" s="37">
        <f t="shared" si="1"/>
        <v>1838.84</v>
      </c>
      <c r="P7" s="37">
        <f t="shared" si="1"/>
        <v>1859.8399999999997</v>
      </c>
      <c r="Q7" s="37">
        <f t="shared" si="1"/>
        <v>1841.0399999999997</v>
      </c>
      <c r="R7" s="37">
        <f t="shared" si="1"/>
        <v>1817.04</v>
      </c>
      <c r="S7" s="37">
        <f t="shared" si="1"/>
        <v>1846.9399999999998</v>
      </c>
      <c r="T7" s="37">
        <f t="shared" si="1"/>
        <v>1838.5399999999997</v>
      </c>
      <c r="U7" s="37">
        <f t="shared" si="1"/>
        <v>1832.7399999999998</v>
      </c>
      <c r="V7" s="37">
        <f t="shared" si="1"/>
        <v>1799.6399999999999</v>
      </c>
      <c r="W7" s="37">
        <f t="shared" si="1"/>
        <v>1802.3399999999997</v>
      </c>
      <c r="X7" s="37">
        <f t="shared" si="1"/>
        <v>1833.04</v>
      </c>
      <c r="Y7" s="37">
        <f t="shared" si="1"/>
        <v>1824.6399999999999</v>
      </c>
      <c r="Z7" s="37">
        <f t="shared" si="1"/>
        <v>1824.6399999999999</v>
      </c>
      <c r="AA7" s="37">
        <f t="shared" si="1"/>
        <v>1805.54</v>
      </c>
      <c r="AB7" s="37">
        <f t="shared" si="1"/>
        <v>1846.1399999999999</v>
      </c>
      <c r="AC7" s="37">
        <f t="shared" si="1"/>
        <v>1849.04</v>
      </c>
      <c r="AD7" s="37">
        <f t="shared" si="1"/>
        <v>1824.6399999999999</v>
      </c>
      <c r="AE7" s="37">
        <f t="shared" si="1"/>
        <v>1811.14</v>
      </c>
      <c r="AF7" s="37">
        <f t="shared" si="1"/>
        <v>1817.6399999999999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0">
        <v>53.9</v>
      </c>
      <c r="C11" s="50">
        <v>53.9</v>
      </c>
      <c r="D11" s="50">
        <v>53.9</v>
      </c>
      <c r="E11" s="50">
        <v>53.9</v>
      </c>
      <c r="F11" s="50">
        <v>53.9</v>
      </c>
      <c r="G11" s="50">
        <v>53.9</v>
      </c>
      <c r="H11" s="50">
        <v>53.9</v>
      </c>
      <c r="I11" s="50">
        <v>53.9</v>
      </c>
      <c r="J11" s="50">
        <v>53.9</v>
      </c>
      <c r="K11" s="50">
        <v>53.9</v>
      </c>
      <c r="L11" s="50">
        <v>53.9</v>
      </c>
      <c r="M11" s="50">
        <v>53.9</v>
      </c>
      <c r="N11" s="50">
        <v>53.9</v>
      </c>
      <c r="O11" s="50">
        <v>53.9</v>
      </c>
      <c r="P11" s="50">
        <v>53.8</v>
      </c>
      <c r="Q11" s="50">
        <v>53.8</v>
      </c>
      <c r="R11" s="50">
        <v>53.8</v>
      </c>
      <c r="S11" s="52">
        <v>53.8</v>
      </c>
      <c r="T11" s="52">
        <v>53.8</v>
      </c>
      <c r="U11" s="52">
        <v>53.8</v>
      </c>
      <c r="V11" s="52">
        <v>53.8</v>
      </c>
      <c r="W11" s="52">
        <v>53.8</v>
      </c>
      <c r="X11" s="52">
        <v>53.8</v>
      </c>
      <c r="Y11" s="52">
        <v>53.8</v>
      </c>
      <c r="Z11" s="52">
        <v>53.8</v>
      </c>
      <c r="AA11" s="52">
        <v>53.8</v>
      </c>
      <c r="AB11" s="52">
        <v>53.8</v>
      </c>
      <c r="AC11" s="52">
        <v>53.8</v>
      </c>
      <c r="AD11" s="52">
        <v>53.8</v>
      </c>
      <c r="AE11" s="52">
        <v>53.8</v>
      </c>
      <c r="AF11" s="52">
        <v>53.8</v>
      </c>
      <c r="AG11" s="133">
        <v>52.4</v>
      </c>
      <c r="AH11" s="54">
        <f>MAX(B11:AF11)</f>
        <v>53.9</v>
      </c>
      <c r="AI11" s="55">
        <f>MIN(B11:AF11)</f>
        <v>53.8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</v>
      </c>
      <c r="C12" s="50">
        <v>50</v>
      </c>
      <c r="D12" s="50">
        <v>50</v>
      </c>
      <c r="E12" s="50">
        <v>50</v>
      </c>
      <c r="F12" s="50">
        <v>50</v>
      </c>
      <c r="G12" s="50">
        <v>50</v>
      </c>
      <c r="H12" s="50">
        <v>50</v>
      </c>
      <c r="I12" s="50">
        <v>50</v>
      </c>
      <c r="J12" s="50">
        <v>50</v>
      </c>
      <c r="K12" s="50">
        <v>50</v>
      </c>
      <c r="L12" s="50">
        <v>50</v>
      </c>
      <c r="M12" s="50">
        <v>50.5</v>
      </c>
      <c r="N12" s="50">
        <v>50.5</v>
      </c>
      <c r="O12" s="50">
        <v>50.5</v>
      </c>
      <c r="P12" s="50">
        <v>50.3</v>
      </c>
      <c r="Q12" s="50">
        <v>50.3</v>
      </c>
      <c r="R12" s="50">
        <v>50.3</v>
      </c>
      <c r="S12" s="50">
        <v>50.3</v>
      </c>
      <c r="T12" s="50">
        <v>50.3</v>
      </c>
      <c r="U12" s="50">
        <v>50.3</v>
      </c>
      <c r="V12" s="50">
        <v>50.3</v>
      </c>
      <c r="W12" s="50">
        <v>50.3</v>
      </c>
      <c r="X12" s="50">
        <v>50.3</v>
      </c>
      <c r="Y12" s="50">
        <v>50.3</v>
      </c>
      <c r="Z12" s="50">
        <v>50.3</v>
      </c>
      <c r="AA12" s="50">
        <v>50.3</v>
      </c>
      <c r="AB12" s="50">
        <v>50.3</v>
      </c>
      <c r="AC12" s="50">
        <v>50.3</v>
      </c>
      <c r="AD12" s="50">
        <v>50.3</v>
      </c>
      <c r="AE12" s="50">
        <v>50.3</v>
      </c>
      <c r="AF12" s="50">
        <v>50.3</v>
      </c>
      <c r="AG12" s="134">
        <v>50</v>
      </c>
      <c r="AH12" s="54">
        <f t="shared" ref="AH12:AH79" si="2">MAX(B12:AF12)</f>
        <v>50.5</v>
      </c>
      <c r="AI12" s="55">
        <f t="shared" ref="AI12:AI79" si="3">MIN(B12:AF12)</f>
        <v>50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45.9</v>
      </c>
      <c r="C13" s="50">
        <v>45.9</v>
      </c>
      <c r="D13" s="50">
        <v>45.9</v>
      </c>
      <c r="E13" s="50">
        <v>45.9</v>
      </c>
      <c r="F13" s="50">
        <v>45.9</v>
      </c>
      <c r="G13" s="50">
        <v>45.9</v>
      </c>
      <c r="H13" s="50">
        <v>45.9</v>
      </c>
      <c r="I13" s="50">
        <v>45.9</v>
      </c>
      <c r="J13" s="50">
        <v>45.9</v>
      </c>
      <c r="K13" s="50">
        <v>45.9</v>
      </c>
      <c r="L13" s="50">
        <v>45.9</v>
      </c>
      <c r="M13" s="50">
        <v>45.8</v>
      </c>
      <c r="N13" s="50">
        <v>45.8</v>
      </c>
      <c r="O13" s="50">
        <v>45.8</v>
      </c>
      <c r="P13" s="50">
        <v>45.7</v>
      </c>
      <c r="Q13" s="50">
        <v>45.7</v>
      </c>
      <c r="R13" s="50">
        <v>45.7</v>
      </c>
      <c r="S13" s="50">
        <v>45.7</v>
      </c>
      <c r="T13" s="50">
        <v>45.7</v>
      </c>
      <c r="U13" s="50">
        <v>45.7</v>
      </c>
      <c r="V13" s="50">
        <v>45.7</v>
      </c>
      <c r="W13" s="50">
        <v>45.7</v>
      </c>
      <c r="X13" s="50">
        <v>45.7</v>
      </c>
      <c r="Y13" s="50">
        <v>45.7</v>
      </c>
      <c r="Z13" s="50">
        <v>45.7</v>
      </c>
      <c r="AA13" s="50">
        <v>45.7</v>
      </c>
      <c r="AB13" s="50">
        <v>45.7</v>
      </c>
      <c r="AC13" s="50">
        <v>45.7</v>
      </c>
      <c r="AD13" s="50">
        <v>45.7</v>
      </c>
      <c r="AE13" s="50">
        <v>45.7</v>
      </c>
      <c r="AF13" s="50">
        <v>45.7</v>
      </c>
      <c r="AG13" s="134">
        <v>45</v>
      </c>
      <c r="AH13" s="54">
        <f t="shared" si="2"/>
        <v>45.9</v>
      </c>
      <c r="AI13" s="55">
        <f t="shared" si="3"/>
        <v>45.7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28</v>
      </c>
      <c r="C14" s="50">
        <v>28</v>
      </c>
      <c r="D14" s="50">
        <v>28</v>
      </c>
      <c r="E14" s="50">
        <v>28</v>
      </c>
      <c r="F14" s="50">
        <v>28</v>
      </c>
      <c r="G14" s="50">
        <v>28</v>
      </c>
      <c r="H14" s="50">
        <v>28</v>
      </c>
      <c r="I14" s="50">
        <v>28</v>
      </c>
      <c r="J14" s="50">
        <v>28</v>
      </c>
      <c r="K14" s="50">
        <v>28</v>
      </c>
      <c r="L14" s="50">
        <v>28</v>
      </c>
      <c r="M14" s="50">
        <v>28</v>
      </c>
      <c r="N14" s="50">
        <v>28</v>
      </c>
      <c r="O14" s="50">
        <v>28</v>
      </c>
      <c r="P14" s="50">
        <v>28</v>
      </c>
      <c r="Q14" s="50">
        <v>28</v>
      </c>
      <c r="R14" s="50">
        <v>28</v>
      </c>
      <c r="S14" s="50">
        <v>28</v>
      </c>
      <c r="T14" s="50">
        <v>28</v>
      </c>
      <c r="U14" s="50">
        <v>28</v>
      </c>
      <c r="V14" s="50">
        <v>28</v>
      </c>
      <c r="W14" s="50">
        <v>28</v>
      </c>
      <c r="X14" s="50">
        <v>28</v>
      </c>
      <c r="Y14" s="50">
        <v>28</v>
      </c>
      <c r="Z14" s="50">
        <v>28</v>
      </c>
      <c r="AA14" s="50">
        <v>28</v>
      </c>
      <c r="AB14" s="50">
        <v>28</v>
      </c>
      <c r="AC14" s="50">
        <v>28</v>
      </c>
      <c r="AD14" s="50">
        <v>28</v>
      </c>
      <c r="AE14" s="50">
        <v>28</v>
      </c>
      <c r="AF14" s="50">
        <v>28</v>
      </c>
      <c r="AG14" s="134">
        <v>42</v>
      </c>
      <c r="AH14" s="54">
        <f t="shared" si="2"/>
        <v>28</v>
      </c>
      <c r="AI14" s="55">
        <f t="shared" si="3"/>
        <v>28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10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30</v>
      </c>
      <c r="L15" s="50">
        <v>30</v>
      </c>
      <c r="M15" s="50">
        <v>30</v>
      </c>
      <c r="N15" s="50">
        <v>30</v>
      </c>
      <c r="O15" s="50">
        <v>30</v>
      </c>
      <c r="P15" s="50">
        <v>30</v>
      </c>
      <c r="Q15" s="50">
        <v>30</v>
      </c>
      <c r="R15" s="50">
        <v>30</v>
      </c>
      <c r="S15" s="50">
        <v>30</v>
      </c>
      <c r="T15" s="50">
        <v>30</v>
      </c>
      <c r="U15" s="50">
        <v>30</v>
      </c>
      <c r="V15" s="50">
        <v>15</v>
      </c>
      <c r="W15" s="50">
        <v>30</v>
      </c>
      <c r="X15" s="50">
        <v>30</v>
      </c>
      <c r="Y15" s="50">
        <v>30</v>
      </c>
      <c r="Z15" s="50">
        <v>30</v>
      </c>
      <c r="AA15" s="50">
        <v>30</v>
      </c>
      <c r="AB15" s="50">
        <v>30</v>
      </c>
      <c r="AC15" s="50">
        <v>30</v>
      </c>
      <c r="AD15" s="50">
        <v>30</v>
      </c>
      <c r="AE15" s="50">
        <v>30</v>
      </c>
      <c r="AF15" s="50">
        <v>30</v>
      </c>
      <c r="AG15" s="135">
        <v>30</v>
      </c>
      <c r="AH15" s="54">
        <f t="shared" si="2"/>
        <v>30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26</v>
      </c>
      <c r="C16" s="50">
        <v>26</v>
      </c>
      <c r="D16" s="50">
        <v>26</v>
      </c>
      <c r="E16" s="50">
        <v>26</v>
      </c>
      <c r="F16" s="50">
        <v>26</v>
      </c>
      <c r="G16" s="50">
        <v>26</v>
      </c>
      <c r="H16" s="50">
        <v>26</v>
      </c>
      <c r="I16" s="50">
        <v>26</v>
      </c>
      <c r="J16" s="50">
        <v>26</v>
      </c>
      <c r="K16" s="50">
        <v>26</v>
      </c>
      <c r="L16" s="50">
        <v>26</v>
      </c>
      <c r="M16" s="50">
        <v>26</v>
      </c>
      <c r="N16" s="50">
        <v>26</v>
      </c>
      <c r="O16" s="50">
        <v>0</v>
      </c>
      <c r="P16" s="180">
        <v>26.2</v>
      </c>
      <c r="Q16" s="180">
        <v>26.2</v>
      </c>
      <c r="R16" s="180">
        <v>26.2</v>
      </c>
      <c r="S16" s="50">
        <v>26.2</v>
      </c>
      <c r="T16" s="50">
        <v>26.2</v>
      </c>
      <c r="U16" s="50">
        <v>26.2</v>
      </c>
      <c r="V16" s="50">
        <v>26.2</v>
      </c>
      <c r="W16" s="50">
        <v>26.2</v>
      </c>
      <c r="X16" s="50">
        <v>26.2</v>
      </c>
      <c r="Y16" s="50">
        <v>26.2</v>
      </c>
      <c r="Z16" s="50">
        <v>26.2</v>
      </c>
      <c r="AA16" s="50">
        <v>26.2</v>
      </c>
      <c r="AB16" s="50">
        <v>26.2</v>
      </c>
      <c r="AC16" s="50">
        <v>26.2</v>
      </c>
      <c r="AD16" s="50">
        <v>26.2</v>
      </c>
      <c r="AE16" s="50">
        <v>26.2</v>
      </c>
      <c r="AF16" s="50">
        <v>26.2</v>
      </c>
      <c r="AG16" s="134">
        <v>25</v>
      </c>
      <c r="AH16" s="54">
        <f t="shared" si="2"/>
        <v>26.2</v>
      </c>
      <c r="AI16" s="55">
        <f t="shared" si="3"/>
        <v>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25</v>
      </c>
      <c r="D18" s="50">
        <v>25</v>
      </c>
      <c r="E18" s="50">
        <v>25</v>
      </c>
      <c r="F18" s="50">
        <v>25</v>
      </c>
      <c r="G18" s="50">
        <v>25</v>
      </c>
      <c r="H18" s="50">
        <v>25</v>
      </c>
      <c r="I18" s="50">
        <v>25</v>
      </c>
      <c r="J18" s="50">
        <v>25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25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25.9</v>
      </c>
      <c r="C19" s="50">
        <v>33</v>
      </c>
      <c r="D19" s="50">
        <v>25</v>
      </c>
      <c r="E19" s="50">
        <v>25</v>
      </c>
      <c r="F19" s="50">
        <v>25</v>
      </c>
      <c r="G19" s="50">
        <v>25</v>
      </c>
      <c r="H19" s="50">
        <v>25</v>
      </c>
      <c r="I19" s="50">
        <v>25</v>
      </c>
      <c r="J19" s="50">
        <v>25</v>
      </c>
      <c r="K19" s="50">
        <v>25</v>
      </c>
      <c r="L19" s="50">
        <v>33</v>
      </c>
      <c r="M19" s="50">
        <v>33</v>
      </c>
      <c r="N19" s="50">
        <v>33</v>
      </c>
      <c r="O19" s="50">
        <v>33</v>
      </c>
      <c r="P19" s="50">
        <v>33</v>
      </c>
      <c r="Q19" s="50">
        <v>33</v>
      </c>
      <c r="R19" s="50">
        <v>33</v>
      </c>
      <c r="S19" s="50">
        <v>33</v>
      </c>
      <c r="T19" s="50">
        <v>33</v>
      </c>
      <c r="U19" s="50">
        <v>33</v>
      </c>
      <c r="V19" s="50">
        <v>33</v>
      </c>
      <c r="W19" s="50">
        <v>33</v>
      </c>
      <c r="X19" s="50">
        <v>33</v>
      </c>
      <c r="Y19" s="50">
        <v>33</v>
      </c>
      <c r="Z19" s="50">
        <v>33</v>
      </c>
      <c r="AA19" s="50">
        <v>33</v>
      </c>
      <c r="AB19" s="50">
        <v>33</v>
      </c>
      <c r="AC19" s="50">
        <v>33</v>
      </c>
      <c r="AD19" s="50">
        <v>33</v>
      </c>
      <c r="AE19" s="50">
        <v>33</v>
      </c>
      <c r="AF19" s="50">
        <v>33</v>
      </c>
      <c r="AG19" s="134">
        <v>24.2</v>
      </c>
      <c r="AH19" s="54">
        <f t="shared" si="2"/>
        <v>33</v>
      </c>
      <c r="AI19" s="55">
        <f t="shared" si="3"/>
        <v>25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23.5</v>
      </c>
      <c r="C20" s="50">
        <v>23.5</v>
      </c>
      <c r="D20" s="50">
        <v>23.5</v>
      </c>
      <c r="E20" s="50">
        <v>23.5</v>
      </c>
      <c r="F20" s="50">
        <v>23.5</v>
      </c>
      <c r="G20" s="50">
        <v>23.5</v>
      </c>
      <c r="H20" s="50">
        <v>23.5</v>
      </c>
      <c r="I20" s="50">
        <v>23.5</v>
      </c>
      <c r="J20" s="50">
        <v>23.5</v>
      </c>
      <c r="K20" s="50">
        <v>23.5</v>
      </c>
      <c r="L20" s="50">
        <v>23.5</v>
      </c>
      <c r="M20" s="50">
        <v>24</v>
      </c>
      <c r="N20" s="50">
        <v>24</v>
      </c>
      <c r="O20" s="50">
        <v>24</v>
      </c>
      <c r="P20" s="50">
        <v>24</v>
      </c>
      <c r="Q20" s="50">
        <v>24</v>
      </c>
      <c r="R20" s="50">
        <v>24</v>
      </c>
      <c r="S20" s="50">
        <v>24</v>
      </c>
      <c r="T20" s="50">
        <v>24</v>
      </c>
      <c r="U20" s="50">
        <v>24</v>
      </c>
      <c r="V20" s="50">
        <v>24</v>
      </c>
      <c r="W20" s="50">
        <v>24</v>
      </c>
      <c r="X20" s="50">
        <v>24</v>
      </c>
      <c r="Y20" s="50">
        <v>24</v>
      </c>
      <c r="Z20" s="50">
        <v>24</v>
      </c>
      <c r="AA20" s="50">
        <v>24</v>
      </c>
      <c r="AB20" s="50">
        <v>24</v>
      </c>
      <c r="AC20" s="50">
        <v>24</v>
      </c>
      <c r="AD20" s="50">
        <v>24</v>
      </c>
      <c r="AE20" s="50">
        <v>24</v>
      </c>
      <c r="AF20" s="50">
        <v>24</v>
      </c>
      <c r="AG20" s="134">
        <v>23.5</v>
      </c>
      <c r="AH20" s="54">
        <f t="shared" si="2"/>
        <v>24</v>
      </c>
      <c r="AI20" s="55">
        <f t="shared" si="3"/>
        <v>23.5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20.6</v>
      </c>
      <c r="C21" s="50">
        <v>20.6</v>
      </c>
      <c r="D21" s="50">
        <v>20.6</v>
      </c>
      <c r="E21" s="50">
        <v>20.6</v>
      </c>
      <c r="F21" s="50">
        <v>20.6</v>
      </c>
      <c r="G21" s="50">
        <v>20.6</v>
      </c>
      <c r="H21" s="50">
        <v>20.6</v>
      </c>
      <c r="I21" s="50">
        <v>20.6</v>
      </c>
      <c r="J21" s="50">
        <v>20.6</v>
      </c>
      <c r="K21" s="50">
        <v>20.6</v>
      </c>
      <c r="L21" s="50">
        <v>20.6</v>
      </c>
      <c r="M21" s="50">
        <v>20.6</v>
      </c>
      <c r="N21" s="50">
        <v>20.6</v>
      </c>
      <c r="O21" s="50">
        <v>20.6</v>
      </c>
      <c r="P21" s="50">
        <v>20.6</v>
      </c>
      <c r="Q21" s="50">
        <v>20.6</v>
      </c>
      <c r="R21" s="50">
        <v>20.6</v>
      </c>
      <c r="S21" s="50">
        <v>20.6</v>
      </c>
      <c r="T21" s="50">
        <v>20.6</v>
      </c>
      <c r="U21" s="50">
        <v>20.6</v>
      </c>
      <c r="V21" s="50">
        <v>20.6</v>
      </c>
      <c r="W21" s="50">
        <v>20.6</v>
      </c>
      <c r="X21" s="50">
        <v>20.6</v>
      </c>
      <c r="Y21" s="50">
        <v>20.6</v>
      </c>
      <c r="Z21" s="50">
        <v>20.6</v>
      </c>
      <c r="AA21" s="50">
        <v>20.6</v>
      </c>
      <c r="AB21" s="50">
        <v>20.6</v>
      </c>
      <c r="AC21" s="50">
        <v>20.6</v>
      </c>
      <c r="AD21" s="50">
        <v>20.6</v>
      </c>
      <c r="AE21" s="50">
        <v>20.6</v>
      </c>
      <c r="AF21" s="50">
        <v>20.6</v>
      </c>
      <c r="AG21" s="134">
        <v>22.2</v>
      </c>
      <c r="AH21" s="54">
        <f t="shared" si="2"/>
        <v>20.6</v>
      </c>
      <c r="AI21" s="55">
        <f t="shared" si="3"/>
        <v>20.6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134">
        <v>22.1</v>
      </c>
      <c r="AH22" s="54">
        <f t="shared" si="2"/>
        <v>22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22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22</v>
      </c>
      <c r="AI24" s="55">
        <f t="shared" si="3"/>
        <v>22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5</v>
      </c>
      <c r="C25" s="50">
        <v>5</v>
      </c>
      <c r="D25" s="50">
        <v>5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10</v>
      </c>
      <c r="L25" s="50">
        <v>10</v>
      </c>
      <c r="M25" s="50">
        <v>10</v>
      </c>
      <c r="N25" s="50">
        <v>10</v>
      </c>
      <c r="O25" s="50">
        <v>10</v>
      </c>
      <c r="P25" s="50">
        <v>10</v>
      </c>
      <c r="Q25" s="50">
        <v>10</v>
      </c>
      <c r="R25" s="50">
        <v>10</v>
      </c>
      <c r="S25" s="50">
        <v>10</v>
      </c>
      <c r="T25" s="50">
        <v>10</v>
      </c>
      <c r="U25" s="50">
        <v>10</v>
      </c>
      <c r="V25" s="50">
        <v>6</v>
      </c>
      <c r="W25" s="50">
        <v>10</v>
      </c>
      <c r="X25" s="50">
        <v>10</v>
      </c>
      <c r="Y25" s="50">
        <v>10</v>
      </c>
      <c r="Z25" s="50">
        <v>10</v>
      </c>
      <c r="AA25" s="50">
        <v>10</v>
      </c>
      <c r="AB25" s="50">
        <v>10</v>
      </c>
      <c r="AC25" s="50">
        <v>10</v>
      </c>
      <c r="AD25" s="50">
        <v>10</v>
      </c>
      <c r="AE25" s="50">
        <v>10</v>
      </c>
      <c r="AF25" s="50">
        <v>10</v>
      </c>
      <c r="AG25" s="134">
        <v>20</v>
      </c>
      <c r="AH25" s="54">
        <f t="shared" si="2"/>
        <v>10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0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134">
        <v>14.9</v>
      </c>
      <c r="AH26" s="54">
        <f t="shared" si="2"/>
        <v>0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13</v>
      </c>
      <c r="C27" s="50">
        <v>13</v>
      </c>
      <c r="D27" s="50">
        <v>13</v>
      </c>
      <c r="E27" s="50">
        <v>13</v>
      </c>
      <c r="F27" s="50">
        <v>13</v>
      </c>
      <c r="G27" s="50">
        <v>13</v>
      </c>
      <c r="H27" s="50">
        <v>13</v>
      </c>
      <c r="I27" s="50">
        <v>13</v>
      </c>
      <c r="J27" s="50">
        <v>13</v>
      </c>
      <c r="K27" s="50">
        <v>13</v>
      </c>
      <c r="L27" s="50">
        <v>13</v>
      </c>
      <c r="M27" s="50">
        <v>13</v>
      </c>
      <c r="N27" s="50">
        <v>13</v>
      </c>
      <c r="O27" s="50">
        <v>13</v>
      </c>
      <c r="P27" s="50">
        <v>13</v>
      </c>
      <c r="Q27" s="50">
        <v>13</v>
      </c>
      <c r="R27" s="50">
        <v>13</v>
      </c>
      <c r="S27" s="50">
        <v>13</v>
      </c>
      <c r="T27" s="50">
        <v>13</v>
      </c>
      <c r="U27" s="50">
        <v>13</v>
      </c>
      <c r="V27" s="50">
        <v>13</v>
      </c>
      <c r="W27" s="50">
        <v>13</v>
      </c>
      <c r="X27" s="50">
        <v>13</v>
      </c>
      <c r="Y27" s="50">
        <v>13</v>
      </c>
      <c r="Z27" s="50">
        <v>13</v>
      </c>
      <c r="AA27" s="50">
        <v>13</v>
      </c>
      <c r="AB27" s="50">
        <v>13</v>
      </c>
      <c r="AC27" s="50">
        <v>13</v>
      </c>
      <c r="AD27" s="50">
        <v>13</v>
      </c>
      <c r="AE27" s="50">
        <v>13</v>
      </c>
      <c r="AF27" s="50">
        <v>13</v>
      </c>
      <c r="AG27" s="134">
        <v>13.6</v>
      </c>
      <c r="AH27" s="54">
        <f t="shared" si="2"/>
        <v>13</v>
      </c>
      <c r="AI27" s="55">
        <f t="shared" si="3"/>
        <v>13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13</v>
      </c>
      <c r="C28" s="50">
        <v>13</v>
      </c>
      <c r="D28" s="50">
        <v>13</v>
      </c>
      <c r="E28" s="50">
        <v>13</v>
      </c>
      <c r="F28" s="50">
        <v>13</v>
      </c>
      <c r="G28" s="50">
        <v>13</v>
      </c>
      <c r="H28" s="50">
        <v>13</v>
      </c>
      <c r="I28" s="50">
        <v>13</v>
      </c>
      <c r="J28" s="50">
        <v>13</v>
      </c>
      <c r="K28" s="50">
        <v>13</v>
      </c>
      <c r="L28" s="50">
        <v>13</v>
      </c>
      <c r="M28" s="50">
        <v>13</v>
      </c>
      <c r="N28" s="50">
        <v>13</v>
      </c>
      <c r="O28" s="50">
        <v>13</v>
      </c>
      <c r="P28" s="50">
        <v>13</v>
      </c>
      <c r="Q28" s="50">
        <v>13</v>
      </c>
      <c r="R28" s="50">
        <v>13</v>
      </c>
      <c r="S28" s="50">
        <v>13</v>
      </c>
      <c r="T28" s="50">
        <v>13</v>
      </c>
      <c r="U28" s="50">
        <v>13</v>
      </c>
      <c r="V28" s="50">
        <v>13</v>
      </c>
      <c r="W28" s="50">
        <v>13</v>
      </c>
      <c r="X28" s="50">
        <v>13</v>
      </c>
      <c r="Y28" s="50">
        <v>13</v>
      </c>
      <c r="Z28" s="50">
        <v>13</v>
      </c>
      <c r="AA28" s="50">
        <v>13</v>
      </c>
      <c r="AB28" s="50">
        <v>13</v>
      </c>
      <c r="AC28" s="50">
        <v>13</v>
      </c>
      <c r="AD28" s="50">
        <v>13</v>
      </c>
      <c r="AE28" s="50">
        <v>13</v>
      </c>
      <c r="AF28" s="50">
        <v>13</v>
      </c>
      <c r="AG28" s="134">
        <v>13</v>
      </c>
      <c r="AH28" s="54">
        <f t="shared" si="2"/>
        <v>13</v>
      </c>
      <c r="AI28" s="55">
        <f t="shared" si="3"/>
        <v>13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12</v>
      </c>
      <c r="C29" s="50">
        <v>12</v>
      </c>
      <c r="D29" s="50">
        <v>12</v>
      </c>
      <c r="E29" s="50">
        <v>12</v>
      </c>
      <c r="F29" s="50">
        <v>12</v>
      </c>
      <c r="G29" s="50">
        <v>12</v>
      </c>
      <c r="H29" s="50">
        <v>12</v>
      </c>
      <c r="I29" s="50">
        <v>12</v>
      </c>
      <c r="J29" s="50">
        <v>12</v>
      </c>
      <c r="K29" s="50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134">
        <v>12</v>
      </c>
      <c r="AH29" s="54">
        <f t="shared" si="2"/>
        <v>12</v>
      </c>
      <c r="AI29" s="55">
        <f t="shared" si="3"/>
        <v>12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7</v>
      </c>
      <c r="C30" s="50">
        <v>7</v>
      </c>
      <c r="D30" s="50">
        <v>7</v>
      </c>
      <c r="E30" s="50">
        <v>7</v>
      </c>
      <c r="F30" s="50">
        <v>7</v>
      </c>
      <c r="G30" s="50">
        <v>7</v>
      </c>
      <c r="H30" s="50">
        <v>7</v>
      </c>
      <c r="I30" s="50">
        <v>7</v>
      </c>
      <c r="J30" s="50">
        <v>7</v>
      </c>
      <c r="K30" s="50">
        <v>7</v>
      </c>
      <c r="L30" s="50">
        <v>7</v>
      </c>
      <c r="M30" s="50">
        <v>7</v>
      </c>
      <c r="N30" s="50">
        <v>7</v>
      </c>
      <c r="O30" s="50">
        <v>7</v>
      </c>
      <c r="P30" s="50">
        <v>7</v>
      </c>
      <c r="Q30" s="50">
        <v>7</v>
      </c>
      <c r="R30" s="50">
        <v>7</v>
      </c>
      <c r="S30" s="50">
        <v>7</v>
      </c>
      <c r="T30" s="50">
        <v>7</v>
      </c>
      <c r="U30" s="50">
        <v>7</v>
      </c>
      <c r="V30" s="50">
        <v>7</v>
      </c>
      <c r="W30" s="50">
        <v>7</v>
      </c>
      <c r="X30" s="50">
        <v>7</v>
      </c>
      <c r="Y30" s="50">
        <v>7</v>
      </c>
      <c r="Z30" s="50">
        <v>7</v>
      </c>
      <c r="AA30" s="50">
        <v>7</v>
      </c>
      <c r="AB30" s="50">
        <v>7</v>
      </c>
      <c r="AC30" s="50">
        <v>7</v>
      </c>
      <c r="AD30" s="50">
        <v>7</v>
      </c>
      <c r="AE30" s="50">
        <v>7</v>
      </c>
      <c r="AF30" s="50">
        <v>7</v>
      </c>
      <c r="AG30" s="134">
        <v>12</v>
      </c>
      <c r="AH30" s="54">
        <f t="shared" si="2"/>
        <v>7</v>
      </c>
      <c r="AI30" s="55">
        <f t="shared" si="3"/>
        <v>7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9</v>
      </c>
      <c r="C31" s="50">
        <v>9</v>
      </c>
      <c r="D31" s="50">
        <v>9</v>
      </c>
      <c r="E31" s="50">
        <v>9</v>
      </c>
      <c r="F31" s="50">
        <v>9</v>
      </c>
      <c r="G31" s="50">
        <v>9</v>
      </c>
      <c r="H31" s="50">
        <v>9</v>
      </c>
      <c r="I31" s="50">
        <v>9</v>
      </c>
      <c r="J31" s="50">
        <v>9</v>
      </c>
      <c r="K31" s="50">
        <v>9</v>
      </c>
      <c r="L31" s="50">
        <v>9</v>
      </c>
      <c r="M31" s="50">
        <v>9</v>
      </c>
      <c r="N31" s="50">
        <v>9</v>
      </c>
      <c r="O31" s="50">
        <v>9</v>
      </c>
      <c r="P31" s="50">
        <v>9</v>
      </c>
      <c r="Q31" s="50">
        <v>9</v>
      </c>
      <c r="R31" s="50">
        <v>9</v>
      </c>
      <c r="S31" s="50">
        <v>9</v>
      </c>
      <c r="T31" s="50">
        <v>9</v>
      </c>
      <c r="U31" s="50">
        <v>9</v>
      </c>
      <c r="V31" s="50">
        <v>9</v>
      </c>
      <c r="W31" s="50">
        <v>9</v>
      </c>
      <c r="X31" s="50">
        <v>9</v>
      </c>
      <c r="Y31" s="50">
        <v>9</v>
      </c>
      <c r="Z31" s="50">
        <v>9</v>
      </c>
      <c r="AA31" s="50">
        <v>9</v>
      </c>
      <c r="AB31" s="50">
        <v>9</v>
      </c>
      <c r="AC31" s="50">
        <v>9</v>
      </c>
      <c r="AD31" s="50">
        <v>9</v>
      </c>
      <c r="AE31" s="50">
        <v>9</v>
      </c>
      <c r="AF31" s="50">
        <v>9</v>
      </c>
      <c r="AG31" s="178">
        <v>22</v>
      </c>
      <c r="AH31" s="54">
        <f>MAX(B31:AF31)</f>
        <v>9</v>
      </c>
      <c r="AI31" s="55">
        <f>MIN(B31:AF31)</f>
        <v>9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10</v>
      </c>
      <c r="C32" s="50">
        <v>10</v>
      </c>
      <c r="D32" s="50">
        <v>10</v>
      </c>
      <c r="E32" s="50">
        <v>10</v>
      </c>
      <c r="F32" s="50">
        <v>10</v>
      </c>
      <c r="G32" s="50">
        <v>10</v>
      </c>
      <c r="H32" s="50">
        <v>10</v>
      </c>
      <c r="I32" s="50">
        <v>10</v>
      </c>
      <c r="J32" s="50">
        <v>10</v>
      </c>
      <c r="K32" s="50">
        <v>10</v>
      </c>
      <c r="L32" s="50">
        <v>10</v>
      </c>
      <c r="M32" s="50">
        <v>10</v>
      </c>
      <c r="N32" s="50">
        <v>10</v>
      </c>
      <c r="O32" s="50">
        <v>10</v>
      </c>
      <c r="P32" s="50">
        <v>10</v>
      </c>
      <c r="Q32" s="50">
        <v>10</v>
      </c>
      <c r="R32" s="50">
        <v>10</v>
      </c>
      <c r="S32" s="50">
        <v>10</v>
      </c>
      <c r="T32" s="50">
        <v>6</v>
      </c>
      <c r="U32" s="50">
        <v>6</v>
      </c>
      <c r="V32" s="50">
        <v>6</v>
      </c>
      <c r="W32" s="50">
        <v>6</v>
      </c>
      <c r="X32" s="50">
        <v>6</v>
      </c>
      <c r="Y32" s="50">
        <v>6</v>
      </c>
      <c r="Z32" s="50">
        <v>6</v>
      </c>
      <c r="AA32" s="50">
        <v>6</v>
      </c>
      <c r="AB32" s="50">
        <v>6</v>
      </c>
      <c r="AC32" s="50">
        <v>6</v>
      </c>
      <c r="AD32" s="50">
        <v>6</v>
      </c>
      <c r="AE32" s="50">
        <v>6</v>
      </c>
      <c r="AF32" s="50">
        <v>6</v>
      </c>
      <c r="AG32" s="135">
        <v>11.88</v>
      </c>
      <c r="AH32" s="54">
        <f t="shared" si="2"/>
        <v>10</v>
      </c>
      <c r="AI32" s="55">
        <f t="shared" si="3"/>
        <v>6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11</v>
      </c>
      <c r="D33" s="50">
        <v>11</v>
      </c>
      <c r="E33" s="50">
        <v>11</v>
      </c>
      <c r="F33" s="50">
        <v>11</v>
      </c>
      <c r="G33" s="50">
        <v>11</v>
      </c>
      <c r="H33" s="50">
        <v>11</v>
      </c>
      <c r="I33" s="50">
        <v>11</v>
      </c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11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9</v>
      </c>
      <c r="C34" s="50">
        <v>9</v>
      </c>
      <c r="D34" s="50">
        <v>9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50">
        <v>9</v>
      </c>
      <c r="P34" s="50">
        <v>9</v>
      </c>
      <c r="Q34" s="50">
        <v>9</v>
      </c>
      <c r="R34" s="50">
        <v>9</v>
      </c>
      <c r="S34" s="50">
        <v>9</v>
      </c>
      <c r="T34" s="50">
        <v>9</v>
      </c>
      <c r="U34" s="50">
        <v>9</v>
      </c>
      <c r="V34" s="50">
        <v>9</v>
      </c>
      <c r="W34" s="50">
        <v>9</v>
      </c>
      <c r="X34" s="50">
        <v>9</v>
      </c>
      <c r="Y34" s="50">
        <v>9</v>
      </c>
      <c r="Z34" s="50">
        <v>9</v>
      </c>
      <c r="AA34" s="50">
        <v>9</v>
      </c>
      <c r="AB34" s="50">
        <v>0</v>
      </c>
      <c r="AC34" s="50">
        <v>0</v>
      </c>
      <c r="AD34" s="50">
        <v>0</v>
      </c>
      <c r="AE34" s="50">
        <v>0</v>
      </c>
      <c r="AF34" s="50">
        <v>0</v>
      </c>
      <c r="AG34" s="136">
        <v>10</v>
      </c>
      <c r="AH34" s="54">
        <f t="shared" si="2"/>
        <v>9</v>
      </c>
      <c r="AI34" s="55">
        <f t="shared" si="3"/>
        <v>0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5</v>
      </c>
      <c r="N35" s="50">
        <v>5</v>
      </c>
      <c r="O35" s="50">
        <v>7</v>
      </c>
      <c r="P35" s="50">
        <v>7</v>
      </c>
      <c r="Q35" s="50">
        <v>7</v>
      </c>
      <c r="R35" s="50">
        <v>7</v>
      </c>
      <c r="S35" s="50">
        <v>7</v>
      </c>
      <c r="T35" s="50">
        <v>7</v>
      </c>
      <c r="U35" s="50">
        <v>7</v>
      </c>
      <c r="V35" s="50">
        <v>7</v>
      </c>
      <c r="W35" s="50">
        <v>7</v>
      </c>
      <c r="X35" s="50">
        <v>7</v>
      </c>
      <c r="Y35" s="50">
        <v>7</v>
      </c>
      <c r="Z35" s="50">
        <v>7</v>
      </c>
      <c r="AA35" s="50">
        <v>7</v>
      </c>
      <c r="AB35" s="50">
        <v>7</v>
      </c>
      <c r="AC35" s="50">
        <v>7</v>
      </c>
      <c r="AD35" s="50">
        <v>7</v>
      </c>
      <c r="AE35" s="50">
        <v>7</v>
      </c>
      <c r="AF35" s="50">
        <v>7</v>
      </c>
      <c r="AG35" s="136">
        <v>10</v>
      </c>
      <c r="AH35" s="54">
        <f t="shared" si="2"/>
        <v>7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303</v>
      </c>
      <c r="C36" s="62">
        <v>303</v>
      </c>
      <c r="D36" s="62">
        <v>303</v>
      </c>
      <c r="E36" s="62">
        <v>303</v>
      </c>
      <c r="F36" s="62">
        <v>303</v>
      </c>
      <c r="G36" s="62">
        <v>303</v>
      </c>
      <c r="H36" s="62">
        <v>303</v>
      </c>
      <c r="I36" s="62">
        <v>303</v>
      </c>
      <c r="J36" s="62">
        <v>303</v>
      </c>
      <c r="K36" s="62">
        <v>303</v>
      </c>
      <c r="L36" s="62">
        <v>303</v>
      </c>
      <c r="M36" s="62">
        <v>303</v>
      </c>
      <c r="N36" s="62">
        <v>303</v>
      </c>
      <c r="O36" s="62">
        <v>303</v>
      </c>
      <c r="P36" s="62">
        <v>303</v>
      </c>
      <c r="Q36" s="62">
        <v>303</v>
      </c>
      <c r="R36" s="62">
        <v>303</v>
      </c>
      <c r="S36" s="62">
        <v>303</v>
      </c>
      <c r="T36" s="62">
        <v>303</v>
      </c>
      <c r="U36" s="62">
        <v>303</v>
      </c>
      <c r="V36" s="62">
        <v>303</v>
      </c>
      <c r="W36" s="62">
        <v>303</v>
      </c>
      <c r="X36" s="62">
        <v>303</v>
      </c>
      <c r="Y36" s="62">
        <v>303</v>
      </c>
      <c r="Z36" s="62">
        <v>303</v>
      </c>
      <c r="AA36" s="62">
        <v>303</v>
      </c>
      <c r="AB36" s="62">
        <v>303</v>
      </c>
      <c r="AC36" s="62">
        <v>303</v>
      </c>
      <c r="AD36" s="62">
        <v>303</v>
      </c>
      <c r="AE36" s="62">
        <v>303</v>
      </c>
      <c r="AF36" s="62">
        <v>303</v>
      </c>
      <c r="AG36" s="136">
        <v>85</v>
      </c>
      <c r="AH36" s="54">
        <f t="shared" si="2"/>
        <v>303</v>
      </c>
      <c r="AI36" s="55">
        <f t="shared" si="3"/>
        <v>303</v>
      </c>
      <c r="AK36" s="56"/>
    </row>
    <row r="37" spans="1:88" ht="15.75" thickBot="1" x14ac:dyDescent="0.3">
      <c r="A37" s="63" t="s">
        <v>21</v>
      </c>
      <c r="B37" s="64">
        <v>156</v>
      </c>
      <c r="C37" s="64">
        <v>156</v>
      </c>
      <c r="D37" s="64">
        <v>158</v>
      </c>
      <c r="E37" s="62">
        <f>58.9+99.2</f>
        <v>158.1</v>
      </c>
      <c r="F37" s="62">
        <f>58.8+98.8</f>
        <v>157.6</v>
      </c>
      <c r="G37" s="62">
        <v>157</v>
      </c>
      <c r="H37" s="62">
        <f>59.4+91.2</f>
        <v>150.6</v>
      </c>
      <c r="I37" s="62">
        <f>59.8+89.7</f>
        <v>149.5</v>
      </c>
      <c r="J37" s="62">
        <f>58.9+93.6</f>
        <v>152.5</v>
      </c>
      <c r="K37" s="62">
        <f>58.8+93.5</f>
        <v>152.30000000000001</v>
      </c>
      <c r="L37" s="62">
        <f>58.6+91.9</f>
        <v>150.5</v>
      </c>
      <c r="M37" s="62">
        <f>93.2+58.1</f>
        <v>151.30000000000001</v>
      </c>
      <c r="N37" s="62">
        <f>90.1+57</f>
        <v>147.1</v>
      </c>
      <c r="O37" s="62">
        <f>93.6+57.5</f>
        <v>151.1</v>
      </c>
      <c r="P37" s="62">
        <f>96.7+58.2</f>
        <v>154.9</v>
      </c>
      <c r="Q37" s="62">
        <f>96.8+58</f>
        <v>154.80000000000001</v>
      </c>
      <c r="R37" s="62">
        <f>96.9+58.2</f>
        <v>155.10000000000002</v>
      </c>
      <c r="S37" s="64">
        <v>155.10000000000002</v>
      </c>
      <c r="T37" s="64">
        <v>155.10000000000002</v>
      </c>
      <c r="U37" s="64">
        <f>57.8+97.2</f>
        <v>155</v>
      </c>
      <c r="V37" s="64">
        <f>57.8+97.2</f>
        <v>155</v>
      </c>
      <c r="W37" s="64">
        <f>57.8+97.2</f>
        <v>155</v>
      </c>
      <c r="X37" s="64">
        <f>57.2+79.3</f>
        <v>136.5</v>
      </c>
      <c r="Y37" s="64">
        <f>56.9+71.6</f>
        <v>128.5</v>
      </c>
      <c r="Z37" s="64">
        <f>56.7+73.6</f>
        <v>130.30000000000001</v>
      </c>
      <c r="AA37" s="64">
        <f>56.7+93.4</f>
        <v>150.10000000000002</v>
      </c>
      <c r="AB37" s="64">
        <f>56.7+93.4</f>
        <v>150.10000000000002</v>
      </c>
      <c r="AC37" s="64">
        <f>56.7+95</f>
        <v>151.69999999999999</v>
      </c>
      <c r="AD37" s="64">
        <f>57.7+95</f>
        <v>152.69999999999999</v>
      </c>
      <c r="AE37" s="64">
        <f>57.7+95</f>
        <v>152.69999999999999</v>
      </c>
      <c r="AF37" s="64">
        <f>57.7+95</f>
        <v>152.69999999999999</v>
      </c>
      <c r="AG37" s="136">
        <v>240</v>
      </c>
      <c r="AH37" s="54">
        <f t="shared" si="2"/>
        <v>158.1</v>
      </c>
      <c r="AI37" s="55">
        <f t="shared" si="3"/>
        <v>128.5</v>
      </c>
      <c r="AK37" s="56"/>
    </row>
    <row r="38" spans="1:88" ht="15.75" thickBot="1" x14ac:dyDescent="0.3">
      <c r="A38" s="131" t="s">
        <v>22</v>
      </c>
      <c r="B38" s="66">
        <f t="shared" ref="B38:AG38" si="4">SUM(B11:B36)</f>
        <v>791.8</v>
      </c>
      <c r="C38" s="66">
        <f t="shared" si="4"/>
        <v>788.90000000000009</v>
      </c>
      <c r="D38" s="66">
        <f t="shared" si="4"/>
        <v>780.90000000000009</v>
      </c>
      <c r="E38" s="66">
        <f t="shared" si="4"/>
        <v>766.90000000000009</v>
      </c>
      <c r="F38" s="66">
        <f t="shared" si="4"/>
        <v>766.90000000000009</v>
      </c>
      <c r="G38" s="66">
        <f t="shared" si="4"/>
        <v>766.90000000000009</v>
      </c>
      <c r="H38" s="66">
        <f t="shared" si="4"/>
        <v>766.90000000000009</v>
      </c>
      <c r="I38" s="66">
        <f t="shared" si="4"/>
        <v>766.90000000000009</v>
      </c>
      <c r="J38" s="66">
        <f t="shared" si="4"/>
        <v>766.90000000000009</v>
      </c>
      <c r="K38" s="66">
        <f t="shared" si="4"/>
        <v>806.90000000000009</v>
      </c>
      <c r="L38" s="66">
        <f t="shared" si="4"/>
        <v>814.90000000000009</v>
      </c>
      <c r="M38" s="66">
        <f t="shared" si="4"/>
        <v>820.8</v>
      </c>
      <c r="N38" s="66">
        <f t="shared" si="4"/>
        <v>820.8</v>
      </c>
      <c r="O38" s="66">
        <f t="shared" si="4"/>
        <v>805.8</v>
      </c>
      <c r="P38" s="66">
        <f t="shared" si="4"/>
        <v>831.6</v>
      </c>
      <c r="Q38" s="66">
        <f t="shared" si="4"/>
        <v>831.6</v>
      </c>
      <c r="R38" s="66">
        <f t="shared" si="4"/>
        <v>831.6</v>
      </c>
      <c r="S38" s="66">
        <f t="shared" si="4"/>
        <v>831.6</v>
      </c>
      <c r="T38" s="66">
        <f t="shared" si="4"/>
        <v>827.6</v>
      </c>
      <c r="U38" s="66">
        <f t="shared" si="4"/>
        <v>827.6</v>
      </c>
      <c r="V38" s="66">
        <f t="shared" si="4"/>
        <v>808.6</v>
      </c>
      <c r="W38" s="66">
        <f t="shared" si="4"/>
        <v>827.6</v>
      </c>
      <c r="X38" s="66">
        <f t="shared" si="4"/>
        <v>827.6</v>
      </c>
      <c r="Y38" s="66">
        <f t="shared" si="4"/>
        <v>827.6</v>
      </c>
      <c r="Z38" s="66">
        <f t="shared" si="4"/>
        <v>827.6</v>
      </c>
      <c r="AA38" s="66">
        <f t="shared" si="4"/>
        <v>827.6</v>
      </c>
      <c r="AB38" s="66">
        <f t="shared" si="4"/>
        <v>818.6</v>
      </c>
      <c r="AC38" s="66">
        <f t="shared" si="4"/>
        <v>818.6</v>
      </c>
      <c r="AD38" s="66">
        <f t="shared" si="4"/>
        <v>818.6</v>
      </c>
      <c r="AE38" s="66">
        <f t="shared" si="4"/>
        <v>818.6</v>
      </c>
      <c r="AF38" s="66">
        <f t="shared" si="4"/>
        <v>818.6</v>
      </c>
      <c r="AG38" s="143">
        <f t="shared" si="4"/>
        <v>665.78</v>
      </c>
      <c r="AH38" s="54">
        <f t="shared" si="2"/>
        <v>831.6</v>
      </c>
      <c r="AI38" s="55">
        <f t="shared" si="3"/>
        <v>766.90000000000009</v>
      </c>
      <c r="AK38" s="56"/>
    </row>
    <row r="39" spans="1:88" x14ac:dyDescent="0.25">
      <c r="A39" s="159" t="s">
        <v>130</v>
      </c>
      <c r="B39" s="50">
        <v>456</v>
      </c>
      <c r="C39" s="50">
        <v>456</v>
      </c>
      <c r="D39" s="50">
        <v>456</v>
      </c>
      <c r="E39" s="50">
        <v>456</v>
      </c>
      <c r="F39" s="50">
        <v>456</v>
      </c>
      <c r="G39" s="50">
        <v>456</v>
      </c>
      <c r="H39" s="50">
        <v>456</v>
      </c>
      <c r="I39" s="50">
        <v>456</v>
      </c>
      <c r="J39" s="50">
        <v>456</v>
      </c>
      <c r="K39" s="50">
        <v>456</v>
      </c>
      <c r="L39" s="50">
        <v>456</v>
      </c>
      <c r="M39" s="50">
        <v>456</v>
      </c>
      <c r="N39" s="50">
        <v>456</v>
      </c>
      <c r="O39" s="50">
        <v>456</v>
      </c>
      <c r="P39" s="50">
        <v>456</v>
      </c>
      <c r="Q39" s="50">
        <v>456</v>
      </c>
      <c r="R39" s="50">
        <v>456</v>
      </c>
      <c r="S39" s="50">
        <v>456</v>
      </c>
      <c r="T39" s="50">
        <v>456</v>
      </c>
      <c r="U39" s="50">
        <v>456</v>
      </c>
      <c r="V39" s="50">
        <v>456</v>
      </c>
      <c r="W39" s="50">
        <v>456</v>
      </c>
      <c r="X39" s="50">
        <v>456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456</v>
      </c>
      <c r="AF39" s="50">
        <v>456</v>
      </c>
      <c r="AG39" s="135">
        <v>456</v>
      </c>
      <c r="AH39" s="54">
        <f t="shared" si="2"/>
        <v>456</v>
      </c>
      <c r="AI39" s="55">
        <f t="shared" si="3"/>
        <v>456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f>SUM(B39:B41)</f>
        <v>538</v>
      </c>
      <c r="C42" s="66">
        <f t="shared" ref="C42:AG42" si="5">SUM(C39:C41)</f>
        <v>538</v>
      </c>
      <c r="D42" s="66">
        <f t="shared" si="5"/>
        <v>538</v>
      </c>
      <c r="E42" s="66">
        <f t="shared" si="5"/>
        <v>538</v>
      </c>
      <c r="F42" s="66">
        <f t="shared" si="5"/>
        <v>538</v>
      </c>
      <c r="G42" s="66">
        <f t="shared" si="5"/>
        <v>538</v>
      </c>
      <c r="H42" s="66">
        <f t="shared" si="5"/>
        <v>538</v>
      </c>
      <c r="I42" s="66">
        <f t="shared" si="5"/>
        <v>538</v>
      </c>
      <c r="J42" s="66">
        <f t="shared" si="5"/>
        <v>538</v>
      </c>
      <c r="K42" s="66">
        <f t="shared" si="5"/>
        <v>538</v>
      </c>
      <c r="L42" s="66">
        <f t="shared" si="5"/>
        <v>538</v>
      </c>
      <c r="M42" s="66">
        <f t="shared" si="5"/>
        <v>538</v>
      </c>
      <c r="N42" s="66">
        <f t="shared" si="5"/>
        <v>538</v>
      </c>
      <c r="O42" s="66">
        <f t="shared" si="5"/>
        <v>538</v>
      </c>
      <c r="P42" s="66">
        <f t="shared" si="5"/>
        <v>538</v>
      </c>
      <c r="Q42" s="66">
        <f t="shared" si="5"/>
        <v>538</v>
      </c>
      <c r="R42" s="66">
        <f t="shared" si="5"/>
        <v>538</v>
      </c>
      <c r="S42" s="66">
        <f t="shared" si="5"/>
        <v>538</v>
      </c>
      <c r="T42" s="66">
        <f t="shared" si="5"/>
        <v>538</v>
      </c>
      <c r="U42" s="66">
        <f t="shared" si="5"/>
        <v>538</v>
      </c>
      <c r="V42" s="66">
        <f t="shared" si="5"/>
        <v>538</v>
      </c>
      <c r="W42" s="66">
        <f t="shared" si="5"/>
        <v>538</v>
      </c>
      <c r="X42" s="66">
        <f t="shared" si="5"/>
        <v>538</v>
      </c>
      <c r="Y42" s="66">
        <f t="shared" si="5"/>
        <v>538</v>
      </c>
      <c r="Z42" s="66">
        <f t="shared" si="5"/>
        <v>538</v>
      </c>
      <c r="AA42" s="66">
        <f t="shared" si="5"/>
        <v>538</v>
      </c>
      <c r="AB42" s="66">
        <f t="shared" si="5"/>
        <v>538</v>
      </c>
      <c r="AC42" s="66">
        <f t="shared" si="5"/>
        <v>538</v>
      </c>
      <c r="AD42" s="66">
        <f t="shared" si="5"/>
        <v>538</v>
      </c>
      <c r="AE42" s="66">
        <f t="shared" si="5"/>
        <v>538</v>
      </c>
      <c r="AF42" s="66">
        <f t="shared" si="5"/>
        <v>538</v>
      </c>
      <c r="AG42" s="143">
        <f t="shared" si="5"/>
        <v>538.1</v>
      </c>
      <c r="AH42" s="54">
        <f t="shared" si="2"/>
        <v>538</v>
      </c>
      <c r="AI42" s="55">
        <f t="shared" si="3"/>
        <v>538</v>
      </c>
      <c r="AK42" s="56"/>
    </row>
    <row r="43" spans="1:88" x14ac:dyDescent="0.25">
      <c r="A43" s="57" t="s">
        <v>23</v>
      </c>
      <c r="B43" s="50">
        <v>143.30000000000001</v>
      </c>
      <c r="C43" s="50">
        <v>143.30000000000001</v>
      </c>
      <c r="D43" s="50">
        <v>143.30000000000001</v>
      </c>
      <c r="E43" s="50">
        <v>143.30000000000001</v>
      </c>
      <c r="F43" s="50">
        <v>143.30000000000001</v>
      </c>
      <c r="G43" s="50">
        <v>138.30000000000001</v>
      </c>
      <c r="H43" s="50">
        <v>140</v>
      </c>
      <c r="I43" s="50">
        <v>143</v>
      </c>
      <c r="J43" s="50">
        <v>142</v>
      </c>
      <c r="K43" s="50">
        <v>142</v>
      </c>
      <c r="L43" s="50">
        <v>142</v>
      </c>
      <c r="M43" s="50">
        <v>140.5</v>
      </c>
      <c r="N43" s="50">
        <v>139.1</v>
      </c>
      <c r="O43" s="50">
        <v>138.80000000000001</v>
      </c>
      <c r="P43" s="50">
        <v>138.1</v>
      </c>
      <c r="Q43" s="50">
        <v>139</v>
      </c>
      <c r="R43" s="50">
        <v>138.30000000000001</v>
      </c>
      <c r="S43" s="50">
        <v>139</v>
      </c>
      <c r="T43" s="50">
        <v>139</v>
      </c>
      <c r="U43" s="50">
        <v>141.4</v>
      </c>
      <c r="V43" s="50">
        <v>141.4</v>
      </c>
      <c r="W43" s="50">
        <v>141.4</v>
      </c>
      <c r="X43" s="50">
        <v>142.4</v>
      </c>
      <c r="Y43" s="50">
        <v>142.4</v>
      </c>
      <c r="Z43" s="50">
        <v>142.4</v>
      </c>
      <c r="AA43" s="50">
        <v>142.4</v>
      </c>
      <c r="AB43" s="50">
        <v>142.4</v>
      </c>
      <c r="AC43" s="50">
        <v>142.4</v>
      </c>
      <c r="AD43" s="50">
        <v>142.4</v>
      </c>
      <c r="AE43" s="50">
        <v>142.4</v>
      </c>
      <c r="AF43" s="50">
        <v>142.4</v>
      </c>
      <c r="AG43" s="135">
        <v>144</v>
      </c>
      <c r="AH43" s="54">
        <f t="shared" si="2"/>
        <v>143.30000000000001</v>
      </c>
      <c r="AI43" s="55">
        <f t="shared" si="3"/>
        <v>138.1</v>
      </c>
      <c r="AK43" s="56"/>
    </row>
    <row r="44" spans="1:88" x14ac:dyDescent="0.25">
      <c r="A44" s="60" t="s">
        <v>24</v>
      </c>
      <c r="B44" s="48">
        <v>70.900000000000006</v>
      </c>
      <c r="C44" s="48">
        <v>70.900000000000006</v>
      </c>
      <c r="D44" s="48">
        <v>70.900000000000006</v>
      </c>
      <c r="E44" s="48">
        <v>70.900000000000006</v>
      </c>
      <c r="F44" s="48">
        <v>70.900000000000006</v>
      </c>
      <c r="G44" s="48">
        <v>65.3</v>
      </c>
      <c r="H44" s="48">
        <v>65.7</v>
      </c>
      <c r="I44" s="48">
        <v>72.3</v>
      </c>
      <c r="J44" s="48">
        <v>71.7</v>
      </c>
      <c r="K44" s="48">
        <v>71.7</v>
      </c>
      <c r="L44" s="48">
        <v>71.7</v>
      </c>
      <c r="M44" s="50">
        <v>72.400000000000006</v>
      </c>
      <c r="N44" s="50">
        <v>73.2</v>
      </c>
      <c r="O44" s="50">
        <v>73.099999999999994</v>
      </c>
      <c r="P44" s="50">
        <v>72.3</v>
      </c>
      <c r="Q44" s="50">
        <v>69.5</v>
      </c>
      <c r="R44" s="50">
        <v>72</v>
      </c>
      <c r="S44" s="48">
        <v>69.900000000000006</v>
      </c>
      <c r="T44" s="48">
        <v>69.900000000000006</v>
      </c>
      <c r="U44" s="48">
        <v>70.099999999999994</v>
      </c>
      <c r="V44" s="48">
        <v>70.099999999999994</v>
      </c>
      <c r="W44" s="48">
        <v>70.099999999999994</v>
      </c>
      <c r="X44" s="48">
        <v>71.2</v>
      </c>
      <c r="Y44" s="48">
        <v>71.2</v>
      </c>
      <c r="Z44" s="48">
        <v>71.2</v>
      </c>
      <c r="AA44" s="48">
        <v>71.2</v>
      </c>
      <c r="AB44" s="48">
        <v>71.2</v>
      </c>
      <c r="AC44" s="48">
        <v>71.2</v>
      </c>
      <c r="AD44" s="48">
        <v>71.2</v>
      </c>
      <c r="AE44" s="48">
        <v>71.2</v>
      </c>
      <c r="AF44" s="48">
        <v>71.2</v>
      </c>
      <c r="AG44" s="136">
        <v>70</v>
      </c>
      <c r="AH44" s="54">
        <f t="shared" si="2"/>
        <v>73.2</v>
      </c>
      <c r="AI44" s="55">
        <f t="shared" si="3"/>
        <v>65.3</v>
      </c>
      <c r="AK44" s="56"/>
    </row>
    <row r="45" spans="1:88" x14ac:dyDescent="0.25">
      <c r="A45" s="60" t="s">
        <v>25</v>
      </c>
      <c r="B45" s="48">
        <v>63.1</v>
      </c>
      <c r="C45" s="48">
        <v>63.1</v>
      </c>
      <c r="D45" s="48">
        <v>63.1</v>
      </c>
      <c r="E45" s="48">
        <v>63.1</v>
      </c>
      <c r="F45" s="48">
        <v>63.1</v>
      </c>
      <c r="G45" s="48">
        <v>55</v>
      </c>
      <c r="H45" s="48">
        <v>60</v>
      </c>
      <c r="I45" s="48">
        <v>62.4</v>
      </c>
      <c r="J45" s="48">
        <v>62.6</v>
      </c>
      <c r="K45" s="48">
        <v>62.6</v>
      </c>
      <c r="L45" s="48">
        <v>62.6</v>
      </c>
      <c r="M45" s="50">
        <v>62.5</v>
      </c>
      <c r="N45" s="50">
        <v>62.1</v>
      </c>
      <c r="O45" s="50">
        <v>61.9</v>
      </c>
      <c r="P45" s="50">
        <v>62.6</v>
      </c>
      <c r="Q45" s="50">
        <v>62.4</v>
      </c>
      <c r="R45" s="50">
        <v>62.7</v>
      </c>
      <c r="S45" s="48">
        <v>62.7</v>
      </c>
      <c r="T45" s="48">
        <v>62.7</v>
      </c>
      <c r="U45" s="48">
        <v>62.8</v>
      </c>
      <c r="V45" s="48">
        <v>62.8</v>
      </c>
      <c r="W45" s="48">
        <v>62.8</v>
      </c>
      <c r="X45" s="48">
        <v>63.1</v>
      </c>
      <c r="Y45" s="48">
        <v>63.1</v>
      </c>
      <c r="Z45" s="48">
        <v>63.1</v>
      </c>
      <c r="AA45" s="48">
        <v>63.1</v>
      </c>
      <c r="AB45" s="48">
        <v>63.1</v>
      </c>
      <c r="AC45" s="48">
        <v>63.1</v>
      </c>
      <c r="AD45" s="48">
        <v>63.1</v>
      </c>
      <c r="AE45" s="48">
        <v>63.1</v>
      </c>
      <c r="AF45" s="48">
        <v>63.1</v>
      </c>
      <c r="AG45" s="136">
        <v>69</v>
      </c>
      <c r="AH45" s="54">
        <f t="shared" si="2"/>
        <v>63.1</v>
      </c>
      <c r="AI45" s="55">
        <f t="shared" si="3"/>
        <v>55</v>
      </c>
      <c r="AK45" s="56"/>
    </row>
    <row r="46" spans="1:88" x14ac:dyDescent="0.25">
      <c r="A46" s="60" t="s">
        <v>26</v>
      </c>
      <c r="B46" s="62">
        <v>61.2</v>
      </c>
      <c r="C46" s="62">
        <v>61.2</v>
      </c>
      <c r="D46" s="62">
        <v>61.2</v>
      </c>
      <c r="E46" s="62">
        <v>61.2</v>
      </c>
      <c r="F46" s="62">
        <v>61.2</v>
      </c>
      <c r="G46" s="62">
        <v>61.2</v>
      </c>
      <c r="H46" s="62">
        <v>61.2</v>
      </c>
      <c r="I46" s="62">
        <v>61.2</v>
      </c>
      <c r="J46" s="62">
        <v>60.7</v>
      </c>
      <c r="K46" s="62">
        <v>60.7</v>
      </c>
      <c r="L46" s="62">
        <v>60.7</v>
      </c>
      <c r="M46" s="50">
        <v>60.7</v>
      </c>
      <c r="N46" s="50">
        <v>61</v>
      </c>
      <c r="O46" s="50">
        <v>60.7</v>
      </c>
      <c r="P46" s="50">
        <v>60.7</v>
      </c>
      <c r="Q46" s="50">
        <v>60.4</v>
      </c>
      <c r="R46" s="50">
        <v>60.4</v>
      </c>
      <c r="S46" s="50">
        <v>60.4</v>
      </c>
      <c r="T46" s="50">
        <v>60.4</v>
      </c>
      <c r="U46" s="50">
        <v>60.4</v>
      </c>
      <c r="V46" s="50">
        <v>60.4</v>
      </c>
      <c r="W46" s="50">
        <v>30</v>
      </c>
      <c r="X46" s="50">
        <v>60.4</v>
      </c>
      <c r="Y46" s="50">
        <v>60.4</v>
      </c>
      <c r="Z46" s="50">
        <v>60.4</v>
      </c>
      <c r="AA46" s="50">
        <v>60.4</v>
      </c>
      <c r="AB46" s="50">
        <v>60.4</v>
      </c>
      <c r="AC46" s="50">
        <v>60.4</v>
      </c>
      <c r="AD46" s="50">
        <v>60.4</v>
      </c>
      <c r="AE46" s="50">
        <v>60.4</v>
      </c>
      <c r="AF46" s="50">
        <v>60.4</v>
      </c>
      <c r="AG46" s="136">
        <v>60</v>
      </c>
      <c r="AH46" s="54">
        <f t="shared" si="2"/>
        <v>61.2</v>
      </c>
      <c r="AI46" s="55">
        <f t="shared" si="3"/>
        <v>30</v>
      </c>
      <c r="AK46" s="56"/>
    </row>
    <row r="47" spans="1:88" x14ac:dyDescent="0.25">
      <c r="A47" s="60" t="s">
        <v>27</v>
      </c>
      <c r="B47" s="62">
        <v>28.7</v>
      </c>
      <c r="C47" s="62">
        <v>28.7</v>
      </c>
      <c r="D47" s="62">
        <v>28.7</v>
      </c>
      <c r="E47" s="62">
        <v>28.7</v>
      </c>
      <c r="F47" s="62">
        <v>28.7</v>
      </c>
      <c r="G47" s="62">
        <v>28.7</v>
      </c>
      <c r="H47" s="62">
        <v>28.7</v>
      </c>
      <c r="I47" s="62">
        <v>28.7</v>
      </c>
      <c r="J47" s="62">
        <v>28.7</v>
      </c>
      <c r="K47" s="62">
        <v>28.7</v>
      </c>
      <c r="L47" s="62">
        <v>28.7</v>
      </c>
      <c r="M47" s="50">
        <v>28.6</v>
      </c>
      <c r="N47" s="50">
        <v>28.6</v>
      </c>
      <c r="O47" s="50">
        <v>28.5</v>
      </c>
      <c r="P47" s="50">
        <v>28.5</v>
      </c>
      <c r="Q47" s="50">
        <v>28.6</v>
      </c>
      <c r="R47" s="50">
        <v>28.6</v>
      </c>
      <c r="S47" s="50">
        <v>28.6</v>
      </c>
      <c r="T47" s="50">
        <v>28.6</v>
      </c>
      <c r="U47" s="50">
        <v>28.6</v>
      </c>
      <c r="V47" s="50">
        <v>14.5</v>
      </c>
      <c r="W47" s="50">
        <v>28.6</v>
      </c>
      <c r="X47" s="50">
        <v>28.6</v>
      </c>
      <c r="Y47" s="50">
        <v>28.6</v>
      </c>
      <c r="Z47" s="50">
        <v>28.6</v>
      </c>
      <c r="AA47" s="50">
        <v>28.6</v>
      </c>
      <c r="AB47" s="50">
        <v>28.6</v>
      </c>
      <c r="AC47" s="50">
        <v>28.6</v>
      </c>
      <c r="AD47" s="50">
        <v>28.6</v>
      </c>
      <c r="AE47" s="50">
        <v>28.6</v>
      </c>
      <c r="AF47" s="50">
        <v>28.6</v>
      </c>
      <c r="AG47" s="136">
        <v>30</v>
      </c>
      <c r="AH47" s="54">
        <f t="shared" si="2"/>
        <v>28.7</v>
      </c>
      <c r="AI47" s="55">
        <f t="shared" si="3"/>
        <v>14.5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48">
        <v>0</v>
      </c>
      <c r="M48" s="48">
        <v>0</v>
      </c>
      <c r="N48" s="48">
        <v>0</v>
      </c>
      <c r="O48" s="48">
        <v>0</v>
      </c>
      <c r="P48" s="48">
        <v>0</v>
      </c>
      <c r="Q48" s="48">
        <v>0</v>
      </c>
      <c r="R48" s="48">
        <v>0</v>
      </c>
      <c r="S48" s="48">
        <v>0</v>
      </c>
      <c r="T48" s="48">
        <v>0</v>
      </c>
      <c r="U48" s="48">
        <v>0</v>
      </c>
      <c r="V48" s="48">
        <v>0</v>
      </c>
      <c r="W48" s="48">
        <v>0</v>
      </c>
      <c r="X48" s="48">
        <v>0</v>
      </c>
      <c r="Y48" s="48">
        <v>0</v>
      </c>
      <c r="Z48" s="48">
        <v>0</v>
      </c>
      <c r="AA48" s="48">
        <v>0</v>
      </c>
      <c r="AB48" s="48">
        <v>0</v>
      </c>
      <c r="AC48" s="48">
        <v>0</v>
      </c>
      <c r="AD48" s="48">
        <v>0</v>
      </c>
      <c r="AE48" s="48">
        <v>0</v>
      </c>
      <c r="AF48" s="50">
        <v>0</v>
      </c>
      <c r="AG48" s="136">
        <v>25</v>
      </c>
      <c r="AH48" s="54">
        <f t="shared" si="2"/>
        <v>0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16.7</v>
      </c>
      <c r="C49" s="48">
        <v>16.7</v>
      </c>
      <c r="D49" s="48">
        <v>14</v>
      </c>
      <c r="E49" s="48">
        <v>14</v>
      </c>
      <c r="F49" s="48">
        <v>14</v>
      </c>
      <c r="G49" s="48">
        <v>14</v>
      </c>
      <c r="H49" s="48">
        <v>14</v>
      </c>
      <c r="I49" s="48">
        <v>13.6</v>
      </c>
      <c r="J49" s="48">
        <v>12.9</v>
      </c>
      <c r="K49" s="48">
        <v>12.9</v>
      </c>
      <c r="L49" s="48">
        <v>12.9</v>
      </c>
      <c r="M49" s="50">
        <v>16.8</v>
      </c>
      <c r="N49" s="50">
        <v>16.7</v>
      </c>
      <c r="O49" s="50">
        <v>16.7</v>
      </c>
      <c r="P49" s="50">
        <v>13.7</v>
      </c>
      <c r="Q49" s="50">
        <v>13.9</v>
      </c>
      <c r="R49" s="50">
        <v>13.9</v>
      </c>
      <c r="S49" s="50">
        <v>13.9</v>
      </c>
      <c r="T49" s="50">
        <v>13.9</v>
      </c>
      <c r="U49" s="50">
        <v>13.9</v>
      </c>
      <c r="V49" s="50">
        <v>13.9</v>
      </c>
      <c r="W49" s="50">
        <v>13.9</v>
      </c>
      <c r="X49" s="50">
        <v>13.9</v>
      </c>
      <c r="Y49" s="50">
        <v>13.9</v>
      </c>
      <c r="Z49" s="50">
        <v>13.9</v>
      </c>
      <c r="AA49" s="50">
        <v>13.9</v>
      </c>
      <c r="AB49" s="50">
        <v>13.9</v>
      </c>
      <c r="AC49" s="50">
        <v>13.9</v>
      </c>
      <c r="AD49" s="50">
        <v>13.9</v>
      </c>
      <c r="AE49" s="50">
        <v>13.9</v>
      </c>
      <c r="AF49" s="50">
        <v>13.9</v>
      </c>
      <c r="AG49" s="136">
        <v>24</v>
      </c>
      <c r="AH49" s="54">
        <f t="shared" si="2"/>
        <v>16.8</v>
      </c>
      <c r="AI49" s="55">
        <f t="shared" si="3"/>
        <v>12.9</v>
      </c>
      <c r="AK49" s="56"/>
    </row>
    <row r="50" spans="1:41" x14ac:dyDescent="0.25">
      <c r="A50" s="60" t="s">
        <v>30</v>
      </c>
      <c r="B50" s="48">
        <v>2.8</v>
      </c>
      <c r="C50" s="48">
        <v>2.8</v>
      </c>
      <c r="D50" s="48">
        <v>2.8</v>
      </c>
      <c r="E50" s="48">
        <v>2.8</v>
      </c>
      <c r="F50" s="48">
        <v>2.8</v>
      </c>
      <c r="G50" s="48">
        <v>2.8</v>
      </c>
      <c r="H50" s="48">
        <v>2.8</v>
      </c>
      <c r="I50" s="48">
        <v>2.8</v>
      </c>
      <c r="J50" s="48">
        <v>2.8</v>
      </c>
      <c r="K50" s="48">
        <v>2.8</v>
      </c>
      <c r="L50" s="48">
        <v>2.8</v>
      </c>
      <c r="M50" s="48">
        <v>2.8</v>
      </c>
      <c r="N50" s="50">
        <v>2.8</v>
      </c>
      <c r="O50" s="50">
        <v>0</v>
      </c>
      <c r="P50" s="50">
        <v>0</v>
      </c>
      <c r="Q50" s="50">
        <v>0</v>
      </c>
      <c r="R50" s="50">
        <v>0</v>
      </c>
      <c r="S50" s="50">
        <v>0</v>
      </c>
      <c r="T50" s="50">
        <v>0</v>
      </c>
      <c r="U50" s="50">
        <v>0</v>
      </c>
      <c r="V50" s="50">
        <v>0</v>
      </c>
      <c r="W50" s="50">
        <v>0</v>
      </c>
      <c r="X50" s="50">
        <v>0</v>
      </c>
      <c r="Y50" s="50">
        <v>0</v>
      </c>
      <c r="Z50" s="50">
        <v>0</v>
      </c>
      <c r="AA50" s="50">
        <v>0</v>
      </c>
      <c r="AB50" s="50">
        <v>0</v>
      </c>
      <c r="AC50" s="50">
        <v>0</v>
      </c>
      <c r="AD50" s="50">
        <v>0</v>
      </c>
      <c r="AE50" s="50">
        <v>0</v>
      </c>
      <c r="AF50" s="50">
        <v>0</v>
      </c>
      <c r="AG50" s="136">
        <v>15</v>
      </c>
      <c r="AH50" s="54">
        <f t="shared" si="2"/>
        <v>2.8</v>
      </c>
      <c r="AI50" s="55">
        <f t="shared" si="3"/>
        <v>0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9.1</v>
      </c>
      <c r="C51" s="48">
        <v>9.1</v>
      </c>
      <c r="D51" s="48">
        <v>9.1</v>
      </c>
      <c r="E51" s="48">
        <v>9.1</v>
      </c>
      <c r="F51" s="48">
        <v>9.1</v>
      </c>
      <c r="G51" s="48">
        <v>9.1</v>
      </c>
      <c r="H51" s="48">
        <v>9.1</v>
      </c>
      <c r="I51" s="48">
        <v>9.1</v>
      </c>
      <c r="J51" s="48">
        <v>8.9</v>
      </c>
      <c r="K51" s="48">
        <v>8.9</v>
      </c>
      <c r="L51" s="48">
        <v>8.9</v>
      </c>
      <c r="M51" s="48">
        <v>8.9</v>
      </c>
      <c r="N51" s="50">
        <v>8.9</v>
      </c>
      <c r="O51" s="50">
        <v>8.9</v>
      </c>
      <c r="P51" s="50">
        <v>8.9</v>
      </c>
      <c r="Q51" s="50">
        <v>8.9</v>
      </c>
      <c r="R51" s="50">
        <v>8.9</v>
      </c>
      <c r="S51" s="50">
        <v>8.9</v>
      </c>
      <c r="T51" s="50">
        <v>8.9</v>
      </c>
      <c r="U51" s="50">
        <v>8.9</v>
      </c>
      <c r="V51" s="50">
        <v>8.9</v>
      </c>
      <c r="W51" s="50">
        <v>8.9</v>
      </c>
      <c r="X51" s="50">
        <v>8.9</v>
      </c>
      <c r="Y51" s="50">
        <v>8.9</v>
      </c>
      <c r="Z51" s="50">
        <v>8.9</v>
      </c>
      <c r="AA51" s="50">
        <v>8.9</v>
      </c>
      <c r="AB51" s="50">
        <v>8.9</v>
      </c>
      <c r="AC51" s="50">
        <v>8.9</v>
      </c>
      <c r="AD51" s="50">
        <v>8.9</v>
      </c>
      <c r="AE51" s="50">
        <v>8.9</v>
      </c>
      <c r="AF51" s="50">
        <v>8.9</v>
      </c>
      <c r="AG51" s="136">
        <v>14.1</v>
      </c>
      <c r="AH51" s="54">
        <f t="shared" si="2"/>
        <v>9.1</v>
      </c>
      <c r="AI51" s="55">
        <f t="shared" si="3"/>
        <v>8.9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14</v>
      </c>
      <c r="C52" s="48">
        <v>14</v>
      </c>
      <c r="D52" s="48">
        <v>2.6</v>
      </c>
      <c r="E52" s="48">
        <v>0</v>
      </c>
      <c r="F52" s="48">
        <v>0</v>
      </c>
      <c r="G52" s="48">
        <v>6.8</v>
      </c>
      <c r="H52" s="48">
        <v>6.8</v>
      </c>
      <c r="I52" s="48">
        <v>6.8</v>
      </c>
      <c r="J52" s="48">
        <v>8.6</v>
      </c>
      <c r="K52" s="48">
        <v>3</v>
      </c>
      <c r="L52" s="48">
        <v>3</v>
      </c>
      <c r="M52" s="48">
        <v>14</v>
      </c>
      <c r="N52" s="50">
        <v>14</v>
      </c>
      <c r="O52" s="50">
        <v>14</v>
      </c>
      <c r="P52" s="50">
        <v>14</v>
      </c>
      <c r="Q52" s="50">
        <v>13.9</v>
      </c>
      <c r="R52" s="50">
        <v>13.9</v>
      </c>
      <c r="S52" s="50">
        <v>13.9</v>
      </c>
      <c r="T52" s="50">
        <v>13.9</v>
      </c>
      <c r="U52" s="50">
        <v>13.9</v>
      </c>
      <c r="V52" s="50">
        <v>13.9</v>
      </c>
      <c r="W52" s="50">
        <v>13.9</v>
      </c>
      <c r="X52" s="50">
        <v>13.9</v>
      </c>
      <c r="Y52" s="50">
        <v>13.9</v>
      </c>
      <c r="Z52" s="50">
        <v>13.9</v>
      </c>
      <c r="AA52" s="50">
        <v>13.9</v>
      </c>
      <c r="AB52" s="50">
        <v>13.9</v>
      </c>
      <c r="AC52" s="50">
        <v>13.9</v>
      </c>
      <c r="AD52" s="50">
        <v>13.9</v>
      </c>
      <c r="AE52" s="50">
        <v>2.2999999999999998</v>
      </c>
      <c r="AF52" s="50">
        <v>0</v>
      </c>
      <c r="AG52" s="136">
        <v>14</v>
      </c>
      <c r="AH52" s="54">
        <f t="shared" si="2"/>
        <v>14</v>
      </c>
      <c r="AI52" s="55">
        <f t="shared" si="3"/>
        <v>0</v>
      </c>
      <c r="AK52" s="56"/>
    </row>
    <row r="53" spans="1:41" x14ac:dyDescent="0.25">
      <c r="A53" s="60" t="s">
        <v>33</v>
      </c>
      <c r="B53" s="48">
        <v>6.3</v>
      </c>
      <c r="C53" s="48">
        <v>6.3</v>
      </c>
      <c r="D53" s="48">
        <v>6.3</v>
      </c>
      <c r="E53" s="48">
        <v>6.1</v>
      </c>
      <c r="F53" s="48">
        <v>6.1</v>
      </c>
      <c r="G53" s="48">
        <v>6.1</v>
      </c>
      <c r="H53" s="48">
        <v>6.1</v>
      </c>
      <c r="I53" s="48">
        <v>6.1</v>
      </c>
      <c r="J53" s="48">
        <v>6.1</v>
      </c>
      <c r="K53" s="48">
        <v>6.1</v>
      </c>
      <c r="L53" s="48">
        <v>6.1</v>
      </c>
      <c r="M53" s="48">
        <v>3.2</v>
      </c>
      <c r="N53" s="50">
        <v>0</v>
      </c>
      <c r="O53" s="50">
        <v>6.3</v>
      </c>
      <c r="P53" s="50">
        <v>6.3</v>
      </c>
      <c r="Q53" s="50">
        <v>6.3</v>
      </c>
      <c r="R53" s="50">
        <v>6.3</v>
      </c>
      <c r="S53" s="50">
        <v>6.3</v>
      </c>
      <c r="T53" s="50">
        <v>6.3</v>
      </c>
      <c r="U53" s="50">
        <v>6.3</v>
      </c>
      <c r="V53" s="50">
        <v>6.3</v>
      </c>
      <c r="W53" s="50">
        <v>6.3</v>
      </c>
      <c r="X53" s="50">
        <v>6.3</v>
      </c>
      <c r="Y53" s="50">
        <v>6.3</v>
      </c>
      <c r="Z53" s="50">
        <v>6.3</v>
      </c>
      <c r="AA53" s="50">
        <v>6.3</v>
      </c>
      <c r="AB53" s="50">
        <v>6.3</v>
      </c>
      <c r="AC53" s="50">
        <v>6.3</v>
      </c>
      <c r="AD53" s="50">
        <v>6.3</v>
      </c>
      <c r="AE53" s="50">
        <v>6.3</v>
      </c>
      <c r="AF53" s="50">
        <v>6.3</v>
      </c>
      <c r="AG53" s="136">
        <v>10.050000000000001</v>
      </c>
      <c r="AH53" s="54">
        <f t="shared" si="2"/>
        <v>6.3</v>
      </c>
      <c r="AI53" s="55">
        <f t="shared" si="3"/>
        <v>0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48">
        <v>6.2</v>
      </c>
      <c r="N54" s="50">
        <v>6.2</v>
      </c>
      <c r="O54" s="50">
        <v>6.2</v>
      </c>
      <c r="P54" s="50">
        <v>6.2</v>
      </c>
      <c r="Q54" s="50">
        <v>6.2</v>
      </c>
      <c r="R54" s="50">
        <v>6.2</v>
      </c>
      <c r="S54" s="50">
        <v>6.2</v>
      </c>
      <c r="T54" s="50">
        <v>6.2</v>
      </c>
      <c r="U54" s="50">
        <v>6.2</v>
      </c>
      <c r="V54" s="50">
        <v>6.2</v>
      </c>
      <c r="W54" s="50">
        <v>6.2</v>
      </c>
      <c r="X54" s="50">
        <v>6.2</v>
      </c>
      <c r="Y54" s="50">
        <v>6.2</v>
      </c>
      <c r="Z54" s="50">
        <v>6.2</v>
      </c>
      <c r="AA54" s="50">
        <v>6.2</v>
      </c>
      <c r="AB54" s="50">
        <v>6.2</v>
      </c>
      <c r="AC54" s="50">
        <v>6.2</v>
      </c>
      <c r="AD54" s="50">
        <v>6.2</v>
      </c>
      <c r="AE54" s="50">
        <v>6.2</v>
      </c>
      <c r="AF54" s="50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6">AG220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>SUM(B43:B55)</f>
        <v>425.84000000000003</v>
      </c>
      <c r="C56" s="66">
        <f t="shared" ref="C56:AG56" si="7">SUM(C43:C55)</f>
        <v>425.84000000000003</v>
      </c>
      <c r="D56" s="66">
        <f t="shared" si="7"/>
        <v>411.74000000000007</v>
      </c>
      <c r="E56" s="66">
        <f t="shared" si="7"/>
        <v>408.94000000000005</v>
      </c>
      <c r="F56" s="66">
        <f t="shared" si="7"/>
        <v>408.94000000000005</v>
      </c>
      <c r="G56" s="66">
        <f t="shared" si="7"/>
        <v>397.04000000000008</v>
      </c>
      <c r="H56" s="66">
        <f t="shared" si="7"/>
        <v>404.14000000000004</v>
      </c>
      <c r="I56" s="66">
        <f t="shared" si="7"/>
        <v>415.74000000000007</v>
      </c>
      <c r="J56" s="66">
        <f t="shared" si="7"/>
        <v>414.74</v>
      </c>
      <c r="K56" s="66">
        <f t="shared" si="7"/>
        <v>409.14</v>
      </c>
      <c r="L56" s="66">
        <f t="shared" si="7"/>
        <v>409.14</v>
      </c>
      <c r="M56" s="66">
        <f t="shared" si="7"/>
        <v>420.14</v>
      </c>
      <c r="N56" s="66">
        <f t="shared" si="7"/>
        <v>416.14000000000004</v>
      </c>
      <c r="O56" s="66">
        <f t="shared" si="7"/>
        <v>418.64</v>
      </c>
      <c r="P56" s="66">
        <f t="shared" si="7"/>
        <v>414.84</v>
      </c>
      <c r="Q56" s="66">
        <f t="shared" si="7"/>
        <v>412.63999999999993</v>
      </c>
      <c r="R56" s="66">
        <f t="shared" si="7"/>
        <v>414.73999999999995</v>
      </c>
      <c r="S56" s="66">
        <f t="shared" si="7"/>
        <v>413.34</v>
      </c>
      <c r="T56" s="66">
        <f t="shared" si="7"/>
        <v>413.34</v>
      </c>
      <c r="U56" s="66">
        <f t="shared" si="7"/>
        <v>416.03999999999996</v>
      </c>
      <c r="V56" s="66">
        <f t="shared" si="7"/>
        <v>401.93999999999994</v>
      </c>
      <c r="W56" s="66">
        <f t="shared" si="7"/>
        <v>385.64</v>
      </c>
      <c r="X56" s="66">
        <f t="shared" si="7"/>
        <v>418.44</v>
      </c>
      <c r="Y56" s="66">
        <f t="shared" si="7"/>
        <v>418.44</v>
      </c>
      <c r="Z56" s="66">
        <f t="shared" si="7"/>
        <v>418.44</v>
      </c>
      <c r="AA56" s="66">
        <f t="shared" si="7"/>
        <v>418.44</v>
      </c>
      <c r="AB56" s="66">
        <f t="shared" si="7"/>
        <v>418.44</v>
      </c>
      <c r="AC56" s="66">
        <f t="shared" si="7"/>
        <v>418.44</v>
      </c>
      <c r="AD56" s="66">
        <f t="shared" si="7"/>
        <v>418.44</v>
      </c>
      <c r="AE56" s="66">
        <f t="shared" si="7"/>
        <v>406.84000000000003</v>
      </c>
      <c r="AF56" s="66">
        <f t="shared" si="7"/>
        <v>404.54</v>
      </c>
      <c r="AG56" s="143">
        <f t="shared" si="7"/>
        <v>489.91</v>
      </c>
      <c r="AH56" s="54">
        <f t="shared" si="2"/>
        <v>425.84000000000003</v>
      </c>
      <c r="AI56" s="55">
        <f t="shared" si="3"/>
        <v>385.64</v>
      </c>
      <c r="AK56" s="56"/>
    </row>
    <row r="57" spans="1:41" x14ac:dyDescent="0.25">
      <c r="A57" s="57" t="s">
        <v>37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50">
        <v>14</v>
      </c>
      <c r="P57" s="50">
        <v>10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0</v>
      </c>
      <c r="AB57" s="50">
        <v>0</v>
      </c>
      <c r="AC57" s="50">
        <v>0</v>
      </c>
      <c r="AD57" s="50">
        <v>0</v>
      </c>
      <c r="AE57" s="50">
        <v>0</v>
      </c>
      <c r="AF57" s="50">
        <v>0</v>
      </c>
      <c r="AG57" s="135">
        <v>60</v>
      </c>
      <c r="AH57" s="54">
        <f t="shared" si="2"/>
        <v>14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7.1</v>
      </c>
      <c r="P58" s="48">
        <v>5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136">
        <v>32</v>
      </c>
      <c r="AH58" s="54">
        <f t="shared" si="2"/>
        <v>7.1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70">
        <v>2.6</v>
      </c>
      <c r="P59" s="70">
        <v>1.8</v>
      </c>
      <c r="Q59" s="70">
        <v>0</v>
      </c>
      <c r="R59" s="70">
        <v>0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70">
        <v>0</v>
      </c>
      <c r="AB59" s="70">
        <v>0</v>
      </c>
      <c r="AC59" s="70">
        <v>0</v>
      </c>
      <c r="AD59" s="70">
        <v>0</v>
      </c>
      <c r="AE59" s="70">
        <v>0</v>
      </c>
      <c r="AF59" s="70">
        <v>0</v>
      </c>
      <c r="AG59" s="137">
        <v>14</v>
      </c>
      <c r="AH59" s="54">
        <f t="shared" si="2"/>
        <v>2.6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>SUM(B57:B59)</f>
        <v>0</v>
      </c>
      <c r="C60" s="66">
        <f t="shared" ref="C60:AG60" si="8">SUM(C57:C59)</f>
        <v>0</v>
      </c>
      <c r="D60" s="66">
        <f t="shared" si="8"/>
        <v>0</v>
      </c>
      <c r="E60" s="66">
        <f t="shared" si="8"/>
        <v>0</v>
      </c>
      <c r="F60" s="66">
        <f t="shared" si="8"/>
        <v>0</v>
      </c>
      <c r="G60" s="66">
        <f t="shared" si="8"/>
        <v>0</v>
      </c>
      <c r="H60" s="66">
        <f t="shared" si="8"/>
        <v>0</v>
      </c>
      <c r="I60" s="66">
        <f t="shared" si="8"/>
        <v>0</v>
      </c>
      <c r="J60" s="66">
        <f t="shared" si="8"/>
        <v>0</v>
      </c>
      <c r="K60" s="66">
        <f t="shared" si="8"/>
        <v>0</v>
      </c>
      <c r="L60" s="66">
        <f t="shared" si="8"/>
        <v>0</v>
      </c>
      <c r="M60" s="66">
        <f t="shared" si="8"/>
        <v>0</v>
      </c>
      <c r="N60" s="66">
        <f t="shared" si="8"/>
        <v>0</v>
      </c>
      <c r="O60" s="66">
        <f t="shared" si="8"/>
        <v>23.700000000000003</v>
      </c>
      <c r="P60" s="66">
        <f t="shared" si="8"/>
        <v>16.8</v>
      </c>
      <c r="Q60" s="66">
        <f t="shared" si="8"/>
        <v>0</v>
      </c>
      <c r="R60" s="66">
        <f t="shared" si="8"/>
        <v>0</v>
      </c>
      <c r="S60" s="66">
        <f t="shared" si="8"/>
        <v>0</v>
      </c>
      <c r="T60" s="66">
        <f t="shared" si="8"/>
        <v>0</v>
      </c>
      <c r="U60" s="66">
        <f t="shared" si="8"/>
        <v>0</v>
      </c>
      <c r="V60" s="66">
        <f t="shared" si="8"/>
        <v>0</v>
      </c>
      <c r="W60" s="66">
        <f t="shared" si="8"/>
        <v>0</v>
      </c>
      <c r="X60" s="66">
        <f t="shared" si="8"/>
        <v>0</v>
      </c>
      <c r="Y60" s="66">
        <f t="shared" si="8"/>
        <v>0</v>
      </c>
      <c r="Z60" s="66">
        <f t="shared" si="8"/>
        <v>0</v>
      </c>
      <c r="AA60" s="66">
        <f t="shared" si="8"/>
        <v>0</v>
      </c>
      <c r="AB60" s="66">
        <f t="shared" si="8"/>
        <v>0</v>
      </c>
      <c r="AC60" s="66">
        <f t="shared" si="8"/>
        <v>0</v>
      </c>
      <c r="AD60" s="66">
        <f t="shared" si="8"/>
        <v>0</v>
      </c>
      <c r="AE60" s="66">
        <f t="shared" si="8"/>
        <v>0</v>
      </c>
      <c r="AF60" s="66">
        <f t="shared" si="8"/>
        <v>0</v>
      </c>
      <c r="AG60" s="143">
        <f t="shared" si="8"/>
        <v>106</v>
      </c>
      <c r="AH60" s="54">
        <f t="shared" si="2"/>
        <v>23.700000000000003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26</v>
      </c>
      <c r="C61" s="50">
        <v>10</v>
      </c>
      <c r="D61" s="50">
        <v>9.9</v>
      </c>
      <c r="E61" s="50">
        <v>10</v>
      </c>
      <c r="F61" s="50">
        <v>7.4</v>
      </c>
      <c r="G61" s="50">
        <v>3.6</v>
      </c>
      <c r="H61" s="50">
        <v>1.2</v>
      </c>
      <c r="I61" s="50">
        <v>2.2000000000000002</v>
      </c>
      <c r="J61" s="50">
        <v>4.5999999999999996</v>
      </c>
      <c r="K61" s="50">
        <v>5.8</v>
      </c>
      <c r="L61" s="50">
        <v>29.1</v>
      </c>
      <c r="M61" s="50">
        <v>41.1</v>
      </c>
      <c r="N61" s="50">
        <v>40.200000000000003</v>
      </c>
      <c r="O61" s="50">
        <v>47.7</v>
      </c>
      <c r="P61" s="50">
        <v>53.6</v>
      </c>
      <c r="Q61" s="50">
        <v>53.8</v>
      </c>
      <c r="R61" s="50">
        <v>27.7</v>
      </c>
      <c r="S61" s="50">
        <v>59</v>
      </c>
      <c r="T61" s="50">
        <v>54.6</v>
      </c>
      <c r="U61" s="50">
        <v>46.1</v>
      </c>
      <c r="V61" s="50">
        <v>46.1</v>
      </c>
      <c r="W61" s="50">
        <v>46.1</v>
      </c>
      <c r="X61" s="50">
        <v>44</v>
      </c>
      <c r="Y61" s="50">
        <v>35.6</v>
      </c>
      <c r="Z61" s="50">
        <v>35.6</v>
      </c>
      <c r="AA61" s="50">
        <v>16.5</v>
      </c>
      <c r="AB61" s="50">
        <v>66.099999999999994</v>
      </c>
      <c r="AC61" s="50">
        <v>69</v>
      </c>
      <c r="AD61" s="50">
        <v>44.6</v>
      </c>
      <c r="AE61" s="50">
        <v>42.7</v>
      </c>
      <c r="AF61" s="50">
        <v>51.5</v>
      </c>
      <c r="AG61" s="135"/>
      <c r="AH61" s="54">
        <f t="shared" si="2"/>
        <v>69</v>
      </c>
      <c r="AI61" s="55">
        <f t="shared" si="3"/>
        <v>1.2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-339</v>
      </c>
      <c r="C63" s="48">
        <v>-364</v>
      </c>
      <c r="D63" s="48">
        <v>-390</v>
      </c>
      <c r="E63" s="48">
        <v>-374.6</v>
      </c>
      <c r="F63" s="48">
        <v>-387.5</v>
      </c>
      <c r="G63" s="48">
        <v>-410</v>
      </c>
      <c r="H63" s="48">
        <v>-390.1</v>
      </c>
      <c r="I63" s="48">
        <v>-386.9</v>
      </c>
      <c r="J63" s="48">
        <v>-367.5</v>
      </c>
      <c r="K63" s="48">
        <v>-369.1</v>
      </c>
      <c r="L63" s="48">
        <v>-377.9</v>
      </c>
      <c r="M63" s="48">
        <v>-371.5</v>
      </c>
      <c r="N63" s="48">
        <v>-355</v>
      </c>
      <c r="O63" s="48">
        <v>-304.3</v>
      </c>
      <c r="P63" s="48">
        <v>-309.10000000000002</v>
      </c>
      <c r="Q63" s="48">
        <v>-298.5</v>
      </c>
      <c r="R63" s="48">
        <v>-316.10000000000002</v>
      </c>
      <c r="S63" s="48">
        <v>-273</v>
      </c>
      <c r="T63" s="48">
        <v>-287</v>
      </c>
      <c r="U63" s="48">
        <v>-309</v>
      </c>
      <c r="V63" s="48">
        <v>-280</v>
      </c>
      <c r="W63" s="48">
        <v>-382</v>
      </c>
      <c r="X63" s="48">
        <v>-385</v>
      </c>
      <c r="Y63" s="48">
        <v>-380</v>
      </c>
      <c r="Z63" s="48">
        <v>-290</v>
      </c>
      <c r="AA63" s="48">
        <v>-251</v>
      </c>
      <c r="AB63" s="48">
        <v>-209</v>
      </c>
      <c r="AC63" s="48">
        <v>-250.1</v>
      </c>
      <c r="AD63" s="48">
        <v>-258.2</v>
      </c>
      <c r="AE63" s="48">
        <v>-311</v>
      </c>
      <c r="AF63" s="48">
        <v>-375</v>
      </c>
      <c r="AG63" s="140"/>
      <c r="AH63" s="54">
        <f t="shared" si="2"/>
        <v>-209</v>
      </c>
      <c r="AI63" s="55">
        <f t="shared" si="3"/>
        <v>-410</v>
      </c>
      <c r="AK63" s="56"/>
    </row>
    <row r="64" spans="1:41" x14ac:dyDescent="0.25">
      <c r="A64" s="60" t="s">
        <v>44</v>
      </c>
      <c r="B64" s="71">
        <v>0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140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5</v>
      </c>
      <c r="C66" s="72">
        <v>5</v>
      </c>
      <c r="D66" s="72">
        <v>5</v>
      </c>
      <c r="E66" s="72">
        <v>5</v>
      </c>
      <c r="F66" s="72">
        <v>5</v>
      </c>
      <c r="G66" s="72">
        <v>5</v>
      </c>
      <c r="H66" s="72">
        <v>5</v>
      </c>
      <c r="I66" s="72">
        <v>5</v>
      </c>
      <c r="J66" s="72">
        <v>5</v>
      </c>
      <c r="K66" s="72">
        <v>5</v>
      </c>
      <c r="L66" s="72">
        <v>5</v>
      </c>
      <c r="M66" s="72">
        <v>5</v>
      </c>
      <c r="N66" s="72">
        <v>5</v>
      </c>
      <c r="O66" s="72">
        <v>5</v>
      </c>
      <c r="P66" s="72">
        <v>5</v>
      </c>
      <c r="Q66" s="72">
        <v>5</v>
      </c>
      <c r="R66" s="72">
        <v>5</v>
      </c>
      <c r="S66" s="72">
        <v>5</v>
      </c>
      <c r="T66" s="72">
        <v>5</v>
      </c>
      <c r="U66" s="72">
        <v>5</v>
      </c>
      <c r="V66" s="72">
        <v>5</v>
      </c>
      <c r="W66" s="72">
        <v>5</v>
      </c>
      <c r="X66" s="72">
        <v>5</v>
      </c>
      <c r="Y66" s="72">
        <v>5</v>
      </c>
      <c r="Z66" s="72">
        <v>5</v>
      </c>
      <c r="AA66" s="72">
        <v>5</v>
      </c>
      <c r="AB66" s="72">
        <v>5</v>
      </c>
      <c r="AC66" s="72">
        <v>5</v>
      </c>
      <c r="AD66" s="72">
        <v>5</v>
      </c>
      <c r="AE66" s="72">
        <v>5</v>
      </c>
      <c r="AF66" s="72">
        <v>5</v>
      </c>
      <c r="AG66" s="140"/>
      <c r="AH66" s="54">
        <f t="shared" si="2"/>
        <v>5</v>
      </c>
      <c r="AI66" s="55">
        <f t="shared" si="3"/>
        <v>5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1">
        <v>0</v>
      </c>
      <c r="D68" s="71">
        <v>0</v>
      </c>
      <c r="E68" s="71">
        <v>0</v>
      </c>
      <c r="F68" s="71">
        <v>0</v>
      </c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1">
        <v>0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4">
        <v>0</v>
      </c>
      <c r="C70" s="74">
        <v>0</v>
      </c>
      <c r="D70" s="74">
        <v>0</v>
      </c>
      <c r="E70" s="74">
        <v>0</v>
      </c>
      <c r="F70" s="74">
        <v>0</v>
      </c>
      <c r="G70" s="74">
        <v>0</v>
      </c>
      <c r="H70" s="74">
        <v>0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4">
        <v>0</v>
      </c>
      <c r="C71" s="74">
        <v>0</v>
      </c>
      <c r="D71" s="74">
        <v>0</v>
      </c>
      <c r="E71" s="74">
        <v>0</v>
      </c>
      <c r="F71" s="74">
        <v>0</v>
      </c>
      <c r="G71" s="74">
        <v>0</v>
      </c>
      <c r="H71" s="74">
        <v>0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>SUMIF(B61:B71,"&gt;0")</f>
        <v>31</v>
      </c>
      <c r="C72" s="66">
        <f t="shared" ref="C72:L72" si="9">SUMIF(C61:C71,"&gt;0")</f>
        <v>15</v>
      </c>
      <c r="D72" s="66">
        <f t="shared" si="9"/>
        <v>14.9</v>
      </c>
      <c r="E72" s="66">
        <f t="shared" si="9"/>
        <v>15</v>
      </c>
      <c r="F72" s="66">
        <f t="shared" si="9"/>
        <v>12.4</v>
      </c>
      <c r="G72" s="66">
        <f t="shared" si="9"/>
        <v>8.6</v>
      </c>
      <c r="H72" s="66">
        <f t="shared" si="9"/>
        <v>6.2</v>
      </c>
      <c r="I72" s="66">
        <f t="shared" si="9"/>
        <v>7.2</v>
      </c>
      <c r="J72" s="66">
        <f t="shared" si="9"/>
        <v>9.6</v>
      </c>
      <c r="K72" s="66">
        <f t="shared" si="9"/>
        <v>10.8</v>
      </c>
      <c r="L72" s="66">
        <f t="shared" si="9"/>
        <v>34.1</v>
      </c>
      <c r="M72" s="66">
        <f>SUMIF(M61:M71,"&gt;0")</f>
        <v>46.1</v>
      </c>
      <c r="N72" s="66">
        <f t="shared" ref="N72:AF72" si="10">SUMIF(N61:N71,"&gt;0")</f>
        <v>45.2</v>
      </c>
      <c r="O72" s="66">
        <f t="shared" si="10"/>
        <v>52.7</v>
      </c>
      <c r="P72" s="66">
        <f t="shared" si="10"/>
        <v>58.6</v>
      </c>
      <c r="Q72" s="66">
        <f t="shared" si="10"/>
        <v>58.8</v>
      </c>
      <c r="R72" s="66">
        <f t="shared" si="10"/>
        <v>32.700000000000003</v>
      </c>
      <c r="S72" s="66">
        <f t="shared" si="10"/>
        <v>64</v>
      </c>
      <c r="T72" s="66">
        <f t="shared" si="10"/>
        <v>59.6</v>
      </c>
      <c r="U72" s="66">
        <f t="shared" si="10"/>
        <v>51.1</v>
      </c>
      <c r="V72" s="66">
        <f t="shared" si="10"/>
        <v>51.1</v>
      </c>
      <c r="W72" s="66">
        <f t="shared" si="10"/>
        <v>51.1</v>
      </c>
      <c r="X72" s="66">
        <f t="shared" si="10"/>
        <v>49</v>
      </c>
      <c r="Y72" s="66">
        <f t="shared" si="10"/>
        <v>40.6</v>
      </c>
      <c r="Z72" s="66">
        <f t="shared" si="10"/>
        <v>40.6</v>
      </c>
      <c r="AA72" s="66">
        <f t="shared" si="10"/>
        <v>21.5</v>
      </c>
      <c r="AB72" s="66">
        <f t="shared" si="10"/>
        <v>71.099999999999994</v>
      </c>
      <c r="AC72" s="66">
        <f t="shared" si="10"/>
        <v>74</v>
      </c>
      <c r="AD72" s="66">
        <f t="shared" si="10"/>
        <v>49.6</v>
      </c>
      <c r="AE72" s="66">
        <f t="shared" si="10"/>
        <v>47.7</v>
      </c>
      <c r="AF72" s="66">
        <f t="shared" si="10"/>
        <v>56.5</v>
      </c>
      <c r="AG72" s="138">
        <f>SUM(AG61:AG71)</f>
        <v>0</v>
      </c>
      <c r="AH72" s="54">
        <f t="shared" si="2"/>
        <v>74</v>
      </c>
      <c r="AI72" s="55">
        <f t="shared" si="3"/>
        <v>6.2</v>
      </c>
      <c r="AK72" s="56"/>
    </row>
    <row r="73" spans="1:88" x14ac:dyDescent="0.25">
      <c r="A73" s="57" t="s">
        <v>53</v>
      </c>
      <c r="B73" s="71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>
        <v>0</v>
      </c>
      <c r="C75" s="74">
        <v>0</v>
      </c>
      <c r="D75" s="74">
        <v>0</v>
      </c>
      <c r="E75" s="74">
        <v>0</v>
      </c>
      <c r="F75" s="74">
        <v>0</v>
      </c>
      <c r="G75" s="74">
        <v>0</v>
      </c>
      <c r="H75" s="74">
        <v>0</v>
      </c>
      <c r="I75" s="74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>B38+B42+B60+B56+B72+B76</f>
        <v>1786.6399999999999</v>
      </c>
      <c r="C77" s="75">
        <f t="shared" ref="C77:AF77" si="11">C38+C42+C60+C56+C72+C76</f>
        <v>1767.7400000000002</v>
      </c>
      <c r="D77" s="75">
        <f t="shared" si="11"/>
        <v>1745.5400000000002</v>
      </c>
      <c r="E77" s="75">
        <f t="shared" si="11"/>
        <v>1728.8400000000001</v>
      </c>
      <c r="F77" s="75">
        <f t="shared" si="11"/>
        <v>1726.2400000000002</v>
      </c>
      <c r="G77" s="75">
        <f t="shared" si="11"/>
        <v>1710.54</v>
      </c>
      <c r="H77" s="75">
        <f t="shared" si="11"/>
        <v>1715.2400000000002</v>
      </c>
      <c r="I77" s="75">
        <f t="shared" si="11"/>
        <v>1727.8400000000001</v>
      </c>
      <c r="J77" s="75">
        <f t="shared" si="11"/>
        <v>1729.24</v>
      </c>
      <c r="K77" s="75">
        <f t="shared" si="11"/>
        <v>1764.84</v>
      </c>
      <c r="L77" s="75">
        <f t="shared" si="11"/>
        <v>1796.1399999999999</v>
      </c>
      <c r="M77" s="75">
        <f t="shared" si="11"/>
        <v>1825.04</v>
      </c>
      <c r="N77" s="75">
        <f t="shared" si="11"/>
        <v>1820.14</v>
      </c>
      <c r="O77" s="75">
        <f t="shared" si="11"/>
        <v>1838.84</v>
      </c>
      <c r="P77" s="75">
        <f t="shared" si="11"/>
        <v>1859.8399999999997</v>
      </c>
      <c r="Q77" s="75">
        <f t="shared" si="11"/>
        <v>1841.0399999999997</v>
      </c>
      <c r="R77" s="75">
        <f t="shared" si="11"/>
        <v>1817.04</v>
      </c>
      <c r="S77" s="75">
        <f t="shared" si="11"/>
        <v>1846.9399999999998</v>
      </c>
      <c r="T77" s="75">
        <f t="shared" si="11"/>
        <v>1838.5399999999997</v>
      </c>
      <c r="U77" s="75">
        <f t="shared" si="11"/>
        <v>1832.7399999999998</v>
      </c>
      <c r="V77" s="75">
        <f t="shared" si="11"/>
        <v>1799.6399999999999</v>
      </c>
      <c r="W77" s="75">
        <f t="shared" si="11"/>
        <v>1802.3399999999997</v>
      </c>
      <c r="X77" s="75">
        <f t="shared" si="11"/>
        <v>1833.04</v>
      </c>
      <c r="Y77" s="75">
        <f t="shared" si="11"/>
        <v>1824.6399999999999</v>
      </c>
      <c r="Z77" s="75">
        <f t="shared" si="11"/>
        <v>1824.6399999999999</v>
      </c>
      <c r="AA77" s="75">
        <f t="shared" si="11"/>
        <v>1805.54</v>
      </c>
      <c r="AB77" s="75">
        <f t="shared" si="11"/>
        <v>1846.1399999999999</v>
      </c>
      <c r="AC77" s="75">
        <f t="shared" si="11"/>
        <v>1849.04</v>
      </c>
      <c r="AD77" s="75">
        <f t="shared" si="11"/>
        <v>1824.6399999999999</v>
      </c>
      <c r="AE77" s="75">
        <f t="shared" si="11"/>
        <v>1811.14</v>
      </c>
      <c r="AF77" s="75">
        <f t="shared" si="11"/>
        <v>1817.6399999999999</v>
      </c>
      <c r="AG77" s="143">
        <f>AG38+AG42+AG60+AG56+AG72+AG76</f>
        <v>1855.1900000000003</v>
      </c>
      <c r="AH77" s="54">
        <f t="shared" si="2"/>
        <v>1859.8399999999997</v>
      </c>
      <c r="AI77" s="55">
        <f t="shared" si="3"/>
        <v>1710.54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0</v>
      </c>
      <c r="AI78" s="55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>B77+B78</f>
        <v>1786.6399999999999</v>
      </c>
      <c r="C79" s="75">
        <f t="shared" ref="C79:AF79" si="12">C77+C78</f>
        <v>1767.7400000000002</v>
      </c>
      <c r="D79" s="75">
        <f t="shared" si="12"/>
        <v>1745.5400000000002</v>
      </c>
      <c r="E79" s="75">
        <f t="shared" si="12"/>
        <v>1728.8400000000001</v>
      </c>
      <c r="F79" s="75">
        <f t="shared" si="12"/>
        <v>1726.2400000000002</v>
      </c>
      <c r="G79" s="75">
        <f t="shared" si="12"/>
        <v>1710.54</v>
      </c>
      <c r="H79" s="75">
        <f t="shared" si="12"/>
        <v>1715.2400000000002</v>
      </c>
      <c r="I79" s="75">
        <f t="shared" si="12"/>
        <v>1727.8400000000001</v>
      </c>
      <c r="J79" s="75">
        <f t="shared" si="12"/>
        <v>1729.24</v>
      </c>
      <c r="K79" s="75">
        <f t="shared" si="12"/>
        <v>1764.84</v>
      </c>
      <c r="L79" s="75">
        <f t="shared" si="12"/>
        <v>1796.1399999999999</v>
      </c>
      <c r="M79" s="75">
        <f t="shared" si="12"/>
        <v>1825.04</v>
      </c>
      <c r="N79" s="75">
        <f t="shared" si="12"/>
        <v>1820.14</v>
      </c>
      <c r="O79" s="75">
        <f t="shared" si="12"/>
        <v>1838.84</v>
      </c>
      <c r="P79" s="75">
        <f t="shared" si="12"/>
        <v>1859.8399999999997</v>
      </c>
      <c r="Q79" s="75">
        <f t="shared" si="12"/>
        <v>1841.0399999999997</v>
      </c>
      <c r="R79" s="75">
        <f t="shared" si="12"/>
        <v>1817.04</v>
      </c>
      <c r="S79" s="75">
        <f t="shared" si="12"/>
        <v>1846.9399999999998</v>
      </c>
      <c r="T79" s="75">
        <f t="shared" si="12"/>
        <v>1838.5399999999997</v>
      </c>
      <c r="U79" s="75">
        <f t="shared" si="12"/>
        <v>1832.7399999999998</v>
      </c>
      <c r="V79" s="75">
        <f t="shared" si="12"/>
        <v>1799.6399999999999</v>
      </c>
      <c r="W79" s="75">
        <f t="shared" si="12"/>
        <v>1802.3399999999997</v>
      </c>
      <c r="X79" s="75">
        <f t="shared" si="12"/>
        <v>1833.04</v>
      </c>
      <c r="Y79" s="75">
        <f t="shared" si="12"/>
        <v>1824.6399999999999</v>
      </c>
      <c r="Z79" s="75">
        <f t="shared" si="12"/>
        <v>1824.6399999999999</v>
      </c>
      <c r="AA79" s="75">
        <f t="shared" si="12"/>
        <v>1805.54</v>
      </c>
      <c r="AB79" s="75">
        <f t="shared" si="12"/>
        <v>1846.1399999999999</v>
      </c>
      <c r="AC79" s="75">
        <f t="shared" si="12"/>
        <v>1849.04</v>
      </c>
      <c r="AD79" s="75">
        <f t="shared" si="12"/>
        <v>1824.6399999999999</v>
      </c>
      <c r="AE79" s="75">
        <f t="shared" si="12"/>
        <v>1811.14</v>
      </c>
      <c r="AF79" s="75">
        <f t="shared" si="12"/>
        <v>1817.6399999999999</v>
      </c>
      <c r="AG79" s="138">
        <f>AG76+AG72+AG60+AG56+AG38+AG78</f>
        <v>1317.0900000000001</v>
      </c>
      <c r="AH79" s="54">
        <f t="shared" si="2"/>
        <v>1859.8399999999997</v>
      </c>
      <c r="AI79" s="55">
        <f t="shared" si="3"/>
        <v>1710.54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:AF80" si="13">B79-B87</f>
        <v>1447.6399999999999</v>
      </c>
      <c r="C80" s="75">
        <f t="shared" si="13"/>
        <v>1403.7400000000002</v>
      </c>
      <c r="D80" s="75">
        <f t="shared" si="13"/>
        <v>1355.5400000000002</v>
      </c>
      <c r="E80" s="75">
        <f t="shared" si="13"/>
        <v>1354.2400000000002</v>
      </c>
      <c r="F80" s="75">
        <f t="shared" si="13"/>
        <v>1338.7400000000002</v>
      </c>
      <c r="G80" s="75">
        <f t="shared" si="13"/>
        <v>1300.54</v>
      </c>
      <c r="H80" s="75">
        <f t="shared" si="13"/>
        <v>1325.1400000000003</v>
      </c>
      <c r="I80" s="75">
        <f t="shared" si="13"/>
        <v>1340.94</v>
      </c>
      <c r="J80" s="75">
        <f t="shared" si="13"/>
        <v>1361.74</v>
      </c>
      <c r="K80" s="75">
        <f t="shared" si="13"/>
        <v>1395.7399999999998</v>
      </c>
      <c r="L80" s="75">
        <f t="shared" si="13"/>
        <v>1418.2399999999998</v>
      </c>
      <c r="M80" s="75">
        <f t="shared" si="13"/>
        <v>1453.54</v>
      </c>
      <c r="N80" s="75">
        <f t="shared" si="13"/>
        <v>1465.14</v>
      </c>
      <c r="O80" s="75">
        <f t="shared" si="13"/>
        <v>1534.54</v>
      </c>
      <c r="P80" s="75">
        <f t="shared" si="13"/>
        <v>1550.7399999999998</v>
      </c>
      <c r="Q80" s="75">
        <f t="shared" si="13"/>
        <v>1542.5399999999997</v>
      </c>
      <c r="R80" s="75">
        <f t="shared" si="13"/>
        <v>1500.94</v>
      </c>
      <c r="S80" s="75">
        <f t="shared" si="13"/>
        <v>1573.9399999999998</v>
      </c>
      <c r="T80" s="75">
        <f t="shared" si="13"/>
        <v>1551.5399999999997</v>
      </c>
      <c r="U80" s="75">
        <f t="shared" si="13"/>
        <v>1523.7399999999998</v>
      </c>
      <c r="V80" s="75">
        <f t="shared" si="13"/>
        <v>1519.6399999999999</v>
      </c>
      <c r="W80" s="75">
        <f t="shared" si="13"/>
        <v>1420.3399999999997</v>
      </c>
      <c r="X80" s="75">
        <f t="shared" si="13"/>
        <v>1448.04</v>
      </c>
      <c r="Y80" s="75">
        <f t="shared" si="13"/>
        <v>1444.6399999999999</v>
      </c>
      <c r="Z80" s="75">
        <f t="shared" si="13"/>
        <v>1534.6399999999999</v>
      </c>
      <c r="AA80" s="75">
        <f t="shared" si="13"/>
        <v>1554.54</v>
      </c>
      <c r="AB80" s="75">
        <f t="shared" si="13"/>
        <v>1637.1399999999999</v>
      </c>
      <c r="AC80" s="75">
        <f t="shared" si="13"/>
        <v>1598.94</v>
      </c>
      <c r="AD80" s="75">
        <f t="shared" si="13"/>
        <v>1566.4399999999998</v>
      </c>
      <c r="AE80" s="75">
        <f t="shared" si="13"/>
        <v>1500.14</v>
      </c>
      <c r="AF80" s="75">
        <f t="shared" si="13"/>
        <v>1442.6399999999999</v>
      </c>
      <c r="AG80" s="138"/>
      <c r="AH80" s="54">
        <f t="shared" ref="AH80:AH97" si="14">MAX(B80:AF80)</f>
        <v>1637.1399999999999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>IF(B64&lt;0,B64*-1,0)</f>
        <v>0</v>
      </c>
      <c r="C81" s="71">
        <f t="shared" ref="C81:AF81" si="15">IF(C64&lt;0,C64*-1,0)</f>
        <v>0</v>
      </c>
      <c r="D81" s="71">
        <f t="shared" si="15"/>
        <v>0</v>
      </c>
      <c r="E81" s="71">
        <f t="shared" si="15"/>
        <v>0</v>
      </c>
      <c r="F81" s="71">
        <f t="shared" si="15"/>
        <v>0</v>
      </c>
      <c r="G81" s="71">
        <f t="shared" si="15"/>
        <v>0</v>
      </c>
      <c r="H81" s="71">
        <f t="shared" si="15"/>
        <v>0</v>
      </c>
      <c r="I81" s="71">
        <f t="shared" si="15"/>
        <v>0</v>
      </c>
      <c r="J81" s="71">
        <f t="shared" si="15"/>
        <v>0</v>
      </c>
      <c r="K81" s="71">
        <f t="shared" si="15"/>
        <v>0</v>
      </c>
      <c r="L81" s="71">
        <f t="shared" si="15"/>
        <v>0</v>
      </c>
      <c r="M81" s="71">
        <f t="shared" si="15"/>
        <v>0</v>
      </c>
      <c r="N81" s="71">
        <f t="shared" si="15"/>
        <v>0</v>
      </c>
      <c r="O81" s="71">
        <f t="shared" si="15"/>
        <v>0</v>
      </c>
      <c r="P81" s="71">
        <f t="shared" si="15"/>
        <v>0</v>
      </c>
      <c r="Q81" s="71">
        <f t="shared" si="15"/>
        <v>0</v>
      </c>
      <c r="R81" s="71">
        <f t="shared" si="15"/>
        <v>0</v>
      </c>
      <c r="S81" s="71">
        <f t="shared" si="15"/>
        <v>0</v>
      </c>
      <c r="T81" s="71">
        <f t="shared" si="15"/>
        <v>0</v>
      </c>
      <c r="U81" s="71">
        <f t="shared" si="15"/>
        <v>0</v>
      </c>
      <c r="V81" s="71">
        <f t="shared" si="15"/>
        <v>0</v>
      </c>
      <c r="W81" s="71">
        <f t="shared" si="15"/>
        <v>0</v>
      </c>
      <c r="X81" s="71">
        <f t="shared" si="15"/>
        <v>0</v>
      </c>
      <c r="Y81" s="71">
        <f t="shared" si="15"/>
        <v>0</v>
      </c>
      <c r="Z81" s="71">
        <f t="shared" si="15"/>
        <v>0</v>
      </c>
      <c r="AA81" s="71">
        <f t="shared" si="15"/>
        <v>0</v>
      </c>
      <c r="AB81" s="71">
        <f t="shared" si="15"/>
        <v>0</v>
      </c>
      <c r="AC81" s="71">
        <f t="shared" si="15"/>
        <v>0</v>
      </c>
      <c r="AD81" s="71">
        <f t="shared" si="15"/>
        <v>0</v>
      </c>
      <c r="AE81" s="71">
        <f t="shared" si="15"/>
        <v>0</v>
      </c>
      <c r="AF81" s="71">
        <f t="shared" si="15"/>
        <v>0</v>
      </c>
      <c r="AG81" s="135"/>
      <c r="AH81" s="54">
        <f t="shared" si="14"/>
        <v>0</v>
      </c>
      <c r="AI81" s="55">
        <f t="shared" ref="AI81:AI97" si="16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>IF(B62&lt;0,B62*-1,0)</f>
        <v>0</v>
      </c>
      <c r="C82" s="71">
        <f t="shared" ref="C82:AF82" si="17">IF(C62&lt;0,C62*-1,0)</f>
        <v>0</v>
      </c>
      <c r="D82" s="71">
        <f t="shared" si="17"/>
        <v>0</v>
      </c>
      <c r="E82" s="71">
        <f t="shared" si="17"/>
        <v>0</v>
      </c>
      <c r="F82" s="71">
        <f t="shared" si="17"/>
        <v>0</v>
      </c>
      <c r="G82" s="71">
        <f t="shared" si="17"/>
        <v>0</v>
      </c>
      <c r="H82" s="71">
        <f t="shared" si="17"/>
        <v>0</v>
      </c>
      <c r="I82" s="71">
        <f t="shared" si="17"/>
        <v>0</v>
      </c>
      <c r="J82" s="71">
        <f t="shared" si="17"/>
        <v>0</v>
      </c>
      <c r="K82" s="71">
        <f t="shared" si="17"/>
        <v>0</v>
      </c>
      <c r="L82" s="71">
        <f t="shared" si="17"/>
        <v>0</v>
      </c>
      <c r="M82" s="71">
        <f t="shared" si="17"/>
        <v>0</v>
      </c>
      <c r="N82" s="71">
        <f t="shared" si="17"/>
        <v>0</v>
      </c>
      <c r="O82" s="71">
        <f t="shared" si="17"/>
        <v>0</v>
      </c>
      <c r="P82" s="71">
        <f t="shared" si="17"/>
        <v>0</v>
      </c>
      <c r="Q82" s="71">
        <f t="shared" si="17"/>
        <v>0</v>
      </c>
      <c r="R82" s="71">
        <f t="shared" si="17"/>
        <v>0</v>
      </c>
      <c r="S82" s="71">
        <f t="shared" si="17"/>
        <v>0</v>
      </c>
      <c r="T82" s="71">
        <f t="shared" si="17"/>
        <v>0</v>
      </c>
      <c r="U82" s="71">
        <f t="shared" si="17"/>
        <v>0</v>
      </c>
      <c r="V82" s="71">
        <f t="shared" si="17"/>
        <v>0</v>
      </c>
      <c r="W82" s="71">
        <f t="shared" si="17"/>
        <v>0</v>
      </c>
      <c r="X82" s="71">
        <f t="shared" si="17"/>
        <v>0</v>
      </c>
      <c r="Y82" s="71">
        <f t="shared" si="17"/>
        <v>0</v>
      </c>
      <c r="Z82" s="71">
        <f t="shared" si="17"/>
        <v>0</v>
      </c>
      <c r="AA82" s="71">
        <f t="shared" si="17"/>
        <v>0</v>
      </c>
      <c r="AB82" s="71">
        <f t="shared" si="17"/>
        <v>0</v>
      </c>
      <c r="AC82" s="71">
        <f t="shared" si="17"/>
        <v>0</v>
      </c>
      <c r="AD82" s="71">
        <f t="shared" si="17"/>
        <v>0</v>
      </c>
      <c r="AE82" s="71">
        <f t="shared" si="17"/>
        <v>0</v>
      </c>
      <c r="AF82" s="71">
        <f t="shared" si="17"/>
        <v>0</v>
      </c>
      <c r="AG82" s="136"/>
      <c r="AH82" s="54">
        <f t="shared" si="14"/>
        <v>0</v>
      </c>
      <c r="AI82" s="55">
        <f t="shared" si="16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>IF(B65&lt;0,B65*-1,0)</f>
        <v>0</v>
      </c>
      <c r="C83" s="71">
        <f t="shared" ref="C83:AF83" si="18">IF(C65&lt;0,C65*-1,0)</f>
        <v>0</v>
      </c>
      <c r="D83" s="71">
        <f t="shared" si="18"/>
        <v>0</v>
      </c>
      <c r="E83" s="71">
        <f t="shared" si="18"/>
        <v>0</v>
      </c>
      <c r="F83" s="71">
        <f t="shared" si="18"/>
        <v>0</v>
      </c>
      <c r="G83" s="71">
        <f t="shared" si="18"/>
        <v>0</v>
      </c>
      <c r="H83" s="71">
        <f t="shared" si="18"/>
        <v>0</v>
      </c>
      <c r="I83" s="71">
        <f t="shared" si="18"/>
        <v>0</v>
      </c>
      <c r="J83" s="71">
        <f t="shared" si="18"/>
        <v>0</v>
      </c>
      <c r="K83" s="71">
        <f t="shared" si="18"/>
        <v>0</v>
      </c>
      <c r="L83" s="71">
        <f t="shared" si="18"/>
        <v>0</v>
      </c>
      <c r="M83" s="71">
        <f t="shared" si="18"/>
        <v>0</v>
      </c>
      <c r="N83" s="71">
        <f t="shared" si="18"/>
        <v>0</v>
      </c>
      <c r="O83" s="71">
        <f t="shared" si="18"/>
        <v>0</v>
      </c>
      <c r="P83" s="71">
        <f t="shared" si="18"/>
        <v>0</v>
      </c>
      <c r="Q83" s="71">
        <f t="shared" si="18"/>
        <v>0</v>
      </c>
      <c r="R83" s="71">
        <f t="shared" si="18"/>
        <v>0</v>
      </c>
      <c r="S83" s="71">
        <f t="shared" si="18"/>
        <v>0</v>
      </c>
      <c r="T83" s="71">
        <f t="shared" si="18"/>
        <v>0</v>
      </c>
      <c r="U83" s="71">
        <f t="shared" si="18"/>
        <v>0</v>
      </c>
      <c r="V83" s="71">
        <f t="shared" si="18"/>
        <v>0</v>
      </c>
      <c r="W83" s="71">
        <f t="shared" si="18"/>
        <v>0</v>
      </c>
      <c r="X83" s="71">
        <f t="shared" si="18"/>
        <v>0</v>
      </c>
      <c r="Y83" s="71">
        <f t="shared" si="18"/>
        <v>0</v>
      </c>
      <c r="Z83" s="71">
        <f t="shared" si="18"/>
        <v>0</v>
      </c>
      <c r="AA83" s="71">
        <f t="shared" si="18"/>
        <v>0</v>
      </c>
      <c r="AB83" s="71">
        <f t="shared" si="18"/>
        <v>0</v>
      </c>
      <c r="AC83" s="71">
        <f t="shared" si="18"/>
        <v>0</v>
      </c>
      <c r="AD83" s="71">
        <f t="shared" si="18"/>
        <v>0</v>
      </c>
      <c r="AE83" s="71">
        <f t="shared" si="18"/>
        <v>0</v>
      </c>
      <c r="AF83" s="71">
        <f t="shared" si="18"/>
        <v>0</v>
      </c>
      <c r="AG83" s="144"/>
      <c r="AH83" s="54">
        <f t="shared" si="14"/>
        <v>0</v>
      </c>
      <c r="AI83" s="55">
        <f t="shared" si="16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>IF(B63&lt;0,B63*-1,0)</f>
        <v>339</v>
      </c>
      <c r="C84" s="71">
        <f t="shared" ref="C84:AF84" si="19">IF(C63&lt;0,C63*-1,0)</f>
        <v>364</v>
      </c>
      <c r="D84" s="71">
        <f t="shared" si="19"/>
        <v>390</v>
      </c>
      <c r="E84" s="71">
        <f t="shared" si="19"/>
        <v>374.6</v>
      </c>
      <c r="F84" s="71">
        <f t="shared" si="19"/>
        <v>387.5</v>
      </c>
      <c r="G84" s="71">
        <f t="shared" si="19"/>
        <v>410</v>
      </c>
      <c r="H84" s="71">
        <f t="shared" si="19"/>
        <v>390.1</v>
      </c>
      <c r="I84" s="71">
        <f t="shared" si="19"/>
        <v>386.9</v>
      </c>
      <c r="J84" s="71">
        <f t="shared" si="19"/>
        <v>367.5</v>
      </c>
      <c r="K84" s="71">
        <f t="shared" si="19"/>
        <v>369.1</v>
      </c>
      <c r="L84" s="71">
        <f t="shared" si="19"/>
        <v>377.9</v>
      </c>
      <c r="M84" s="71">
        <f t="shared" si="19"/>
        <v>371.5</v>
      </c>
      <c r="N84" s="71">
        <f t="shared" si="19"/>
        <v>355</v>
      </c>
      <c r="O84" s="71">
        <f t="shared" si="19"/>
        <v>304.3</v>
      </c>
      <c r="P84" s="71">
        <f t="shared" si="19"/>
        <v>309.10000000000002</v>
      </c>
      <c r="Q84" s="71">
        <f t="shared" si="19"/>
        <v>298.5</v>
      </c>
      <c r="R84" s="71">
        <f t="shared" si="19"/>
        <v>316.10000000000002</v>
      </c>
      <c r="S84" s="71">
        <f t="shared" si="19"/>
        <v>273</v>
      </c>
      <c r="T84" s="71">
        <f t="shared" si="19"/>
        <v>287</v>
      </c>
      <c r="U84" s="71">
        <f t="shared" si="19"/>
        <v>309</v>
      </c>
      <c r="V84" s="71">
        <f t="shared" si="19"/>
        <v>280</v>
      </c>
      <c r="W84" s="71">
        <f t="shared" si="19"/>
        <v>382</v>
      </c>
      <c r="X84" s="71">
        <f t="shared" si="19"/>
        <v>385</v>
      </c>
      <c r="Y84" s="71">
        <f t="shared" si="19"/>
        <v>380</v>
      </c>
      <c r="Z84" s="71">
        <f t="shared" si="19"/>
        <v>290</v>
      </c>
      <c r="AA84" s="71">
        <f t="shared" si="19"/>
        <v>251</v>
      </c>
      <c r="AB84" s="71">
        <f t="shared" si="19"/>
        <v>209</v>
      </c>
      <c r="AC84" s="71">
        <f t="shared" si="19"/>
        <v>250.1</v>
      </c>
      <c r="AD84" s="71">
        <f t="shared" si="19"/>
        <v>258.2</v>
      </c>
      <c r="AE84" s="71">
        <f t="shared" si="19"/>
        <v>311</v>
      </c>
      <c r="AF84" s="71">
        <f t="shared" si="19"/>
        <v>375</v>
      </c>
      <c r="AG84" s="144"/>
      <c r="AH84" s="54">
        <f t="shared" si="14"/>
        <v>410</v>
      </c>
      <c r="AI84" s="55">
        <f t="shared" si="16"/>
        <v>209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>IF(B61&lt;0,B61*-1,0)</f>
        <v>0</v>
      </c>
      <c r="C85" s="71">
        <f t="shared" ref="C85:AF85" si="20">IF(C61&lt;0,C61*-1,0)</f>
        <v>0</v>
      </c>
      <c r="D85" s="71">
        <f t="shared" si="20"/>
        <v>0</v>
      </c>
      <c r="E85" s="71">
        <f t="shared" si="20"/>
        <v>0</v>
      </c>
      <c r="F85" s="71">
        <f t="shared" si="20"/>
        <v>0</v>
      </c>
      <c r="G85" s="71">
        <f t="shared" si="20"/>
        <v>0</v>
      </c>
      <c r="H85" s="71">
        <f t="shared" si="20"/>
        <v>0</v>
      </c>
      <c r="I85" s="71">
        <f t="shared" si="20"/>
        <v>0</v>
      </c>
      <c r="J85" s="71">
        <f t="shared" si="20"/>
        <v>0</v>
      </c>
      <c r="K85" s="71">
        <f t="shared" si="20"/>
        <v>0</v>
      </c>
      <c r="L85" s="71">
        <f t="shared" si="20"/>
        <v>0</v>
      </c>
      <c r="M85" s="71">
        <f t="shared" si="20"/>
        <v>0</v>
      </c>
      <c r="N85" s="71">
        <f t="shared" si="20"/>
        <v>0</v>
      </c>
      <c r="O85" s="71">
        <f t="shared" si="20"/>
        <v>0</v>
      </c>
      <c r="P85" s="71">
        <f t="shared" si="20"/>
        <v>0</v>
      </c>
      <c r="Q85" s="71">
        <f t="shared" si="20"/>
        <v>0</v>
      </c>
      <c r="R85" s="71">
        <f t="shared" si="20"/>
        <v>0</v>
      </c>
      <c r="S85" s="71">
        <f t="shared" si="20"/>
        <v>0</v>
      </c>
      <c r="T85" s="71">
        <f t="shared" si="20"/>
        <v>0</v>
      </c>
      <c r="U85" s="71">
        <f t="shared" si="20"/>
        <v>0</v>
      </c>
      <c r="V85" s="71">
        <f t="shared" si="20"/>
        <v>0</v>
      </c>
      <c r="W85" s="71">
        <f t="shared" si="20"/>
        <v>0</v>
      </c>
      <c r="X85" s="71">
        <f t="shared" si="20"/>
        <v>0</v>
      </c>
      <c r="Y85" s="71">
        <f t="shared" si="20"/>
        <v>0</v>
      </c>
      <c r="Z85" s="71">
        <f t="shared" si="20"/>
        <v>0</v>
      </c>
      <c r="AA85" s="71">
        <f t="shared" si="20"/>
        <v>0</v>
      </c>
      <c r="AB85" s="71">
        <f t="shared" si="20"/>
        <v>0</v>
      </c>
      <c r="AC85" s="71">
        <f t="shared" si="20"/>
        <v>0</v>
      </c>
      <c r="AD85" s="71">
        <f t="shared" si="20"/>
        <v>0</v>
      </c>
      <c r="AE85" s="71">
        <f t="shared" si="20"/>
        <v>0</v>
      </c>
      <c r="AF85" s="71">
        <f t="shared" si="20"/>
        <v>0</v>
      </c>
      <c r="AG85" s="144"/>
      <c r="AH85" s="54">
        <f t="shared" si="14"/>
        <v>0</v>
      </c>
      <c r="AI85" s="55">
        <f t="shared" si="16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/>
      <c r="AD86" s="74"/>
      <c r="AE86" s="74"/>
      <c r="AF86" s="74"/>
      <c r="AG86" s="141"/>
      <c r="AH86" s="54">
        <f t="shared" si="14"/>
        <v>0</v>
      </c>
      <c r="AI86" s="55">
        <f t="shared" si="16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>SUM(B81:B86)</f>
        <v>339</v>
      </c>
      <c r="C87" s="66">
        <f t="shared" ref="C87:AF87" si="21">SUM(C81:C86)</f>
        <v>364</v>
      </c>
      <c r="D87" s="66">
        <f t="shared" si="21"/>
        <v>390</v>
      </c>
      <c r="E87" s="66">
        <f t="shared" si="21"/>
        <v>374.6</v>
      </c>
      <c r="F87" s="66">
        <f t="shared" si="21"/>
        <v>387.5</v>
      </c>
      <c r="G87" s="66">
        <f t="shared" si="21"/>
        <v>410</v>
      </c>
      <c r="H87" s="66">
        <f t="shared" si="21"/>
        <v>390.1</v>
      </c>
      <c r="I87" s="66">
        <f t="shared" si="21"/>
        <v>386.9</v>
      </c>
      <c r="J87" s="66">
        <f t="shared" si="21"/>
        <v>367.5</v>
      </c>
      <c r="K87" s="66">
        <f t="shared" si="21"/>
        <v>369.1</v>
      </c>
      <c r="L87" s="66">
        <f t="shared" si="21"/>
        <v>377.9</v>
      </c>
      <c r="M87" s="66">
        <f t="shared" si="21"/>
        <v>371.5</v>
      </c>
      <c r="N87" s="66">
        <f t="shared" si="21"/>
        <v>355</v>
      </c>
      <c r="O87" s="66">
        <f t="shared" si="21"/>
        <v>304.3</v>
      </c>
      <c r="P87" s="66">
        <f t="shared" si="21"/>
        <v>309.10000000000002</v>
      </c>
      <c r="Q87" s="66">
        <f t="shared" si="21"/>
        <v>298.5</v>
      </c>
      <c r="R87" s="66">
        <f t="shared" si="21"/>
        <v>316.10000000000002</v>
      </c>
      <c r="S87" s="66">
        <f t="shared" si="21"/>
        <v>273</v>
      </c>
      <c r="T87" s="66">
        <f t="shared" si="21"/>
        <v>287</v>
      </c>
      <c r="U87" s="66">
        <f t="shared" si="21"/>
        <v>309</v>
      </c>
      <c r="V87" s="66">
        <f t="shared" si="21"/>
        <v>280</v>
      </c>
      <c r="W87" s="66">
        <f t="shared" si="21"/>
        <v>382</v>
      </c>
      <c r="X87" s="66">
        <f t="shared" si="21"/>
        <v>385</v>
      </c>
      <c r="Y87" s="66">
        <f t="shared" si="21"/>
        <v>380</v>
      </c>
      <c r="Z87" s="66">
        <f t="shared" si="21"/>
        <v>290</v>
      </c>
      <c r="AA87" s="66">
        <f t="shared" si="21"/>
        <v>251</v>
      </c>
      <c r="AB87" s="66">
        <f t="shared" si="21"/>
        <v>209</v>
      </c>
      <c r="AC87" s="66">
        <f t="shared" si="21"/>
        <v>250.1</v>
      </c>
      <c r="AD87" s="66">
        <f t="shared" si="21"/>
        <v>258.2</v>
      </c>
      <c r="AE87" s="66">
        <f t="shared" si="21"/>
        <v>311</v>
      </c>
      <c r="AF87" s="66">
        <f t="shared" si="21"/>
        <v>375</v>
      </c>
      <c r="AG87" s="138"/>
      <c r="AH87" s="54">
        <f t="shared" si="14"/>
        <v>410</v>
      </c>
      <c r="AI87" s="55">
        <f t="shared" si="16"/>
        <v>209</v>
      </c>
      <c r="AK87" s="56"/>
    </row>
    <row r="88" spans="1:88" s="1" customFormat="1" ht="15.75" thickBot="1" x14ac:dyDescent="0.3">
      <c r="A88" s="65" t="s">
        <v>64</v>
      </c>
      <c r="B88" s="66">
        <f>B72-B87</f>
        <v>-308</v>
      </c>
      <c r="C88" s="66">
        <f t="shared" ref="C88:AF88" si="22">C72-C87</f>
        <v>-349</v>
      </c>
      <c r="D88" s="66">
        <f t="shared" si="22"/>
        <v>-375.1</v>
      </c>
      <c r="E88" s="66">
        <f t="shared" si="22"/>
        <v>-359.6</v>
      </c>
      <c r="F88" s="66">
        <f t="shared" si="22"/>
        <v>-375.1</v>
      </c>
      <c r="G88" s="66">
        <f t="shared" si="22"/>
        <v>-401.4</v>
      </c>
      <c r="H88" s="66">
        <f t="shared" si="22"/>
        <v>-383.90000000000003</v>
      </c>
      <c r="I88" s="66">
        <f t="shared" si="22"/>
        <v>-379.7</v>
      </c>
      <c r="J88" s="66">
        <f t="shared" si="22"/>
        <v>-357.9</v>
      </c>
      <c r="K88" s="66">
        <f t="shared" si="22"/>
        <v>-358.3</v>
      </c>
      <c r="L88" s="66">
        <f t="shared" si="22"/>
        <v>-343.79999999999995</v>
      </c>
      <c r="M88" s="66">
        <f t="shared" si="22"/>
        <v>-325.39999999999998</v>
      </c>
      <c r="N88" s="66">
        <f t="shared" si="22"/>
        <v>-309.8</v>
      </c>
      <c r="O88" s="66">
        <f t="shared" si="22"/>
        <v>-251.60000000000002</v>
      </c>
      <c r="P88" s="66">
        <f t="shared" si="22"/>
        <v>-250.50000000000003</v>
      </c>
      <c r="Q88" s="66">
        <f t="shared" si="22"/>
        <v>-239.7</v>
      </c>
      <c r="R88" s="66">
        <f t="shared" si="22"/>
        <v>-283.40000000000003</v>
      </c>
      <c r="S88" s="66">
        <f t="shared" si="22"/>
        <v>-209</v>
      </c>
      <c r="T88" s="66">
        <f t="shared" si="22"/>
        <v>-227.4</v>
      </c>
      <c r="U88" s="66">
        <f t="shared" si="22"/>
        <v>-257.89999999999998</v>
      </c>
      <c r="V88" s="66">
        <f t="shared" si="22"/>
        <v>-228.9</v>
      </c>
      <c r="W88" s="66">
        <f t="shared" si="22"/>
        <v>-330.9</v>
      </c>
      <c r="X88" s="66">
        <f t="shared" si="22"/>
        <v>-336</v>
      </c>
      <c r="Y88" s="66">
        <f t="shared" si="22"/>
        <v>-339.4</v>
      </c>
      <c r="Z88" s="66">
        <f t="shared" si="22"/>
        <v>-249.4</v>
      </c>
      <c r="AA88" s="66">
        <f t="shared" si="22"/>
        <v>-229.5</v>
      </c>
      <c r="AB88" s="66">
        <f t="shared" si="22"/>
        <v>-137.9</v>
      </c>
      <c r="AC88" s="66">
        <f t="shared" si="22"/>
        <v>-176.1</v>
      </c>
      <c r="AD88" s="66">
        <f t="shared" si="22"/>
        <v>-208.6</v>
      </c>
      <c r="AE88" s="66">
        <f t="shared" si="22"/>
        <v>-263.3</v>
      </c>
      <c r="AF88" s="66">
        <f t="shared" si="22"/>
        <v>-318.5</v>
      </c>
      <c r="AG88" s="138"/>
      <c r="AH88" s="54">
        <f t="shared" si="14"/>
        <v>-137.9</v>
      </c>
      <c r="AI88" s="55">
        <f t="shared" si="16"/>
        <v>-401.4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50.05</v>
      </c>
      <c r="C89" s="80">
        <v>50.02</v>
      </c>
      <c r="D89" s="80">
        <v>49.988</v>
      </c>
      <c r="E89" s="80">
        <v>50.03</v>
      </c>
      <c r="F89" s="80">
        <v>50.048000000000002</v>
      </c>
      <c r="G89" s="80">
        <v>50</v>
      </c>
      <c r="H89" s="80">
        <v>49.972999999999999</v>
      </c>
      <c r="I89" s="80">
        <v>49.991999999999997</v>
      </c>
      <c r="J89" s="80">
        <v>49.966000000000001</v>
      </c>
      <c r="K89" s="80">
        <v>49.962000000000003</v>
      </c>
      <c r="L89" s="80">
        <v>50.021000000000001</v>
      </c>
      <c r="M89" s="80">
        <v>50.088999999999999</v>
      </c>
      <c r="N89" s="80">
        <v>50.029000000000003</v>
      </c>
      <c r="O89" s="80">
        <v>50.026000000000003</v>
      </c>
      <c r="P89" s="80">
        <v>50.093000000000004</v>
      </c>
      <c r="Q89" s="80">
        <v>50.055999999999997</v>
      </c>
      <c r="R89" s="80">
        <v>49.935000000000002</v>
      </c>
      <c r="S89" s="80">
        <v>50.125</v>
      </c>
      <c r="T89" s="80">
        <v>50.05</v>
      </c>
      <c r="U89" s="80">
        <v>50.08</v>
      </c>
      <c r="V89" s="80">
        <v>50.08</v>
      </c>
      <c r="W89" s="80">
        <v>50.05</v>
      </c>
      <c r="X89" s="80">
        <v>50.03</v>
      </c>
      <c r="Y89" s="80">
        <v>50.04</v>
      </c>
      <c r="Z89" s="80">
        <v>50.02</v>
      </c>
      <c r="AA89" s="80">
        <v>49.9</v>
      </c>
      <c r="AB89" s="80">
        <v>50.04</v>
      </c>
      <c r="AC89" s="80">
        <v>49.993000000000002</v>
      </c>
      <c r="AD89" s="80">
        <v>50.055</v>
      </c>
      <c r="AE89" s="80">
        <v>50.039000000000001</v>
      </c>
      <c r="AF89" s="80">
        <v>49.994</v>
      </c>
      <c r="AG89" s="145"/>
      <c r="AH89" s="54">
        <f t="shared" si="14"/>
        <v>50.125</v>
      </c>
      <c r="AI89" s="55">
        <f t="shared" si="16"/>
        <v>49.9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124</v>
      </c>
      <c r="C90" s="48">
        <v>123</v>
      </c>
      <c r="D90" s="48">
        <v>125</v>
      </c>
      <c r="E90" s="48">
        <v>124.3</v>
      </c>
      <c r="F90" s="48">
        <v>125.1</v>
      </c>
      <c r="G90" s="48">
        <v>125.1</v>
      </c>
      <c r="H90" s="48">
        <v>125.4</v>
      </c>
      <c r="I90" s="48">
        <v>124.9</v>
      </c>
      <c r="J90" s="48">
        <v>124.9</v>
      </c>
      <c r="K90" s="48">
        <v>123.1</v>
      </c>
      <c r="L90" s="48">
        <v>123.9</v>
      </c>
      <c r="M90" s="48">
        <v>123.7</v>
      </c>
      <c r="N90" s="48">
        <v>123.2</v>
      </c>
      <c r="O90" s="48">
        <v>123.7</v>
      </c>
      <c r="P90" s="48">
        <v>122.1</v>
      </c>
      <c r="Q90" s="48">
        <v>121.4</v>
      </c>
      <c r="R90" s="48">
        <v>122.7</v>
      </c>
      <c r="S90" s="48">
        <v>123.5</v>
      </c>
      <c r="T90" s="48">
        <v>122.4</v>
      </c>
      <c r="U90" s="48">
        <v>123.4</v>
      </c>
      <c r="V90" s="48">
        <v>123.4</v>
      </c>
      <c r="W90" s="48">
        <v>125.1</v>
      </c>
      <c r="X90" s="48">
        <v>125.4</v>
      </c>
      <c r="Y90" s="48">
        <v>125.5</v>
      </c>
      <c r="Z90" s="48">
        <v>126.1</v>
      </c>
      <c r="AA90" s="48">
        <v>126.1</v>
      </c>
      <c r="AB90" s="48">
        <v>124.6</v>
      </c>
      <c r="AC90" s="48">
        <v>125.1</v>
      </c>
      <c r="AD90" s="48">
        <v>125.6</v>
      </c>
      <c r="AE90" s="48">
        <v>124.4</v>
      </c>
      <c r="AF90" s="48">
        <v>123.7</v>
      </c>
      <c r="AG90" s="146"/>
      <c r="AH90" s="54">
        <f t="shared" si="14"/>
        <v>126.1</v>
      </c>
      <c r="AI90" s="55">
        <f t="shared" si="16"/>
        <v>121.4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128</v>
      </c>
      <c r="C91" s="48">
        <v>128</v>
      </c>
      <c r="D91" s="48">
        <v>129</v>
      </c>
      <c r="E91" s="48">
        <v>128.4</v>
      </c>
      <c r="F91" s="48">
        <v>129.1</v>
      </c>
      <c r="G91" s="48">
        <v>129.1</v>
      </c>
      <c r="H91" s="48">
        <v>128.6</v>
      </c>
      <c r="I91" s="48">
        <v>127.7</v>
      </c>
      <c r="J91" s="48">
        <v>127.7</v>
      </c>
      <c r="K91" s="48">
        <v>126.3</v>
      </c>
      <c r="L91" s="48">
        <v>126.8</v>
      </c>
      <c r="M91" s="48">
        <v>126.5</v>
      </c>
      <c r="N91" s="48">
        <v>126</v>
      </c>
      <c r="O91" s="48">
        <v>126</v>
      </c>
      <c r="P91" s="48">
        <v>125.2</v>
      </c>
      <c r="Q91" s="48">
        <v>125</v>
      </c>
      <c r="R91" s="48">
        <v>125.8</v>
      </c>
      <c r="S91" s="48">
        <v>127</v>
      </c>
      <c r="T91" s="48">
        <v>126.2</v>
      </c>
      <c r="U91" s="48">
        <v>126.7</v>
      </c>
      <c r="V91" s="48">
        <v>126.7</v>
      </c>
      <c r="W91" s="48">
        <v>128.4</v>
      </c>
      <c r="X91" s="48">
        <v>128.30000000000001</v>
      </c>
      <c r="Y91" s="48">
        <v>128</v>
      </c>
      <c r="Z91" s="48">
        <v>128.30000000000001</v>
      </c>
      <c r="AA91" s="48">
        <v>128.30000000000001</v>
      </c>
      <c r="AB91" s="48">
        <v>127.7</v>
      </c>
      <c r="AC91" s="48">
        <v>128.19999999999999</v>
      </c>
      <c r="AD91" s="48">
        <v>128.6</v>
      </c>
      <c r="AE91" s="48">
        <v>128.5</v>
      </c>
      <c r="AF91" s="48">
        <v>128.19999999999999</v>
      </c>
      <c r="AG91" s="146"/>
      <c r="AH91" s="54">
        <f t="shared" si="14"/>
        <v>129.1</v>
      </c>
      <c r="AI91" s="55">
        <f t="shared" si="16"/>
        <v>125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128</v>
      </c>
      <c r="C92" s="48">
        <v>129</v>
      </c>
      <c r="D92" s="48">
        <v>129</v>
      </c>
      <c r="E92" s="48">
        <v>129.6</v>
      </c>
      <c r="F92" s="48">
        <v>128.9</v>
      </c>
      <c r="G92" s="48">
        <v>128.9</v>
      </c>
      <c r="H92" s="48">
        <v>130.6</v>
      </c>
      <c r="I92" s="48">
        <v>129.5</v>
      </c>
      <c r="J92" s="48">
        <v>129.5</v>
      </c>
      <c r="K92" s="48">
        <v>128</v>
      </c>
      <c r="L92" s="48">
        <v>127.8</v>
      </c>
      <c r="M92" s="48">
        <v>126.6</v>
      </c>
      <c r="N92" s="48">
        <v>129.69999999999999</v>
      </c>
      <c r="O92" s="48">
        <v>128</v>
      </c>
      <c r="P92" s="48">
        <v>126.1</v>
      </c>
      <c r="Q92" s="48">
        <v>129.6</v>
      </c>
      <c r="R92" s="48">
        <v>128</v>
      </c>
      <c r="S92" s="48">
        <v>128</v>
      </c>
      <c r="T92" s="48">
        <v>129.19999999999999</v>
      </c>
      <c r="U92" s="48">
        <v>133.1</v>
      </c>
      <c r="V92" s="48">
        <v>133.1</v>
      </c>
      <c r="W92" s="48">
        <v>128.30000000000001</v>
      </c>
      <c r="X92" s="48">
        <v>128.9</v>
      </c>
      <c r="Y92" s="48">
        <v>128.4</v>
      </c>
      <c r="Z92" s="48">
        <v>127.8</v>
      </c>
      <c r="AA92" s="48">
        <v>127.8</v>
      </c>
      <c r="AB92" s="48">
        <v>128.4</v>
      </c>
      <c r="AC92" s="48">
        <v>128.5</v>
      </c>
      <c r="AD92" s="48">
        <v>129.69999999999999</v>
      </c>
      <c r="AE92" s="48">
        <v>126.3</v>
      </c>
      <c r="AF92" s="48">
        <v>127.7</v>
      </c>
      <c r="AG92" s="146"/>
      <c r="AH92" s="54">
        <f t="shared" si="14"/>
        <v>133.1</v>
      </c>
      <c r="AI92" s="55">
        <f t="shared" si="16"/>
        <v>126.1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>
        <v>132</v>
      </c>
      <c r="C93" s="48">
        <v>133</v>
      </c>
      <c r="D93" s="48">
        <v>134</v>
      </c>
      <c r="E93" s="48">
        <v>135.1</v>
      </c>
      <c r="F93" s="48">
        <v>132.80000000000001</v>
      </c>
      <c r="G93" s="48">
        <v>132.80000000000001</v>
      </c>
      <c r="H93" s="48">
        <v>134.6</v>
      </c>
      <c r="I93" s="48">
        <v>133.19999999999999</v>
      </c>
      <c r="J93" s="48">
        <v>133.19999999999999</v>
      </c>
      <c r="K93" s="48">
        <v>130.80000000000001</v>
      </c>
      <c r="L93" s="48">
        <v>131.30000000000001</v>
      </c>
      <c r="M93" s="48">
        <v>129.4</v>
      </c>
      <c r="N93" s="48">
        <v>132.9</v>
      </c>
      <c r="O93" s="48">
        <v>131.19999999999999</v>
      </c>
      <c r="P93" s="48">
        <v>129.30000000000001</v>
      </c>
      <c r="Q93" s="48">
        <v>134</v>
      </c>
      <c r="R93" s="48">
        <v>131.80000000000001</v>
      </c>
      <c r="S93" s="48">
        <v>132</v>
      </c>
      <c r="T93" s="48">
        <v>132.80000000000001</v>
      </c>
      <c r="U93" s="48">
        <v>133.1</v>
      </c>
      <c r="V93" s="48">
        <v>133.1</v>
      </c>
      <c r="W93" s="48">
        <v>132.9</v>
      </c>
      <c r="X93" s="48">
        <v>133.5</v>
      </c>
      <c r="Y93" s="48">
        <v>133.19999999999999</v>
      </c>
      <c r="Z93" s="48">
        <v>132.9</v>
      </c>
      <c r="AA93" s="48">
        <v>132.9</v>
      </c>
      <c r="AB93" s="48">
        <v>134.1</v>
      </c>
      <c r="AC93" s="48">
        <v>134.30000000000001</v>
      </c>
      <c r="AD93" s="48">
        <v>135.5</v>
      </c>
      <c r="AE93" s="48">
        <v>131.4</v>
      </c>
      <c r="AF93" s="48">
        <v>133</v>
      </c>
      <c r="AG93" s="146"/>
      <c r="AH93" s="54">
        <f t="shared" si="14"/>
        <v>135.5</v>
      </c>
      <c r="AI93" s="55">
        <f t="shared" si="16"/>
        <v>129.30000000000001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133</v>
      </c>
      <c r="C94" s="82">
        <v>132.5</v>
      </c>
      <c r="D94" s="82">
        <v>132.5</v>
      </c>
      <c r="E94" s="82">
        <v>132.30000000000001</v>
      </c>
      <c r="F94" s="82">
        <v>133.5</v>
      </c>
      <c r="G94" s="82">
        <v>133.5</v>
      </c>
      <c r="H94" s="82">
        <v>133.6</v>
      </c>
      <c r="I94" s="82">
        <v>132</v>
      </c>
      <c r="J94" s="82">
        <v>132</v>
      </c>
      <c r="K94" s="82">
        <v>131.80000000000001</v>
      </c>
      <c r="L94" s="82">
        <v>133.1</v>
      </c>
      <c r="M94" s="82">
        <v>132.1</v>
      </c>
      <c r="N94" s="82">
        <v>132.80000000000001</v>
      </c>
      <c r="O94" s="82">
        <v>133.19999999999999</v>
      </c>
      <c r="P94" s="82">
        <v>132.1</v>
      </c>
      <c r="Q94" s="82">
        <v>131.1</v>
      </c>
      <c r="R94" s="82">
        <v>133.9</v>
      </c>
      <c r="S94" s="82">
        <v>132.69999999999999</v>
      </c>
      <c r="T94" s="82">
        <v>133.4</v>
      </c>
      <c r="U94" s="82">
        <v>133.5</v>
      </c>
      <c r="V94" s="82">
        <v>133.5</v>
      </c>
      <c r="W94" s="82">
        <v>134.19999999999999</v>
      </c>
      <c r="X94" s="82">
        <v>134.6</v>
      </c>
      <c r="Y94" s="82">
        <v>134.9</v>
      </c>
      <c r="Z94" s="82">
        <v>135.19999999999999</v>
      </c>
      <c r="AA94" s="82">
        <v>135.19999999999999</v>
      </c>
      <c r="AB94" s="82">
        <v>134.30000000000001</v>
      </c>
      <c r="AC94" s="82">
        <v>132.6</v>
      </c>
      <c r="AD94" s="82">
        <v>133.6</v>
      </c>
      <c r="AE94" s="82">
        <v>133.6</v>
      </c>
      <c r="AF94" s="82">
        <v>134.30000000000001</v>
      </c>
      <c r="AG94" s="147"/>
      <c r="AH94" s="54">
        <f t="shared" si="14"/>
        <v>135.19999999999999</v>
      </c>
      <c r="AI94" s="55">
        <f t="shared" si="16"/>
        <v>131.1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133</v>
      </c>
      <c r="C95" s="48">
        <v>130</v>
      </c>
      <c r="D95" s="48">
        <v>130</v>
      </c>
      <c r="E95" s="48">
        <v>129.4</v>
      </c>
      <c r="F95" s="48">
        <v>131.19999999999999</v>
      </c>
      <c r="G95" s="48">
        <v>131.19999999999999</v>
      </c>
      <c r="H95" s="48">
        <v>131.1</v>
      </c>
      <c r="I95" s="48">
        <v>127.7</v>
      </c>
      <c r="J95" s="48">
        <v>127.7</v>
      </c>
      <c r="K95" s="48">
        <v>125.9</v>
      </c>
      <c r="L95" s="48">
        <v>125.1</v>
      </c>
      <c r="M95" s="48">
        <v>124.8</v>
      </c>
      <c r="N95" s="48">
        <v>124.3</v>
      </c>
      <c r="O95" s="48">
        <v>125</v>
      </c>
      <c r="P95" s="48">
        <v>120.8</v>
      </c>
      <c r="Q95" s="48">
        <v>125.4</v>
      </c>
      <c r="R95" s="48">
        <v>134</v>
      </c>
      <c r="S95" s="48">
        <v>121</v>
      </c>
      <c r="T95" s="48">
        <v>124.6</v>
      </c>
      <c r="U95" s="48">
        <v>132.19999999999999</v>
      </c>
      <c r="V95" s="48">
        <v>132.19999999999999</v>
      </c>
      <c r="W95" s="48">
        <v>131.6</v>
      </c>
      <c r="X95" s="48">
        <v>132.19999999999999</v>
      </c>
      <c r="Y95" s="48">
        <v>134.9</v>
      </c>
      <c r="Z95" s="48">
        <v>135.6</v>
      </c>
      <c r="AA95" s="48">
        <v>135.6</v>
      </c>
      <c r="AB95" s="48">
        <v>135.69999999999999</v>
      </c>
      <c r="AC95" s="48">
        <v>131.69999999999999</v>
      </c>
      <c r="AD95" s="48">
        <v>127.6</v>
      </c>
      <c r="AE95" s="48">
        <v>130</v>
      </c>
      <c r="AF95" s="48">
        <v>130.6</v>
      </c>
      <c r="AG95" s="146"/>
      <c r="AH95" s="54">
        <f t="shared" si="14"/>
        <v>135.69999999999999</v>
      </c>
      <c r="AI95" s="55">
        <f t="shared" si="16"/>
        <v>120.8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65.2</v>
      </c>
      <c r="C96" s="83">
        <v>64.900000000000006</v>
      </c>
      <c r="D96" s="83">
        <v>64.900000000000006</v>
      </c>
      <c r="E96" s="83">
        <v>65.400000000000006</v>
      </c>
      <c r="F96" s="83">
        <v>65.7</v>
      </c>
      <c r="G96" s="83">
        <v>65.7</v>
      </c>
      <c r="H96" s="83">
        <v>65.400000000000006</v>
      </c>
      <c r="I96" s="83">
        <v>64.5</v>
      </c>
      <c r="J96" s="83">
        <v>64.5</v>
      </c>
      <c r="K96" s="83">
        <v>64.099999999999994</v>
      </c>
      <c r="L96" s="83">
        <v>64.400000000000006</v>
      </c>
      <c r="M96" s="83">
        <v>64.2</v>
      </c>
      <c r="N96" s="83">
        <v>63.8</v>
      </c>
      <c r="O96" s="83">
        <v>64.099999999999994</v>
      </c>
      <c r="P96" s="83">
        <v>63.6</v>
      </c>
      <c r="Q96" s="83">
        <v>63.4</v>
      </c>
      <c r="R96" s="83">
        <v>63.8</v>
      </c>
      <c r="S96" s="83">
        <v>64.3</v>
      </c>
      <c r="T96" s="83">
        <v>63.7</v>
      </c>
      <c r="U96" s="83">
        <v>64</v>
      </c>
      <c r="V96" s="83">
        <v>64</v>
      </c>
      <c r="W96" s="83">
        <v>64.400000000000006</v>
      </c>
      <c r="X96" s="83">
        <v>65.5</v>
      </c>
      <c r="Y96" s="83">
        <v>65.099999999999994</v>
      </c>
      <c r="Z96" s="83">
        <v>65.3</v>
      </c>
      <c r="AA96" s="83">
        <v>64.900000000000006</v>
      </c>
      <c r="AB96" s="83">
        <v>64.5</v>
      </c>
      <c r="AC96" s="83">
        <v>64.900000000000006</v>
      </c>
      <c r="AD96" s="83">
        <v>65.2</v>
      </c>
      <c r="AE96" s="83">
        <v>65</v>
      </c>
      <c r="AF96" s="83">
        <v>65.099999999999994</v>
      </c>
      <c r="AG96" s="148"/>
      <c r="AH96" s="54">
        <f t="shared" si="14"/>
        <v>65.7</v>
      </c>
      <c r="AI96" s="55">
        <f t="shared" si="16"/>
        <v>63.4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14"/>
        <v>0</v>
      </c>
      <c r="AI97" s="55">
        <f t="shared" si="16"/>
        <v>0</v>
      </c>
    </row>
    <row r="98" spans="1:37" ht="15.75" thickBot="1" x14ac:dyDescent="0.3">
      <c r="A98" s="85" t="s">
        <v>73</v>
      </c>
      <c r="B98" s="86">
        <f t="shared" ref="B98:AF98" si="23">SUM(B15,B18,B21:B22,B46,B48:B49,B51,B53,B99:B102,B123,B129,B135,B144,B146,B158,B165,B168:B169,B176,B178,B180,B184:B186,B188:B190,B195,B201:B202,B204:B206,B214,B219)</f>
        <v>35.300000000000004</v>
      </c>
      <c r="C98" s="86">
        <f t="shared" si="23"/>
        <v>17.840000000000007</v>
      </c>
      <c r="D98" s="86">
        <f t="shared" si="23"/>
        <v>13.140000000000018</v>
      </c>
      <c r="E98" s="86">
        <f t="shared" si="23"/>
        <v>13.63999999999999</v>
      </c>
      <c r="F98" s="86">
        <f t="shared" si="23"/>
        <v>314.74</v>
      </c>
      <c r="G98" s="86">
        <f t="shared" si="23"/>
        <v>33.44</v>
      </c>
      <c r="H98" s="86">
        <f t="shared" si="23"/>
        <v>77.040000000000006</v>
      </c>
      <c r="I98" s="86">
        <f t="shared" si="23"/>
        <v>81.539999999999978</v>
      </c>
      <c r="J98" s="86">
        <f t="shared" si="23"/>
        <v>110.94000000000001</v>
      </c>
      <c r="K98" s="86">
        <f t="shared" si="23"/>
        <v>141.54000000000002</v>
      </c>
      <c r="L98" s="86">
        <f t="shared" si="23"/>
        <v>162.64000000000001</v>
      </c>
      <c r="M98" s="86">
        <f t="shared" si="23"/>
        <v>150.34000000000003</v>
      </c>
      <c r="N98" s="86">
        <f t="shared" si="23"/>
        <v>139.83999999999997</v>
      </c>
      <c r="O98" s="86">
        <f t="shared" si="23"/>
        <v>173.34000000000003</v>
      </c>
      <c r="P98" s="86">
        <f t="shared" si="23"/>
        <v>166.74000000000004</v>
      </c>
      <c r="Q98" s="86">
        <f t="shared" si="23"/>
        <v>156.40000000000003</v>
      </c>
      <c r="R98" s="86">
        <f t="shared" si="23"/>
        <v>148.5</v>
      </c>
      <c r="S98" s="86">
        <f t="shared" si="23"/>
        <v>171.3</v>
      </c>
      <c r="T98" s="86">
        <f t="shared" si="23"/>
        <v>174.3</v>
      </c>
      <c r="U98" s="86">
        <f t="shared" si="23"/>
        <v>177</v>
      </c>
      <c r="V98" s="86">
        <f t="shared" si="23"/>
        <v>163</v>
      </c>
      <c r="W98" s="86">
        <f t="shared" si="23"/>
        <v>124.90000000000003</v>
      </c>
      <c r="X98" s="86">
        <f t="shared" si="23"/>
        <v>159.1</v>
      </c>
      <c r="Y98" s="86">
        <f t="shared" si="23"/>
        <v>176.20000000000005</v>
      </c>
      <c r="Z98" s="86">
        <f t="shared" si="23"/>
        <v>215.20000000000005</v>
      </c>
      <c r="AA98" s="86">
        <f t="shared" si="23"/>
        <v>227.4</v>
      </c>
      <c r="AB98" s="86">
        <f t="shared" si="23"/>
        <v>203.3</v>
      </c>
      <c r="AC98" s="86">
        <f t="shared" si="23"/>
        <v>169.10000000000002</v>
      </c>
      <c r="AD98" s="86">
        <f t="shared" si="23"/>
        <v>158.70000000000005</v>
      </c>
      <c r="AE98" s="86">
        <f t="shared" si="23"/>
        <v>105.60000000000002</v>
      </c>
      <c r="AF98" s="86">
        <f t="shared" si="23"/>
        <v>50.500000000000036</v>
      </c>
      <c r="AG98" s="150"/>
      <c r="AH98" s="54">
        <f>MAX(C98:AF98)</f>
        <v>314.74</v>
      </c>
      <c r="AI98" s="55">
        <f>MIN(C98:AF98)</f>
        <v>13.140000000000018</v>
      </c>
    </row>
    <row r="99" spans="1:37" x14ac:dyDescent="0.25">
      <c r="A99" s="170" t="s">
        <v>74</v>
      </c>
      <c r="B99" s="87">
        <v>17</v>
      </c>
      <c r="C99" s="87">
        <v>17</v>
      </c>
      <c r="D99" s="87">
        <v>11</v>
      </c>
      <c r="E99" s="87">
        <v>11.2</v>
      </c>
      <c r="F99" s="87">
        <v>11.6</v>
      </c>
      <c r="G99" s="87">
        <v>17.5</v>
      </c>
      <c r="H99" s="87">
        <v>18.3</v>
      </c>
      <c r="I99" s="87">
        <v>18.7</v>
      </c>
      <c r="J99" s="87">
        <v>20.6</v>
      </c>
      <c r="K99" s="87">
        <v>29</v>
      </c>
      <c r="L99" s="87">
        <v>36</v>
      </c>
      <c r="M99" s="87">
        <v>36.5</v>
      </c>
      <c r="N99" s="87">
        <v>39</v>
      </c>
      <c r="O99" s="87">
        <v>32.200000000000003</v>
      </c>
      <c r="P99" s="87">
        <v>36.200000000000003</v>
      </c>
      <c r="Q99" s="87">
        <v>32.1</v>
      </c>
      <c r="R99" s="87">
        <v>35.700000000000003</v>
      </c>
      <c r="S99" s="87">
        <v>26.7</v>
      </c>
      <c r="T99" s="87">
        <v>32.200000000000003</v>
      </c>
      <c r="U99" s="87">
        <v>34.700000000000003</v>
      </c>
      <c r="V99" s="87">
        <v>35.700000000000003</v>
      </c>
      <c r="W99" s="87">
        <v>38.700000000000003</v>
      </c>
      <c r="X99" s="87">
        <v>38.6</v>
      </c>
      <c r="Y99" s="87">
        <v>40</v>
      </c>
      <c r="Z99" s="87">
        <v>27.3</v>
      </c>
      <c r="AA99" s="87">
        <v>24.2</v>
      </c>
      <c r="AB99" s="87">
        <v>18.399999999999999</v>
      </c>
      <c r="AC99" s="87">
        <v>22.5</v>
      </c>
      <c r="AD99" s="87">
        <v>13.4</v>
      </c>
      <c r="AE99" s="87">
        <v>14.6</v>
      </c>
      <c r="AF99" s="87">
        <v>19</v>
      </c>
      <c r="AG99" s="151">
        <v>75</v>
      </c>
      <c r="AH99" s="54">
        <f t="shared" ref="AH99:AH105" si="24">IF(ABS(MAX(C99:AF99))&gt;ABS(MIN(C99:AF99)),MAX(C99:AF99),MIN(C99:AF99))</f>
        <v>40</v>
      </c>
      <c r="AI99" s="89">
        <f t="shared" ref="AI99:AI105" si="25">INDEX($C$9:$AF$9,1,MATCH(AH99,C99:AF99,0))</f>
        <v>0.77083333333333337</v>
      </c>
    </row>
    <row r="100" spans="1:37" x14ac:dyDescent="0.25">
      <c r="A100" s="163" t="s">
        <v>75</v>
      </c>
      <c r="B100" s="90">
        <v>-148</v>
      </c>
      <c r="C100" s="90">
        <v>-155</v>
      </c>
      <c r="D100" s="90">
        <v>-153</v>
      </c>
      <c r="E100" s="90">
        <v>-151</v>
      </c>
      <c r="F100" s="90">
        <v>149</v>
      </c>
      <c r="G100" s="90">
        <v>-143</v>
      </c>
      <c r="H100" s="90">
        <v>-105</v>
      </c>
      <c r="I100" s="90">
        <v>-102</v>
      </c>
      <c r="J100" s="90">
        <v>-76</v>
      </c>
      <c r="K100" s="90">
        <v>-84</v>
      </c>
      <c r="L100" s="90">
        <v>-72</v>
      </c>
      <c r="M100" s="90">
        <v>-84.6</v>
      </c>
      <c r="N100" s="90">
        <v>-95.2</v>
      </c>
      <c r="O100" s="90">
        <f>-39.6-33</f>
        <v>-72.599999999999994</v>
      </c>
      <c r="P100" s="90">
        <f>-37.3-41.1</f>
        <v>-78.400000000000006</v>
      </c>
      <c r="Q100" s="90">
        <v>-70.3</v>
      </c>
      <c r="R100" s="90">
        <v>-85</v>
      </c>
      <c r="S100" s="90">
        <v>-100.5</v>
      </c>
      <c r="T100" s="90">
        <f>-48.3-51.9</f>
        <v>-100.19999999999999</v>
      </c>
      <c r="U100" s="90">
        <f>-48.7-52.2</f>
        <v>-100.9</v>
      </c>
      <c r="V100" s="90">
        <f t="shared" ref="V100" si="26">-48.7-52.2</f>
        <v>-100.9</v>
      </c>
      <c r="W100" s="90">
        <f>-54.6-52.9</f>
        <v>-107.5</v>
      </c>
      <c r="X100" s="90">
        <f>-53.2-50.7</f>
        <v>-103.9</v>
      </c>
      <c r="Y100" s="90">
        <f>-45.3-48.9</f>
        <v>-94.199999999999989</v>
      </c>
      <c r="Z100" s="90">
        <f>-36.5-39.2</f>
        <v>-75.7</v>
      </c>
      <c r="AA100" s="90">
        <f>-37.9-36.4</f>
        <v>-74.3</v>
      </c>
      <c r="AB100" s="90">
        <f>-41.3-42.4</f>
        <v>-83.699999999999989</v>
      </c>
      <c r="AC100" s="90">
        <f>-50.4-47.3</f>
        <v>-97.699999999999989</v>
      </c>
      <c r="AD100" s="90">
        <f>-53-49.5</f>
        <v>-102.5</v>
      </c>
      <c r="AE100" s="90">
        <f>-66.1-62</f>
        <v>-128.1</v>
      </c>
      <c r="AF100" s="90">
        <f>-76.3-75.9</f>
        <v>-152.19999999999999</v>
      </c>
      <c r="AG100" s="151">
        <v>240</v>
      </c>
      <c r="AH100" s="54">
        <f t="shared" si="24"/>
        <v>-155</v>
      </c>
      <c r="AI100" s="89">
        <f t="shared" si="25"/>
        <v>4.1666666666666664E-2</v>
      </c>
    </row>
    <row r="101" spans="1:37" x14ac:dyDescent="0.25">
      <c r="A101" s="163" t="s">
        <v>76</v>
      </c>
      <c r="B101" s="90">
        <v>-4.5999999999999996</v>
      </c>
      <c r="C101" s="90">
        <v>-6</v>
      </c>
      <c r="D101" s="90">
        <v>-4</v>
      </c>
      <c r="E101" s="90">
        <v>-5.5</v>
      </c>
      <c r="F101" s="90">
        <v>-4.8</v>
      </c>
      <c r="G101" s="90">
        <v>0</v>
      </c>
      <c r="H101" s="90">
        <v>4.8</v>
      </c>
      <c r="I101" s="90">
        <v>6.3</v>
      </c>
      <c r="J101" s="90">
        <v>9.1999999999999993</v>
      </c>
      <c r="K101" s="90">
        <v>9.4</v>
      </c>
      <c r="L101" s="90">
        <v>11.5</v>
      </c>
      <c r="M101" s="90">
        <v>10.3</v>
      </c>
      <c r="N101" s="90">
        <v>10.9</v>
      </c>
      <c r="O101" s="90">
        <v>22.6</v>
      </c>
      <c r="P101" s="90">
        <v>20.8</v>
      </c>
      <c r="Q101" s="90">
        <v>7.5</v>
      </c>
      <c r="R101" s="90">
        <v>10.7</v>
      </c>
      <c r="S101" s="90">
        <v>5.6</v>
      </c>
      <c r="T101" s="90">
        <v>3.5</v>
      </c>
      <c r="U101" s="90">
        <v>7.5</v>
      </c>
      <c r="V101" s="90">
        <v>7.5</v>
      </c>
      <c r="W101" s="90">
        <v>7.5</v>
      </c>
      <c r="X101" s="90">
        <v>8.1</v>
      </c>
      <c r="Y101" s="90">
        <v>10.6</v>
      </c>
      <c r="Z101" s="90">
        <v>11.4</v>
      </c>
      <c r="AA101" s="90">
        <v>18.899999999999999</v>
      </c>
      <c r="AB101" s="90">
        <v>9.1999999999999993</v>
      </c>
      <c r="AC101" s="90">
        <v>2.8</v>
      </c>
      <c r="AD101" s="90">
        <v>5</v>
      </c>
      <c r="AE101" s="90">
        <v>-0.8</v>
      </c>
      <c r="AF101" s="90">
        <v>-3.4</v>
      </c>
      <c r="AG101" s="151">
        <v>60</v>
      </c>
      <c r="AH101" s="54">
        <f t="shared" si="24"/>
        <v>22.6</v>
      </c>
      <c r="AI101" s="89">
        <f t="shared" si="25"/>
        <v>0.41666666666666702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0</v>
      </c>
      <c r="M102" s="91">
        <v>0</v>
      </c>
      <c r="N102" s="91">
        <v>0</v>
      </c>
      <c r="O102" s="91">
        <v>0</v>
      </c>
      <c r="P102" s="91">
        <v>0</v>
      </c>
      <c r="Q102" s="91">
        <v>0</v>
      </c>
      <c r="R102" s="91">
        <v>0</v>
      </c>
      <c r="S102" s="91">
        <v>52.4</v>
      </c>
      <c r="T102" s="91">
        <v>51.7</v>
      </c>
      <c r="U102" s="91">
        <v>48.6</v>
      </c>
      <c r="V102" s="91">
        <v>48.6</v>
      </c>
      <c r="W102" s="91">
        <v>29.5</v>
      </c>
      <c r="X102" s="91">
        <v>29.2</v>
      </c>
      <c r="Y102" s="91">
        <v>32.700000000000003</v>
      </c>
      <c r="Z102" s="91">
        <v>65.099999999999994</v>
      </c>
      <c r="AA102" s="91">
        <v>71.5</v>
      </c>
      <c r="AB102" s="91">
        <v>72.3</v>
      </c>
      <c r="AC102" s="91">
        <v>54.4</v>
      </c>
      <c r="AD102" s="91">
        <v>55.7</v>
      </c>
      <c r="AE102" s="91">
        <v>32.799999999999997</v>
      </c>
      <c r="AF102" s="91">
        <v>0</v>
      </c>
      <c r="AG102" s="152">
        <v>120</v>
      </c>
      <c r="AH102" s="54">
        <f t="shared" si="24"/>
        <v>72.3</v>
      </c>
      <c r="AI102" s="89">
        <f t="shared" si="25"/>
        <v>0.83333333333333337</v>
      </c>
    </row>
    <row r="103" spans="1:37" x14ac:dyDescent="0.25">
      <c r="A103" s="164" t="s">
        <v>78</v>
      </c>
      <c r="B103" s="91">
        <v>41</v>
      </c>
      <c r="C103" s="91">
        <v>37</v>
      </c>
      <c r="D103" s="91">
        <v>26</v>
      </c>
      <c r="E103" s="91">
        <v>39.1</v>
      </c>
      <c r="F103" s="91">
        <v>33.700000000000003</v>
      </c>
      <c r="G103" s="91">
        <v>29.8</v>
      </c>
      <c r="H103" s="91">
        <v>41.7</v>
      </c>
      <c r="I103" s="91">
        <v>54.9</v>
      </c>
      <c r="J103" s="91">
        <v>70.3</v>
      </c>
      <c r="K103" s="91">
        <v>63.2</v>
      </c>
      <c r="L103" s="91">
        <v>60</v>
      </c>
      <c r="M103" s="91">
        <v>55.8</v>
      </c>
      <c r="N103" s="91">
        <v>48.3</v>
      </c>
      <c r="O103" s="91">
        <v>67.599999999999994</v>
      </c>
      <c r="P103" s="91">
        <v>74.7</v>
      </c>
      <c r="Q103" s="91">
        <v>82.3</v>
      </c>
      <c r="R103" s="91">
        <v>69.3</v>
      </c>
      <c r="S103" s="91">
        <v>58</v>
      </c>
      <c r="T103" s="91">
        <v>56.8</v>
      </c>
      <c r="U103" s="91">
        <v>49.9</v>
      </c>
      <c r="V103" s="91">
        <v>49.9</v>
      </c>
      <c r="W103" s="91">
        <v>284</v>
      </c>
      <c r="X103" s="91">
        <v>26.8</v>
      </c>
      <c r="Y103" s="91">
        <v>25.5</v>
      </c>
      <c r="Z103" s="91">
        <v>53</v>
      </c>
      <c r="AA103" s="91">
        <v>55.9</v>
      </c>
      <c r="AB103" s="91">
        <v>61.5</v>
      </c>
      <c r="AC103" s="91">
        <v>49.5</v>
      </c>
      <c r="AD103" s="91">
        <v>53.8</v>
      </c>
      <c r="AE103" s="91">
        <v>39.299999999999997</v>
      </c>
      <c r="AF103" s="91">
        <v>30.8</v>
      </c>
      <c r="AG103" s="152"/>
      <c r="AH103" s="54">
        <f t="shared" si="24"/>
        <v>284</v>
      </c>
      <c r="AI103" s="89">
        <f t="shared" si="25"/>
        <v>0.72916666666666663</v>
      </c>
    </row>
    <row r="104" spans="1:37" x14ac:dyDescent="0.25">
      <c r="A104" s="164" t="s">
        <v>105</v>
      </c>
      <c r="B104" s="91">
        <v>47</v>
      </c>
      <c r="C104" s="91">
        <v>40</v>
      </c>
      <c r="D104" s="91">
        <v>60</v>
      </c>
      <c r="E104" s="91">
        <v>63.6</v>
      </c>
      <c r="F104" s="91">
        <v>60.6</v>
      </c>
      <c r="G104" s="91">
        <v>24.8</v>
      </c>
      <c r="H104" s="91">
        <v>41.5</v>
      </c>
      <c r="I104" s="91">
        <v>45.5</v>
      </c>
      <c r="J104" s="91">
        <v>31.7</v>
      </c>
      <c r="K104" s="91">
        <v>34.1</v>
      </c>
      <c r="L104" s="91">
        <v>2.2999999999999998</v>
      </c>
      <c r="M104" s="91">
        <v>0.7</v>
      </c>
      <c r="N104" s="91">
        <v>-2.9</v>
      </c>
      <c r="O104" s="91">
        <v>29.3</v>
      </c>
      <c r="P104" s="91">
        <v>3.2</v>
      </c>
      <c r="Q104" s="91">
        <v>19.7</v>
      </c>
      <c r="R104" s="91">
        <v>18</v>
      </c>
      <c r="S104" s="91">
        <v>22.5</v>
      </c>
      <c r="T104" s="91">
        <v>4.9000000000000004</v>
      </c>
      <c r="U104" s="91">
        <v>-1.6</v>
      </c>
      <c r="V104" s="91">
        <v>-1.6</v>
      </c>
      <c r="W104" s="91">
        <v>-24.5</v>
      </c>
      <c r="X104" s="91">
        <v>-19.7</v>
      </c>
      <c r="Y104" s="91">
        <v>-25.6</v>
      </c>
      <c r="Z104" s="91">
        <v>24.1</v>
      </c>
      <c r="AA104" s="91">
        <v>45</v>
      </c>
      <c r="AB104" s="91">
        <v>58.7</v>
      </c>
      <c r="AC104" s="91">
        <v>38.200000000000003</v>
      </c>
      <c r="AD104" s="91">
        <v>72.900000000000006</v>
      </c>
      <c r="AE104" s="91">
        <v>67.400000000000006</v>
      </c>
      <c r="AF104" s="91">
        <v>26.7</v>
      </c>
      <c r="AG104" s="153"/>
      <c r="AH104" s="54">
        <f t="shared" si="24"/>
        <v>72.900000000000006</v>
      </c>
      <c r="AI104" s="89">
        <f t="shared" si="25"/>
        <v>0.875</v>
      </c>
    </row>
    <row r="105" spans="1:37" ht="15.75" thickBot="1" x14ac:dyDescent="0.3">
      <c r="A105" s="171" t="s">
        <v>106</v>
      </c>
      <c r="B105" s="82">
        <v>91</v>
      </c>
      <c r="C105" s="82">
        <v>92</v>
      </c>
      <c r="D105" s="82">
        <v>96</v>
      </c>
      <c r="E105" s="82">
        <v>99.4</v>
      </c>
      <c r="F105" s="82">
        <v>101.7</v>
      </c>
      <c r="G105" s="82">
        <v>101.6</v>
      </c>
      <c r="H105" s="82">
        <v>102.4</v>
      </c>
      <c r="I105" s="82">
        <v>97.8</v>
      </c>
      <c r="J105" s="82">
        <v>99.1</v>
      </c>
      <c r="K105" s="82">
        <v>95.5</v>
      </c>
      <c r="L105" s="82">
        <v>87.6</v>
      </c>
      <c r="M105" s="82">
        <v>85.3</v>
      </c>
      <c r="N105" s="82">
        <v>66.099999999999994</v>
      </c>
      <c r="O105" s="82">
        <v>76.8</v>
      </c>
      <c r="P105" s="82">
        <v>81.599999999999994</v>
      </c>
      <c r="Q105" s="82">
        <v>86.6</v>
      </c>
      <c r="R105" s="82">
        <v>84</v>
      </c>
      <c r="S105" s="82">
        <v>81</v>
      </c>
      <c r="T105" s="82">
        <v>83.5</v>
      </c>
      <c r="U105" s="82">
        <v>82.9</v>
      </c>
      <c r="V105" s="82">
        <v>82.9</v>
      </c>
      <c r="W105" s="82">
        <v>69.7</v>
      </c>
      <c r="X105" s="82">
        <v>71.8</v>
      </c>
      <c r="Y105" s="82">
        <v>59.7</v>
      </c>
      <c r="Z105" s="82">
        <v>59.4</v>
      </c>
      <c r="AA105" s="82">
        <v>75.8</v>
      </c>
      <c r="AB105" s="82">
        <v>77.5</v>
      </c>
      <c r="AC105" s="82">
        <v>79.2</v>
      </c>
      <c r="AD105" s="82">
        <v>81</v>
      </c>
      <c r="AE105" s="82">
        <v>87.5</v>
      </c>
      <c r="AF105" s="82">
        <v>90.2</v>
      </c>
      <c r="AG105" s="153"/>
      <c r="AH105" s="54">
        <f t="shared" si="24"/>
        <v>102.4</v>
      </c>
      <c r="AI105" s="89">
        <f t="shared" si="25"/>
        <v>0.22916666666666666</v>
      </c>
    </row>
    <row r="106" spans="1:37" ht="15.75" thickBot="1" x14ac:dyDescent="0.3">
      <c r="A106" s="92" t="s">
        <v>79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154"/>
      <c r="AH106" s="94"/>
      <c r="AI106" s="55"/>
      <c r="AK106" s="56"/>
    </row>
    <row r="107" spans="1:37" x14ac:dyDescent="0.25">
      <c r="A107" s="162" t="s">
        <v>133</v>
      </c>
      <c r="B107" s="95"/>
      <c r="C107" s="53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6">
        <v>9.94</v>
      </c>
      <c r="AH107" s="54"/>
      <c r="AI107" s="55"/>
      <c r="AK107" s="56"/>
    </row>
    <row r="108" spans="1:37" x14ac:dyDescent="0.25">
      <c r="A108" s="163" t="s">
        <v>134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/>
      <c r="AH108" s="54"/>
      <c r="AI108" s="55"/>
      <c r="AK108" s="56"/>
    </row>
    <row r="109" spans="1:37" x14ac:dyDescent="0.25">
      <c r="A109" s="163" t="s">
        <v>135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136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137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138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139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140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141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142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143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144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145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146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147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148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149</v>
      </c>
      <c r="B123" s="97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9">
        <v>9.9</v>
      </c>
      <c r="AH123" s="54"/>
      <c r="AI123" s="55"/>
      <c r="AK123" s="56"/>
    </row>
    <row r="124" spans="1:37" x14ac:dyDescent="0.25">
      <c r="A124" s="164" t="s">
        <v>80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100">
        <v>9.6579999999999995</v>
      </c>
      <c r="AH124" s="54"/>
      <c r="AI124" s="55"/>
      <c r="AK124" s="56"/>
    </row>
    <row r="125" spans="1:37" x14ac:dyDescent="0.25">
      <c r="A125" s="164" t="s">
        <v>150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</v>
      </c>
      <c r="AH125" s="54"/>
      <c r="AI125" s="55"/>
      <c r="AK125" s="56"/>
    </row>
    <row r="126" spans="1:37" x14ac:dyDescent="0.25">
      <c r="A126" s="164" t="s">
        <v>151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9.51</v>
      </c>
      <c r="AH126" s="54"/>
      <c r="AI126" s="55"/>
      <c r="AK126" s="56"/>
    </row>
    <row r="127" spans="1:37" x14ac:dyDescent="0.25">
      <c r="A127" s="164" t="s">
        <v>152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9.4</v>
      </c>
      <c r="AH127" s="54"/>
      <c r="AI127" s="55"/>
      <c r="AK127" s="56"/>
    </row>
    <row r="128" spans="1:37" x14ac:dyDescent="0.25">
      <c r="A128" s="164" t="s">
        <v>153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8.8000000000000007</v>
      </c>
      <c r="AH128" s="54"/>
      <c r="AI128" s="55"/>
      <c r="AK128" s="56"/>
    </row>
    <row r="129" spans="1:37" x14ac:dyDescent="0.25">
      <c r="A129" s="164" t="s">
        <v>154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8.5</v>
      </c>
      <c r="AH129" s="54"/>
      <c r="AI129" s="55"/>
      <c r="AK129" s="56"/>
    </row>
    <row r="130" spans="1:37" x14ac:dyDescent="0.25">
      <c r="A130" s="164" t="s">
        <v>155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156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8.4</v>
      </c>
      <c r="AH131" s="54"/>
      <c r="AI131" s="55"/>
      <c r="AK131" s="56"/>
    </row>
    <row r="132" spans="1:37" ht="13.5" customHeight="1" x14ac:dyDescent="0.25">
      <c r="A132" s="164" t="s">
        <v>157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</v>
      </c>
      <c r="AH132" s="54"/>
      <c r="AI132" s="55"/>
      <c r="AK132" s="56"/>
    </row>
    <row r="133" spans="1:37" x14ac:dyDescent="0.25">
      <c r="A133" s="164" t="s">
        <v>158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159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160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7.8</v>
      </c>
      <c r="AH135" s="54"/>
      <c r="AI135" s="55"/>
      <c r="AK135" s="56"/>
    </row>
    <row r="136" spans="1:37" x14ac:dyDescent="0.25">
      <c r="A136" s="164" t="s">
        <v>161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7.6</v>
      </c>
      <c r="AH136" s="54"/>
      <c r="AI136" s="55"/>
      <c r="AK136" s="56"/>
    </row>
    <row r="137" spans="1:37" x14ac:dyDescent="0.25">
      <c r="A137" s="164" t="s">
        <v>162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7.5</v>
      </c>
      <c r="AH137" s="54"/>
      <c r="AI137" s="55"/>
      <c r="AK137" s="56"/>
    </row>
    <row r="138" spans="1:37" x14ac:dyDescent="0.25">
      <c r="A138" s="164" t="s">
        <v>163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164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</v>
      </c>
      <c r="AH139" s="54"/>
      <c r="AI139" s="55"/>
      <c r="AK139" s="56"/>
    </row>
    <row r="140" spans="1:37" x14ac:dyDescent="0.25">
      <c r="A140" s="164" t="s">
        <v>165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166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167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168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6.6</v>
      </c>
      <c r="AH143" s="54"/>
      <c r="AI143" s="55"/>
      <c r="AK143" s="56"/>
    </row>
    <row r="144" spans="1:37" x14ac:dyDescent="0.25">
      <c r="A144" s="164" t="s">
        <v>169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170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6.4</v>
      </c>
      <c r="AH145" s="54"/>
      <c r="AI145" s="55"/>
      <c r="AK145" s="56"/>
    </row>
    <row r="146" spans="1:37" x14ac:dyDescent="0.25">
      <c r="A146" s="164" t="s">
        <v>171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</v>
      </c>
      <c r="AH146" s="54"/>
      <c r="AI146" s="55"/>
      <c r="AK146" s="56"/>
    </row>
    <row r="147" spans="1:37" x14ac:dyDescent="0.25">
      <c r="A147" s="164" t="s">
        <v>172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5.0999999999999996</v>
      </c>
      <c r="AH147" s="54"/>
      <c r="AI147" s="55"/>
      <c r="AK147" s="56"/>
    </row>
    <row r="148" spans="1:37" x14ac:dyDescent="0.25">
      <c r="A148" s="164" t="s">
        <v>173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</v>
      </c>
      <c r="AH148" s="54"/>
      <c r="AI148" s="55"/>
      <c r="AK148" s="56"/>
    </row>
    <row r="149" spans="1:37" x14ac:dyDescent="0.25">
      <c r="A149" s="163" t="s">
        <v>174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9">
        <v>5</v>
      </c>
      <c r="AH149" s="54"/>
      <c r="AI149" s="55"/>
      <c r="AK149" s="56"/>
    </row>
    <row r="150" spans="1:37" x14ac:dyDescent="0.25">
      <c r="A150" s="164" t="s">
        <v>175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100">
        <v>5</v>
      </c>
      <c r="AH150" s="54"/>
      <c r="AI150" s="55"/>
      <c r="AK150" s="56"/>
    </row>
    <row r="151" spans="1:37" x14ac:dyDescent="0.25">
      <c r="A151" s="164" t="s">
        <v>176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177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178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179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180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4.9930000000000003</v>
      </c>
      <c r="AH155" s="54"/>
      <c r="AI155" s="55"/>
      <c r="AK155" s="56"/>
    </row>
    <row r="156" spans="1:37" x14ac:dyDescent="0.25">
      <c r="A156" s="164" t="s">
        <v>181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4.9800000000000004</v>
      </c>
      <c r="AH156" s="54"/>
      <c r="AI156" s="55"/>
      <c r="AK156" s="56"/>
    </row>
    <row r="157" spans="1:37" x14ac:dyDescent="0.25">
      <c r="A157" s="164" t="s">
        <v>182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4.95</v>
      </c>
      <c r="AH157" s="54"/>
      <c r="AI157" s="55"/>
      <c r="AK157" s="56"/>
    </row>
    <row r="158" spans="1:37" x14ac:dyDescent="0.25">
      <c r="A158" s="164" t="s">
        <v>81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183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4.8</v>
      </c>
      <c r="AH159" s="54"/>
      <c r="AI159" s="55"/>
      <c r="AK159" s="56"/>
    </row>
    <row r="160" spans="1:37" x14ac:dyDescent="0.25">
      <c r="A160" s="164" t="s">
        <v>184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185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186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4.5</v>
      </c>
      <c r="AH162" s="54"/>
      <c r="AI162" s="55"/>
      <c r="AK162" s="56"/>
    </row>
    <row r="163" spans="1:37" x14ac:dyDescent="0.25">
      <c r="A163" s="164" t="s">
        <v>187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188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4.4550000000000001</v>
      </c>
      <c r="AH164" s="54"/>
      <c r="AI164" s="55"/>
      <c r="AK164" s="56"/>
    </row>
    <row r="165" spans="1:37" x14ac:dyDescent="0.25">
      <c r="A165" s="164" t="s">
        <v>189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4.41</v>
      </c>
      <c r="AH165" s="54"/>
      <c r="AI165" s="55"/>
      <c r="AK165" s="56"/>
    </row>
    <row r="166" spans="1:37" x14ac:dyDescent="0.25">
      <c r="A166" s="164" t="s">
        <v>190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4.4000000000000004</v>
      </c>
      <c r="AH166" s="54"/>
      <c r="AI166" s="55"/>
      <c r="AK166" s="56"/>
    </row>
    <row r="167" spans="1:37" x14ac:dyDescent="0.25">
      <c r="A167" s="164" t="s">
        <v>191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4.3600000000000003</v>
      </c>
      <c r="AH167" s="54"/>
      <c r="AI167" s="55"/>
      <c r="AK167" s="56"/>
    </row>
    <row r="168" spans="1:37" x14ac:dyDescent="0.25">
      <c r="A168" s="164" t="s">
        <v>192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4.2</v>
      </c>
      <c r="AH168" s="54"/>
      <c r="AI168" s="55"/>
      <c r="AK168" s="56"/>
    </row>
    <row r="169" spans="1:37" x14ac:dyDescent="0.25">
      <c r="A169" s="164" t="s">
        <v>193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</v>
      </c>
      <c r="AH169" s="54"/>
      <c r="AI169" s="55"/>
      <c r="AK169" s="56"/>
    </row>
    <row r="170" spans="1:37" x14ac:dyDescent="0.25">
      <c r="A170" s="164" t="s">
        <v>194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195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196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197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198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199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200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201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3.75</v>
      </c>
      <c r="AH177" s="54"/>
      <c r="AI177" s="55"/>
      <c r="AK177" s="56"/>
    </row>
    <row r="178" spans="1:37" x14ac:dyDescent="0.25">
      <c r="A178" s="164" t="s">
        <v>202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3.52</v>
      </c>
      <c r="AH178" s="54"/>
      <c r="AI178" s="55"/>
      <c r="AK178" s="56"/>
    </row>
    <row r="179" spans="1:37" x14ac:dyDescent="0.25">
      <c r="A179" s="164" t="s">
        <v>203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3.33</v>
      </c>
      <c r="AH179" s="54"/>
      <c r="AI179" s="55"/>
      <c r="AK179" s="56"/>
    </row>
    <row r="180" spans="1:37" x14ac:dyDescent="0.25">
      <c r="A180" s="164" t="s">
        <v>204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3.2</v>
      </c>
      <c r="AH180" s="54"/>
      <c r="AI180" s="55"/>
      <c r="AK180" s="56"/>
    </row>
    <row r="181" spans="1:37" x14ac:dyDescent="0.25">
      <c r="A181" s="164" t="s">
        <v>205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</v>
      </c>
      <c r="AH181" s="54"/>
      <c r="AI181" s="55"/>
      <c r="AK181" s="56"/>
    </row>
    <row r="182" spans="1:37" x14ac:dyDescent="0.25">
      <c r="A182" s="164" t="s">
        <v>206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207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208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209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210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211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212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213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2.83</v>
      </c>
      <c r="AH189" s="54"/>
      <c r="AI189" s="55"/>
      <c r="AK189" s="56"/>
    </row>
    <row r="190" spans="1:37" x14ac:dyDescent="0.25">
      <c r="A190" s="164" t="s">
        <v>214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2.5</v>
      </c>
      <c r="AH190" s="54"/>
      <c r="AI190" s="55"/>
      <c r="AK190" s="56"/>
    </row>
    <row r="191" spans="1:37" x14ac:dyDescent="0.25">
      <c r="A191" s="164" t="s">
        <v>215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216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2.4</v>
      </c>
      <c r="AH192" s="54"/>
      <c r="AI192" s="55"/>
      <c r="AK192" s="56"/>
    </row>
    <row r="193" spans="1:37" x14ac:dyDescent="0.25">
      <c r="A193" s="164" t="s">
        <v>217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218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2.2000000000000002</v>
      </c>
      <c r="AH194" s="54"/>
      <c r="AI194" s="55"/>
      <c r="AK194" s="56"/>
    </row>
    <row r="195" spans="1:37" x14ac:dyDescent="0.25">
      <c r="A195" s="164" t="s">
        <v>219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</v>
      </c>
      <c r="AH195" s="54"/>
      <c r="AI195" s="55"/>
      <c r="AK195" s="56"/>
    </row>
    <row r="196" spans="1:37" x14ac:dyDescent="0.25">
      <c r="A196" s="164" t="s">
        <v>220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221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222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1.8</v>
      </c>
      <c r="AH198" s="54"/>
      <c r="AI198" s="55"/>
      <c r="AK198" s="56"/>
    </row>
    <row r="199" spans="1:37" x14ac:dyDescent="0.25">
      <c r="A199" s="164" t="s">
        <v>223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224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1.65</v>
      </c>
      <c r="AH200" s="54"/>
      <c r="AI200" s="55"/>
      <c r="AK200" s="56"/>
    </row>
    <row r="201" spans="1:37" x14ac:dyDescent="0.25">
      <c r="A201" s="164" t="s">
        <v>225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1.5</v>
      </c>
      <c r="AH201" s="54"/>
      <c r="AI201" s="55"/>
      <c r="AK201" s="56"/>
    </row>
    <row r="202" spans="1:37" x14ac:dyDescent="0.25">
      <c r="A202" s="164" t="s">
        <v>226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0.998</v>
      </c>
      <c r="AH202" s="54"/>
      <c r="AI202" s="55"/>
      <c r="AK202" s="56"/>
    </row>
    <row r="203" spans="1:37" x14ac:dyDescent="0.25">
      <c r="A203" s="164" t="s">
        <v>227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0.997</v>
      </c>
      <c r="AH203" s="54"/>
      <c r="AI203" s="55"/>
      <c r="AK203" s="56"/>
    </row>
    <row r="204" spans="1:37" x14ac:dyDescent="0.25">
      <c r="A204" s="164" t="s">
        <v>228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229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0.996</v>
      </c>
      <c r="AH205" s="54"/>
      <c r="AI205" s="55"/>
      <c r="AK205" s="56"/>
    </row>
    <row r="206" spans="1:37" x14ac:dyDescent="0.25">
      <c r="A206" s="164" t="s">
        <v>230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231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232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0.995</v>
      </c>
      <c r="AH208" s="54"/>
      <c r="AI208" s="55"/>
      <c r="AK208" s="56"/>
    </row>
    <row r="209" spans="1:37" x14ac:dyDescent="0.25">
      <c r="A209" s="164" t="s">
        <v>233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0.99299999999999999</v>
      </c>
      <c r="AH209" s="54"/>
      <c r="AI209" s="55"/>
      <c r="AK209" s="56"/>
    </row>
    <row r="210" spans="1:37" x14ac:dyDescent="0.25">
      <c r="A210" s="164" t="s">
        <v>234</v>
      </c>
      <c r="B210" s="97"/>
      <c r="C210" s="53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</v>
      </c>
      <c r="AH210" s="54"/>
      <c r="AI210" s="55"/>
      <c r="AK210" s="56"/>
    </row>
    <row r="211" spans="1:37" ht="15.75" thickBot="1" x14ac:dyDescent="0.3">
      <c r="A211" s="164" t="s">
        <v>235</v>
      </c>
      <c r="B211" s="102"/>
      <c r="C211" s="166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0">
        <v>0.97899999999999998</v>
      </c>
      <c r="AH211" s="54"/>
      <c r="AI211" s="55"/>
      <c r="AK211" s="56"/>
    </row>
    <row r="212" spans="1:37" ht="15.75" thickBot="1" x14ac:dyDescent="0.3">
      <c r="A212" s="165" t="s">
        <v>82</v>
      </c>
      <c r="B212" s="167">
        <f>SUM(B107:B211)</f>
        <v>0</v>
      </c>
      <c r="C212" s="103">
        <f t="shared" ref="C212:AG212" si="27">SUM(C107:C211)</f>
        <v>0</v>
      </c>
      <c r="D212" s="103">
        <f t="shared" si="27"/>
        <v>0</v>
      </c>
      <c r="E212" s="103">
        <f t="shared" si="27"/>
        <v>0</v>
      </c>
      <c r="F212" s="103">
        <f t="shared" si="27"/>
        <v>0</v>
      </c>
      <c r="G212" s="103">
        <f t="shared" si="27"/>
        <v>0</v>
      </c>
      <c r="H212" s="103">
        <f t="shared" si="27"/>
        <v>0</v>
      </c>
      <c r="I212" s="103">
        <f t="shared" si="27"/>
        <v>0</v>
      </c>
      <c r="J212" s="103">
        <f t="shared" si="27"/>
        <v>0</v>
      </c>
      <c r="K212" s="103">
        <f t="shared" si="27"/>
        <v>0</v>
      </c>
      <c r="L212" s="103">
        <f t="shared" si="27"/>
        <v>0</v>
      </c>
      <c r="M212" s="103">
        <f t="shared" si="27"/>
        <v>0</v>
      </c>
      <c r="N212" s="103">
        <f t="shared" si="27"/>
        <v>0</v>
      </c>
      <c r="O212" s="103">
        <f t="shared" si="27"/>
        <v>0</v>
      </c>
      <c r="P212" s="103">
        <f t="shared" si="27"/>
        <v>0</v>
      </c>
      <c r="Q212" s="103">
        <f t="shared" si="27"/>
        <v>0</v>
      </c>
      <c r="R212" s="103">
        <f t="shared" si="27"/>
        <v>0</v>
      </c>
      <c r="S212" s="103">
        <f t="shared" si="27"/>
        <v>0</v>
      </c>
      <c r="T212" s="103">
        <f t="shared" si="27"/>
        <v>0</v>
      </c>
      <c r="U212" s="103">
        <f t="shared" si="27"/>
        <v>0</v>
      </c>
      <c r="V212" s="103">
        <f t="shared" si="27"/>
        <v>0</v>
      </c>
      <c r="W212" s="103">
        <f t="shared" si="27"/>
        <v>0</v>
      </c>
      <c r="X212" s="103">
        <f t="shared" si="27"/>
        <v>0</v>
      </c>
      <c r="Y212" s="103">
        <f t="shared" si="27"/>
        <v>0</v>
      </c>
      <c r="Z212" s="103">
        <f t="shared" si="27"/>
        <v>0</v>
      </c>
      <c r="AA212" s="103">
        <f t="shared" si="27"/>
        <v>0</v>
      </c>
      <c r="AB212" s="103">
        <f t="shared" si="27"/>
        <v>0</v>
      </c>
      <c r="AC212" s="103">
        <f t="shared" si="27"/>
        <v>0</v>
      </c>
      <c r="AD212" s="103">
        <f t="shared" si="27"/>
        <v>0</v>
      </c>
      <c r="AE212" s="103">
        <f t="shared" si="27"/>
        <v>0</v>
      </c>
      <c r="AF212" s="168">
        <f t="shared" si="27"/>
        <v>0</v>
      </c>
      <c r="AG212" s="169">
        <f t="shared" si="27"/>
        <v>412.72299999999984</v>
      </c>
      <c r="AH212" s="54"/>
      <c r="AI212" s="55"/>
      <c r="AK212" s="56"/>
    </row>
    <row r="213" spans="1:37" ht="15.75" thickBot="1" x14ac:dyDescent="0.3">
      <c r="A213" s="28" t="s">
        <v>35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149"/>
      <c r="AH213" s="54"/>
      <c r="AI213" s="55"/>
      <c r="AK213" s="56"/>
    </row>
    <row r="214" spans="1:37" x14ac:dyDescent="0.25">
      <c r="A214" s="170" t="s">
        <v>83</v>
      </c>
      <c r="B214" s="101">
        <f t="shared" ref="B214:B219" si="28">AF214</f>
        <v>0</v>
      </c>
      <c r="C214" s="101">
        <v>0.3</v>
      </c>
      <c r="D214" s="101">
        <f t="shared" ref="D214:P219" si="29">C214</f>
        <v>0.3</v>
      </c>
      <c r="E214" s="101">
        <f t="shared" si="29"/>
        <v>0.3</v>
      </c>
      <c r="F214" s="101">
        <f t="shared" si="29"/>
        <v>0.3</v>
      </c>
      <c r="G214" s="101">
        <f t="shared" si="29"/>
        <v>0.3</v>
      </c>
      <c r="H214" s="101">
        <f t="shared" si="29"/>
        <v>0.3</v>
      </c>
      <c r="I214" s="101">
        <f t="shared" si="29"/>
        <v>0.3</v>
      </c>
      <c r="J214" s="101">
        <f t="shared" si="29"/>
        <v>0.3</v>
      </c>
      <c r="K214" s="101">
        <f t="shared" si="29"/>
        <v>0.3</v>
      </c>
      <c r="L214" s="101">
        <f t="shared" si="29"/>
        <v>0.3</v>
      </c>
      <c r="M214" s="101">
        <f t="shared" si="29"/>
        <v>0.3</v>
      </c>
      <c r="N214" s="101">
        <f t="shared" si="29"/>
        <v>0.3</v>
      </c>
      <c r="O214" s="101">
        <f t="shared" si="29"/>
        <v>0.3</v>
      </c>
      <c r="P214" s="101">
        <f t="shared" si="29"/>
        <v>0.3</v>
      </c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55">
        <v>2.4</v>
      </c>
      <c r="AH214" s="54"/>
      <c r="AI214" s="55"/>
      <c r="AK214" s="56"/>
    </row>
    <row r="215" spans="1:37" x14ac:dyDescent="0.25">
      <c r="A215" s="163" t="s">
        <v>84</v>
      </c>
      <c r="B215" s="97">
        <f t="shared" si="28"/>
        <v>0</v>
      </c>
      <c r="C215" s="97">
        <v>0.4</v>
      </c>
      <c r="D215" s="97">
        <f t="shared" si="29"/>
        <v>0.4</v>
      </c>
      <c r="E215" s="97">
        <f t="shared" si="29"/>
        <v>0.4</v>
      </c>
      <c r="F215" s="97">
        <f t="shared" si="29"/>
        <v>0.4</v>
      </c>
      <c r="G215" s="97">
        <f t="shared" si="29"/>
        <v>0.4</v>
      </c>
      <c r="H215" s="97">
        <f t="shared" si="29"/>
        <v>0.4</v>
      </c>
      <c r="I215" s="97">
        <f t="shared" si="29"/>
        <v>0.4</v>
      </c>
      <c r="J215" s="97">
        <f t="shared" si="29"/>
        <v>0.4</v>
      </c>
      <c r="K215" s="97">
        <f t="shared" si="29"/>
        <v>0.4</v>
      </c>
      <c r="L215" s="97">
        <f t="shared" si="29"/>
        <v>0.4</v>
      </c>
      <c r="M215" s="97">
        <f t="shared" si="29"/>
        <v>0.4</v>
      </c>
      <c r="N215" s="97">
        <f t="shared" si="29"/>
        <v>0.4</v>
      </c>
      <c r="O215" s="97">
        <f t="shared" si="29"/>
        <v>0.4</v>
      </c>
      <c r="P215" s="97">
        <f t="shared" si="29"/>
        <v>0.4</v>
      </c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56">
        <v>2</v>
      </c>
      <c r="AH215" s="54"/>
      <c r="AI215" s="55"/>
      <c r="AK215" s="56"/>
    </row>
    <row r="216" spans="1:37" x14ac:dyDescent="0.25">
      <c r="A216" s="163" t="s">
        <v>85</v>
      </c>
      <c r="B216" s="97">
        <f t="shared" si="28"/>
        <v>0</v>
      </c>
      <c r="C216" s="97">
        <v>1.5</v>
      </c>
      <c r="D216" s="97">
        <f t="shared" si="29"/>
        <v>1.5</v>
      </c>
      <c r="E216" s="97">
        <f t="shared" si="29"/>
        <v>1.5</v>
      </c>
      <c r="F216" s="97">
        <f t="shared" si="29"/>
        <v>1.5</v>
      </c>
      <c r="G216" s="97">
        <f t="shared" si="29"/>
        <v>1.5</v>
      </c>
      <c r="H216" s="97">
        <f t="shared" si="29"/>
        <v>1.5</v>
      </c>
      <c r="I216" s="97">
        <f t="shared" si="29"/>
        <v>1.5</v>
      </c>
      <c r="J216" s="97">
        <f t="shared" si="29"/>
        <v>1.5</v>
      </c>
      <c r="K216" s="97">
        <f t="shared" si="29"/>
        <v>1.5</v>
      </c>
      <c r="L216" s="97">
        <f t="shared" si="29"/>
        <v>1.5</v>
      </c>
      <c r="M216" s="97">
        <f t="shared" si="29"/>
        <v>1.5</v>
      </c>
      <c r="N216" s="97">
        <f t="shared" si="29"/>
        <v>1.5</v>
      </c>
      <c r="O216" s="97">
        <f t="shared" si="29"/>
        <v>1.5</v>
      </c>
      <c r="P216" s="97">
        <f t="shared" si="29"/>
        <v>1.5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1.5</v>
      </c>
      <c r="AH216" s="54"/>
      <c r="AI216" s="55"/>
      <c r="AK216" s="56"/>
    </row>
    <row r="217" spans="1:37" x14ac:dyDescent="0.25">
      <c r="A217" s="163" t="s">
        <v>86</v>
      </c>
      <c r="B217" s="97">
        <f t="shared" si="28"/>
        <v>0</v>
      </c>
      <c r="C217" s="97">
        <v>0.3</v>
      </c>
      <c r="D217" s="97">
        <f t="shared" si="29"/>
        <v>0.3</v>
      </c>
      <c r="E217" s="97">
        <f t="shared" si="29"/>
        <v>0.3</v>
      </c>
      <c r="F217" s="97">
        <f t="shared" si="29"/>
        <v>0.3</v>
      </c>
      <c r="G217" s="97">
        <f t="shared" si="29"/>
        <v>0.3</v>
      </c>
      <c r="H217" s="97">
        <f t="shared" si="29"/>
        <v>0.3</v>
      </c>
      <c r="I217" s="97">
        <f t="shared" si="29"/>
        <v>0.3</v>
      </c>
      <c r="J217" s="97">
        <f t="shared" si="29"/>
        <v>0.3</v>
      </c>
      <c r="K217" s="97">
        <f t="shared" si="29"/>
        <v>0.3</v>
      </c>
      <c r="L217" s="97">
        <f t="shared" si="29"/>
        <v>0.3</v>
      </c>
      <c r="M217" s="97">
        <f t="shared" si="29"/>
        <v>0.3</v>
      </c>
      <c r="N217" s="97">
        <f t="shared" si="29"/>
        <v>0.3</v>
      </c>
      <c r="O217" s="97">
        <f t="shared" si="29"/>
        <v>0.3</v>
      </c>
      <c r="P217" s="97">
        <f t="shared" si="29"/>
        <v>0.3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</v>
      </c>
      <c r="AH217" s="54"/>
      <c r="AI217" s="55"/>
      <c r="AK217" s="56"/>
    </row>
    <row r="218" spans="1:37" x14ac:dyDescent="0.25">
      <c r="A218" s="163" t="s">
        <v>87</v>
      </c>
      <c r="B218" s="97">
        <f t="shared" si="28"/>
        <v>0</v>
      </c>
      <c r="C218" s="97">
        <v>0.4</v>
      </c>
      <c r="D218" s="97">
        <f t="shared" si="29"/>
        <v>0.4</v>
      </c>
      <c r="E218" s="97">
        <f t="shared" si="29"/>
        <v>0.4</v>
      </c>
      <c r="F218" s="97">
        <f t="shared" si="29"/>
        <v>0.4</v>
      </c>
      <c r="G218" s="97">
        <f t="shared" si="29"/>
        <v>0.4</v>
      </c>
      <c r="H218" s="97">
        <f t="shared" si="29"/>
        <v>0.4</v>
      </c>
      <c r="I218" s="97">
        <f t="shared" si="29"/>
        <v>0.4</v>
      </c>
      <c r="J218" s="97">
        <f t="shared" si="29"/>
        <v>0.4</v>
      </c>
      <c r="K218" s="97">
        <f t="shared" si="29"/>
        <v>0.4</v>
      </c>
      <c r="L218" s="97">
        <f t="shared" si="29"/>
        <v>0.4</v>
      </c>
      <c r="M218" s="97">
        <f t="shared" si="29"/>
        <v>0.4</v>
      </c>
      <c r="N218" s="97">
        <f t="shared" si="29"/>
        <v>0.4</v>
      </c>
      <c r="O218" s="97">
        <f t="shared" si="29"/>
        <v>0.4</v>
      </c>
      <c r="P218" s="97">
        <f t="shared" si="29"/>
        <v>0.4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ht="15.75" thickBot="1" x14ac:dyDescent="0.3">
      <c r="A219" s="164" t="s">
        <v>88</v>
      </c>
      <c r="B219" s="102">
        <f t="shared" si="28"/>
        <v>0</v>
      </c>
      <c r="C219" s="102">
        <v>0.64</v>
      </c>
      <c r="D219" s="102">
        <f t="shared" si="29"/>
        <v>0.64</v>
      </c>
      <c r="E219" s="102">
        <f t="shared" si="29"/>
        <v>0.64</v>
      </c>
      <c r="F219" s="102">
        <f t="shared" si="29"/>
        <v>0.64</v>
      </c>
      <c r="G219" s="102">
        <f t="shared" si="29"/>
        <v>0.64</v>
      </c>
      <c r="H219" s="102">
        <f t="shared" si="29"/>
        <v>0.64</v>
      </c>
      <c r="I219" s="102">
        <f t="shared" si="29"/>
        <v>0.64</v>
      </c>
      <c r="J219" s="102">
        <f t="shared" si="29"/>
        <v>0.64</v>
      </c>
      <c r="K219" s="102">
        <f t="shared" si="29"/>
        <v>0.64</v>
      </c>
      <c r="L219" s="102">
        <f t="shared" si="29"/>
        <v>0.64</v>
      </c>
      <c r="M219" s="102">
        <f t="shared" si="29"/>
        <v>0.64</v>
      </c>
      <c r="N219" s="102">
        <f t="shared" si="29"/>
        <v>0.64</v>
      </c>
      <c r="O219" s="102">
        <f t="shared" si="29"/>
        <v>0.64</v>
      </c>
      <c r="P219" s="102">
        <f t="shared" si="29"/>
        <v>0.64</v>
      </c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57">
        <v>0.66</v>
      </c>
      <c r="AH219" s="54"/>
      <c r="AI219" s="55"/>
    </row>
    <row r="220" spans="1:37" ht="15.75" thickBot="1" x14ac:dyDescent="0.3">
      <c r="A220" s="173" t="s">
        <v>35</v>
      </c>
      <c r="B220" s="103">
        <f>SUM(B214:B219)</f>
        <v>0</v>
      </c>
      <c r="C220" s="103">
        <f>SUM(C214:C219)</f>
        <v>3.54</v>
      </c>
      <c r="D220" s="103">
        <f t="shared" ref="D220:L220" si="30">SUM(D214:D219)</f>
        <v>3.54</v>
      </c>
      <c r="E220" s="103">
        <f t="shared" si="30"/>
        <v>3.54</v>
      </c>
      <c r="F220" s="103">
        <f t="shared" si="30"/>
        <v>3.54</v>
      </c>
      <c r="G220" s="103">
        <f t="shared" si="30"/>
        <v>3.54</v>
      </c>
      <c r="H220" s="103">
        <f t="shared" si="30"/>
        <v>3.54</v>
      </c>
      <c r="I220" s="103">
        <f t="shared" si="30"/>
        <v>3.54</v>
      </c>
      <c r="J220" s="103">
        <f t="shared" si="30"/>
        <v>3.54</v>
      </c>
      <c r="K220" s="103">
        <f t="shared" si="30"/>
        <v>3.54</v>
      </c>
      <c r="L220" s="103">
        <f t="shared" si="30"/>
        <v>3.54</v>
      </c>
      <c r="M220" s="103">
        <f>SUM(M214:M219)</f>
        <v>3.54</v>
      </c>
      <c r="N220" s="103">
        <f t="shared" ref="N220:S220" si="31">SUM(N214:N219)</f>
        <v>3.54</v>
      </c>
      <c r="O220" s="103">
        <f t="shared" si="31"/>
        <v>3.54</v>
      </c>
      <c r="P220" s="103">
        <f t="shared" si="31"/>
        <v>3.54</v>
      </c>
      <c r="Q220" s="103">
        <f t="shared" si="31"/>
        <v>0</v>
      </c>
      <c r="R220" s="103">
        <f t="shared" si="31"/>
        <v>0</v>
      </c>
      <c r="S220" s="103">
        <f t="shared" si="31"/>
        <v>0</v>
      </c>
      <c r="T220" s="103">
        <f>SUM(T214:T219)</f>
        <v>0</v>
      </c>
      <c r="U220" s="103">
        <f t="shared" ref="U220:AG220" si="32">SUM(U214:U219)</f>
        <v>0</v>
      </c>
      <c r="V220" s="103">
        <f t="shared" si="32"/>
        <v>0</v>
      </c>
      <c r="W220" s="103">
        <f t="shared" si="32"/>
        <v>0</v>
      </c>
      <c r="X220" s="103">
        <f t="shared" si="32"/>
        <v>0</v>
      </c>
      <c r="Y220" s="103">
        <f t="shared" si="32"/>
        <v>0</v>
      </c>
      <c r="Z220" s="103">
        <f t="shared" si="32"/>
        <v>0</v>
      </c>
      <c r="AA220" s="103">
        <f t="shared" si="32"/>
        <v>0</v>
      </c>
      <c r="AB220" s="103">
        <f t="shared" si="32"/>
        <v>0</v>
      </c>
      <c r="AC220" s="103">
        <f t="shared" si="32"/>
        <v>0</v>
      </c>
      <c r="AD220" s="103">
        <f t="shared" si="32"/>
        <v>0</v>
      </c>
      <c r="AE220" s="103">
        <f t="shared" si="32"/>
        <v>0</v>
      </c>
      <c r="AF220" s="103">
        <f t="shared" si="32"/>
        <v>0</v>
      </c>
      <c r="AG220" s="158">
        <f t="shared" si="32"/>
        <v>8.56</v>
      </c>
      <c r="AH220" s="54"/>
      <c r="AI220" s="55"/>
    </row>
    <row r="221" spans="1:37" ht="15.75" thickBot="1" x14ac:dyDescent="0.3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84"/>
      <c r="AH221" s="47"/>
    </row>
    <row r="222" spans="1:37" x14ac:dyDescent="0.25">
      <c r="A222" s="79" t="s">
        <v>89</v>
      </c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5"/>
      <c r="AG222" s="47"/>
      <c r="AH222" s="54"/>
      <c r="AI222" s="55"/>
    </row>
    <row r="223" spans="1:37" x14ac:dyDescent="0.25">
      <c r="A223" s="106" t="s">
        <v>90</v>
      </c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8"/>
      <c r="AG223" s="109"/>
      <c r="AH223" s="54"/>
      <c r="AI223" s="55"/>
    </row>
    <row r="224" spans="1:37" x14ac:dyDescent="0.25">
      <c r="A224" s="81" t="s">
        <v>91</v>
      </c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1"/>
      <c r="AG224" s="109"/>
      <c r="AH224" s="54"/>
      <c r="AI224" s="55"/>
    </row>
    <row r="225" spans="1:50" x14ac:dyDescent="0.25">
      <c r="A225" s="81" t="s">
        <v>92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ht="15.75" thickBot="1" x14ac:dyDescent="0.3">
      <c r="A226" s="112" t="s">
        <v>93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4"/>
      <c r="AG226" s="109"/>
      <c r="AH226" s="54"/>
      <c r="AI226" s="55"/>
    </row>
    <row r="227" spans="1:50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50" x14ac:dyDescent="0.25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50" x14ac:dyDescent="0.25">
      <c r="A229" s="115" t="s">
        <v>94</v>
      </c>
      <c r="B229" s="116">
        <f>MAX(G79:N79)</f>
        <v>1825.04</v>
      </c>
      <c r="C229" s="117">
        <f>INDEX(G9:N9,1,MATCH(MAX(G79:N79),G79:N79,0))</f>
        <v>0.33333333333333331</v>
      </c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50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118" t="str">
        <f ca="1">MID(CELL("filename",C7),FIND("]",CELL("filename",C7))+1,600)</f>
        <v>9</v>
      </c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50" x14ac:dyDescent="0.25">
      <c r="A231" s="208" t="s">
        <v>95</v>
      </c>
      <c r="B231" s="208"/>
      <c r="C231" s="47"/>
      <c r="D231" s="118" t="str">
        <f ca="1">"Pie Chart of Daily Peak Demand(Inclusive of Export) of Nepal ("&amp;A4&amp;" "&amp;B4&amp;")"</f>
        <v>Pie Chart of Daily Peak Demand(Inclusive of Export) of Nepal (Nepali Date: 2079/02/9)</v>
      </c>
      <c r="E231" s="47"/>
      <c r="F231" s="47"/>
      <c r="G231" s="118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118" t="str">
        <f ca="1">"Daily Load Curve(Excluding of Export) of Nepal ("&amp;A4&amp;" "&amp;B4&amp;")"</f>
        <v>Daily Load Curve(Excluding of Export) of Nepal (Nepali Date: 2079/02/9)</v>
      </c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50" ht="12.75" customHeight="1" thickBot="1" x14ac:dyDescent="0.3">
      <c r="A232" s="119" t="s">
        <v>7</v>
      </c>
      <c r="B232" s="120"/>
      <c r="C232" s="47"/>
      <c r="D232" s="121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50" ht="15.75" thickTop="1" x14ac:dyDescent="0.25">
      <c r="A233" s="119" t="s">
        <v>96</v>
      </c>
      <c r="B233" s="120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122" t="s">
        <v>97</v>
      </c>
      <c r="T233" s="123">
        <v>0</v>
      </c>
      <c r="U233" s="124">
        <v>4.1666666666666664E-2</v>
      </c>
      <c r="V233" s="125">
        <v>8.3333333333333301E-2</v>
      </c>
      <c r="W233" s="125">
        <v>0.125</v>
      </c>
      <c r="X233" s="125">
        <v>0.16666666666666699</v>
      </c>
      <c r="Y233" s="125">
        <v>0.20833333333333301</v>
      </c>
      <c r="Z233" s="125">
        <v>0.22916666666666666</v>
      </c>
      <c r="AA233" s="125">
        <v>0.25</v>
      </c>
      <c r="AB233" s="125">
        <v>0.27083333333333331</v>
      </c>
      <c r="AC233" s="125">
        <v>0.29166666666666669</v>
      </c>
      <c r="AD233" s="125">
        <v>0.3125</v>
      </c>
      <c r="AE233" s="126">
        <v>0.33333333333333331</v>
      </c>
      <c r="AF233" s="126">
        <v>0.375</v>
      </c>
      <c r="AG233" s="126">
        <v>0.41666666666666702</v>
      </c>
      <c r="AH233" s="126">
        <v>0.45833333333333298</v>
      </c>
      <c r="AI233" s="126">
        <v>0.5</v>
      </c>
      <c r="AJ233" s="126">
        <v>0.54166666666666696</v>
      </c>
      <c r="AK233" s="126">
        <v>0.58333333333333304</v>
      </c>
      <c r="AL233" s="126">
        <v>0.625</v>
      </c>
      <c r="AM233" s="126">
        <v>0.66666666666666696</v>
      </c>
      <c r="AN233" s="126">
        <v>0.70833333333333304</v>
      </c>
      <c r="AO233" s="126">
        <v>0.72916666666666663</v>
      </c>
      <c r="AP233" s="126">
        <v>0.75</v>
      </c>
      <c r="AQ233" s="126">
        <v>0.77083333333333337</v>
      </c>
      <c r="AR233" s="126">
        <v>0.79166666666666663</v>
      </c>
      <c r="AS233" s="126">
        <v>0.8125</v>
      </c>
      <c r="AT233" s="125">
        <v>0.83333333333333337</v>
      </c>
      <c r="AU233" s="125">
        <v>0.85416666666666663</v>
      </c>
      <c r="AV233" s="125">
        <v>0.875</v>
      </c>
      <c r="AW233" s="125">
        <v>0.91666666666666696</v>
      </c>
      <c r="AX233" s="125">
        <v>0.95833333333333304</v>
      </c>
    </row>
    <row r="234" spans="1:50" x14ac:dyDescent="0.25">
      <c r="A234" s="119" t="s">
        <v>98</v>
      </c>
      <c r="B234" s="120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 t="s">
        <v>99</v>
      </c>
      <c r="T234" s="127">
        <f t="shared" ref="T234:AX234" si="33">B79</f>
        <v>1786.6399999999999</v>
      </c>
      <c r="U234" s="127">
        <f t="shared" si="33"/>
        <v>1767.7400000000002</v>
      </c>
      <c r="V234" s="127">
        <f t="shared" si="33"/>
        <v>1745.5400000000002</v>
      </c>
      <c r="W234" s="127">
        <f t="shared" si="33"/>
        <v>1728.8400000000001</v>
      </c>
      <c r="X234" s="127">
        <f t="shared" si="33"/>
        <v>1726.2400000000002</v>
      </c>
      <c r="Y234" s="127">
        <f t="shared" si="33"/>
        <v>1710.54</v>
      </c>
      <c r="Z234" s="127">
        <f t="shared" si="33"/>
        <v>1715.2400000000002</v>
      </c>
      <c r="AA234" s="127">
        <f t="shared" si="33"/>
        <v>1727.8400000000001</v>
      </c>
      <c r="AB234" s="127">
        <f t="shared" si="33"/>
        <v>1729.24</v>
      </c>
      <c r="AC234" s="127">
        <f t="shared" si="33"/>
        <v>1764.84</v>
      </c>
      <c r="AD234" s="127">
        <f t="shared" si="33"/>
        <v>1796.1399999999999</v>
      </c>
      <c r="AE234" s="127">
        <f t="shared" si="33"/>
        <v>1825.04</v>
      </c>
      <c r="AF234" s="127">
        <f t="shared" si="33"/>
        <v>1820.14</v>
      </c>
      <c r="AG234" s="127">
        <f t="shared" si="33"/>
        <v>1838.84</v>
      </c>
      <c r="AH234" s="127">
        <f t="shared" si="33"/>
        <v>1859.8399999999997</v>
      </c>
      <c r="AI234" s="127">
        <f t="shared" si="33"/>
        <v>1841.0399999999997</v>
      </c>
      <c r="AJ234" s="127">
        <f t="shared" si="33"/>
        <v>1817.04</v>
      </c>
      <c r="AK234" s="127">
        <f t="shared" si="33"/>
        <v>1846.9399999999998</v>
      </c>
      <c r="AL234" s="127">
        <f t="shared" si="33"/>
        <v>1838.5399999999997</v>
      </c>
      <c r="AM234" s="127">
        <f t="shared" si="33"/>
        <v>1832.7399999999998</v>
      </c>
      <c r="AN234" s="127">
        <f t="shared" si="33"/>
        <v>1799.6399999999999</v>
      </c>
      <c r="AO234" s="127">
        <f t="shared" si="33"/>
        <v>1802.3399999999997</v>
      </c>
      <c r="AP234" s="127">
        <f t="shared" si="33"/>
        <v>1833.04</v>
      </c>
      <c r="AQ234" s="127">
        <f t="shared" si="33"/>
        <v>1824.6399999999999</v>
      </c>
      <c r="AR234" s="127">
        <f t="shared" si="33"/>
        <v>1824.6399999999999</v>
      </c>
      <c r="AS234" s="127">
        <f t="shared" si="33"/>
        <v>1805.54</v>
      </c>
      <c r="AT234" s="127">
        <f t="shared" si="33"/>
        <v>1846.1399999999999</v>
      </c>
      <c r="AU234" s="127">
        <f t="shared" si="33"/>
        <v>1849.04</v>
      </c>
      <c r="AV234" s="127">
        <f t="shared" si="33"/>
        <v>1824.6399999999999</v>
      </c>
      <c r="AW234" s="127">
        <f t="shared" si="33"/>
        <v>1811.14</v>
      </c>
      <c r="AX234" s="127">
        <f t="shared" si="33"/>
        <v>1817.6399999999999</v>
      </c>
    </row>
    <row r="235" spans="1:50" x14ac:dyDescent="0.25">
      <c r="A235" s="119" t="s">
        <v>100</v>
      </c>
      <c r="B235" s="120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</row>
    <row r="236" spans="1:50" x14ac:dyDescent="0.25">
      <c r="A236" s="119" t="s">
        <v>101</v>
      </c>
      <c r="B236" s="120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</row>
    <row r="237" spans="1:50" x14ac:dyDescent="0.25">
      <c r="A237" s="119" t="s">
        <v>102</v>
      </c>
      <c r="B237" s="120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50" x14ac:dyDescent="0.25">
      <c r="A238" s="119" t="s">
        <v>103</v>
      </c>
      <c r="B238" s="128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50" x14ac:dyDescent="0.25">
      <c r="A239" s="119" t="s">
        <v>104</v>
      </c>
      <c r="B239" s="120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50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1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1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1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1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1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</row>
    <row r="246" spans="1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J246"/>
    </row>
    <row r="247" spans="1:36" x14ac:dyDescent="0.25"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J247"/>
    </row>
    <row r="248" spans="1:36" x14ac:dyDescent="0.25"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J248"/>
    </row>
    <row r="249" spans="1:36" x14ac:dyDescent="0.25"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J249"/>
    </row>
    <row r="250" spans="1:36" x14ac:dyDescent="0.25"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J250"/>
    </row>
    <row r="251" spans="1:36" x14ac:dyDescent="0.25"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J251"/>
    </row>
    <row r="252" spans="1:36" x14ac:dyDescent="0.25"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J252"/>
    </row>
    <row r="253" spans="1:36" x14ac:dyDescent="0.25"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J253"/>
    </row>
    <row r="254" spans="1:36" x14ac:dyDescent="0.25"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J254"/>
    </row>
    <row r="255" spans="1:36" x14ac:dyDescent="0.25">
      <c r="A255" s="129" t="s">
        <v>89</v>
      </c>
      <c r="B255" s="130">
        <f t="shared" ref="B255:AE255" si="34">C219</f>
        <v>0.64</v>
      </c>
      <c r="C255" s="130">
        <f t="shared" si="34"/>
        <v>0.64</v>
      </c>
      <c r="D255" s="130">
        <f t="shared" si="34"/>
        <v>0.64</v>
      </c>
      <c r="E255" s="130">
        <f t="shared" si="34"/>
        <v>0.64</v>
      </c>
      <c r="F255" s="130">
        <f t="shared" si="34"/>
        <v>0.64</v>
      </c>
      <c r="G255" s="130">
        <f t="shared" si="34"/>
        <v>0.64</v>
      </c>
      <c r="H255" s="130">
        <f t="shared" si="34"/>
        <v>0.64</v>
      </c>
      <c r="I255" s="130">
        <f t="shared" si="34"/>
        <v>0.64</v>
      </c>
      <c r="J255" s="130">
        <f t="shared" si="34"/>
        <v>0.64</v>
      </c>
      <c r="K255" s="130">
        <f t="shared" si="34"/>
        <v>0.64</v>
      </c>
      <c r="L255" s="130">
        <f t="shared" si="34"/>
        <v>0.64</v>
      </c>
      <c r="M255" s="130">
        <f t="shared" si="34"/>
        <v>0.64</v>
      </c>
      <c r="N255" s="130">
        <f t="shared" si="34"/>
        <v>0.64</v>
      </c>
      <c r="O255" s="130">
        <f t="shared" si="34"/>
        <v>0.64</v>
      </c>
      <c r="P255" s="130">
        <f t="shared" si="34"/>
        <v>0</v>
      </c>
      <c r="Q255" s="130">
        <f t="shared" si="34"/>
        <v>0</v>
      </c>
      <c r="R255" s="130">
        <f t="shared" si="34"/>
        <v>0</v>
      </c>
      <c r="S255" s="130">
        <f t="shared" si="34"/>
        <v>0</v>
      </c>
      <c r="T255" s="130">
        <f t="shared" si="34"/>
        <v>0</v>
      </c>
      <c r="U255" s="130">
        <f t="shared" si="34"/>
        <v>0</v>
      </c>
      <c r="V255" s="130">
        <f t="shared" si="34"/>
        <v>0</v>
      </c>
      <c r="W255" s="130">
        <f t="shared" si="34"/>
        <v>0</v>
      </c>
      <c r="X255" s="130">
        <f t="shared" si="34"/>
        <v>0</v>
      </c>
      <c r="Y255" s="130">
        <f t="shared" si="34"/>
        <v>0</v>
      </c>
      <c r="Z255" s="130">
        <f t="shared" si="34"/>
        <v>0</v>
      </c>
      <c r="AA255" s="130">
        <f t="shared" si="34"/>
        <v>0</v>
      </c>
      <c r="AB255" s="130">
        <f t="shared" si="34"/>
        <v>0</v>
      </c>
      <c r="AC255" s="130">
        <f t="shared" si="34"/>
        <v>0</v>
      </c>
      <c r="AD255" s="130">
        <f t="shared" si="34"/>
        <v>0</v>
      </c>
      <c r="AE255" s="130">
        <f t="shared" si="34"/>
        <v>0</v>
      </c>
      <c r="AF255" s="130">
        <f>B219</f>
        <v>0</v>
      </c>
      <c r="AG255" s="47"/>
      <c r="AH255" s="47"/>
      <c r="AJ255"/>
    </row>
    <row r="256" spans="1:36" x14ac:dyDescent="0.25">
      <c r="A256" s="88" t="str">
        <f>A223</f>
        <v>KGA</v>
      </c>
      <c r="B256" s="88" t="str">
        <f>IF(B223&lt;100,"",B223-520)</f>
        <v/>
      </c>
      <c r="C256" s="88" t="str">
        <f t="shared" ref="C256:AF256" si="35">IF(C223&lt;100,"",C223-520)</f>
        <v/>
      </c>
      <c r="D256" s="88" t="str">
        <f t="shared" si="35"/>
        <v/>
      </c>
      <c r="E256" s="88" t="str">
        <f t="shared" si="35"/>
        <v/>
      </c>
      <c r="F256" s="88" t="str">
        <f t="shared" si="35"/>
        <v/>
      </c>
      <c r="G256" s="88" t="str">
        <f t="shared" si="35"/>
        <v/>
      </c>
      <c r="H256" s="88" t="str">
        <f t="shared" si="35"/>
        <v/>
      </c>
      <c r="I256" s="88" t="str">
        <f t="shared" si="35"/>
        <v/>
      </c>
      <c r="J256" s="88" t="str">
        <f t="shared" si="35"/>
        <v/>
      </c>
      <c r="K256" s="88" t="str">
        <f t="shared" si="35"/>
        <v/>
      </c>
      <c r="L256" s="88" t="str">
        <f t="shared" si="35"/>
        <v/>
      </c>
      <c r="M256" s="88" t="str">
        <f t="shared" si="35"/>
        <v/>
      </c>
      <c r="N256" s="88" t="str">
        <f t="shared" si="35"/>
        <v/>
      </c>
      <c r="O256" s="88" t="str">
        <f t="shared" si="35"/>
        <v/>
      </c>
      <c r="P256" s="88" t="str">
        <f t="shared" si="35"/>
        <v/>
      </c>
      <c r="Q256" s="88" t="str">
        <f t="shared" si="35"/>
        <v/>
      </c>
      <c r="R256" s="88" t="str">
        <f t="shared" si="35"/>
        <v/>
      </c>
      <c r="S256" s="88" t="str">
        <f t="shared" si="35"/>
        <v/>
      </c>
      <c r="T256" s="88" t="str">
        <f t="shared" si="35"/>
        <v/>
      </c>
      <c r="U256" s="88" t="str">
        <f t="shared" si="35"/>
        <v/>
      </c>
      <c r="V256" s="88" t="str">
        <f t="shared" si="35"/>
        <v/>
      </c>
      <c r="W256" s="88" t="str">
        <f t="shared" si="35"/>
        <v/>
      </c>
      <c r="X256" s="88" t="str">
        <f t="shared" si="35"/>
        <v/>
      </c>
      <c r="Y256" s="88" t="str">
        <f t="shared" si="35"/>
        <v/>
      </c>
      <c r="Z256" s="88" t="str">
        <f t="shared" si="35"/>
        <v/>
      </c>
      <c r="AA256" s="88" t="str">
        <f t="shared" si="35"/>
        <v/>
      </c>
      <c r="AB256" s="88" t="str">
        <f t="shared" si="35"/>
        <v/>
      </c>
      <c r="AC256" s="88" t="str">
        <f t="shared" si="35"/>
        <v/>
      </c>
      <c r="AD256" s="88" t="str">
        <f t="shared" si="35"/>
        <v/>
      </c>
      <c r="AE256" s="88" t="str">
        <f t="shared" si="35"/>
        <v/>
      </c>
      <c r="AF256" s="88" t="str">
        <f t="shared" si="35"/>
        <v/>
      </c>
      <c r="AG256" s="47"/>
      <c r="AH256" s="47"/>
      <c r="AJ256"/>
    </row>
    <row r="257" spans="1:36" x14ac:dyDescent="0.25">
      <c r="A257" s="88" t="str">
        <f>A224</f>
        <v>MMRS</v>
      </c>
      <c r="B257" s="88" t="str">
        <f t="shared" ref="B257:AF257" si="36">IF(B224&lt;100,"",B224-620)</f>
        <v/>
      </c>
      <c r="C257" s="88" t="str">
        <f t="shared" si="36"/>
        <v/>
      </c>
      <c r="D257" s="88" t="str">
        <f t="shared" si="36"/>
        <v/>
      </c>
      <c r="E257" s="88" t="str">
        <f t="shared" si="36"/>
        <v/>
      </c>
      <c r="F257" s="88" t="str">
        <f t="shared" si="36"/>
        <v/>
      </c>
      <c r="G257" s="88" t="str">
        <f t="shared" si="36"/>
        <v/>
      </c>
      <c r="H257" s="88" t="str">
        <f t="shared" si="36"/>
        <v/>
      </c>
      <c r="I257" s="88" t="str">
        <f t="shared" si="36"/>
        <v/>
      </c>
      <c r="J257" s="88" t="str">
        <f t="shared" si="36"/>
        <v/>
      </c>
      <c r="K257" s="88" t="str">
        <f t="shared" si="36"/>
        <v/>
      </c>
      <c r="L257" s="88" t="str">
        <f t="shared" si="36"/>
        <v/>
      </c>
      <c r="M257" s="88" t="str">
        <f t="shared" si="36"/>
        <v/>
      </c>
      <c r="N257" s="88" t="str">
        <f t="shared" si="36"/>
        <v/>
      </c>
      <c r="O257" s="88" t="str">
        <f t="shared" si="36"/>
        <v/>
      </c>
      <c r="P257" s="88" t="str">
        <f t="shared" si="36"/>
        <v/>
      </c>
      <c r="Q257" s="88" t="str">
        <f t="shared" si="36"/>
        <v/>
      </c>
      <c r="R257" s="88" t="str">
        <f t="shared" si="36"/>
        <v/>
      </c>
      <c r="S257" s="88" t="str">
        <f t="shared" si="36"/>
        <v/>
      </c>
      <c r="T257" s="88" t="str">
        <f t="shared" si="36"/>
        <v/>
      </c>
      <c r="U257" s="88" t="str">
        <f t="shared" si="36"/>
        <v/>
      </c>
      <c r="V257" s="88" t="str">
        <f t="shared" si="36"/>
        <v/>
      </c>
      <c r="W257" s="88" t="str">
        <f t="shared" si="36"/>
        <v/>
      </c>
      <c r="X257" s="88" t="str">
        <f t="shared" si="36"/>
        <v/>
      </c>
      <c r="Y257" s="88" t="str">
        <f t="shared" si="36"/>
        <v/>
      </c>
      <c r="Z257" s="88" t="str">
        <f t="shared" si="36"/>
        <v/>
      </c>
      <c r="AA257" s="88" t="str">
        <f t="shared" si="36"/>
        <v/>
      </c>
      <c r="AB257" s="88" t="str">
        <f t="shared" si="36"/>
        <v/>
      </c>
      <c r="AC257" s="88" t="str">
        <f t="shared" si="36"/>
        <v/>
      </c>
      <c r="AD257" s="88" t="str">
        <f t="shared" si="36"/>
        <v/>
      </c>
      <c r="AE257" s="88" t="str">
        <f t="shared" si="36"/>
        <v/>
      </c>
      <c r="AF257" s="88" t="str">
        <f t="shared" si="36"/>
        <v/>
      </c>
      <c r="AG257" s="47"/>
      <c r="AH257" s="47"/>
      <c r="AJ257"/>
    </row>
    <row r="258" spans="1:36" x14ac:dyDescent="0.25">
      <c r="A258" s="88" t="str">
        <f>A225</f>
        <v>MRS</v>
      </c>
      <c r="B258" s="88" t="str">
        <f t="shared" ref="B258:AF258" si="37">IF(B225&lt;100,"",B225-330)</f>
        <v/>
      </c>
      <c r="C258" s="88" t="str">
        <f t="shared" si="37"/>
        <v/>
      </c>
      <c r="D258" s="88" t="str">
        <f t="shared" si="37"/>
        <v/>
      </c>
      <c r="E258" s="88" t="str">
        <f t="shared" si="37"/>
        <v/>
      </c>
      <c r="F258" s="88" t="str">
        <f t="shared" si="37"/>
        <v/>
      </c>
      <c r="G258" s="88" t="str">
        <f t="shared" si="37"/>
        <v/>
      </c>
      <c r="H258" s="88" t="str">
        <f t="shared" si="37"/>
        <v/>
      </c>
      <c r="I258" s="88" t="str">
        <f t="shared" si="37"/>
        <v/>
      </c>
      <c r="J258" s="88" t="str">
        <f t="shared" si="37"/>
        <v/>
      </c>
      <c r="K258" s="88" t="str">
        <f t="shared" si="37"/>
        <v/>
      </c>
      <c r="L258" s="88" t="str">
        <f t="shared" si="37"/>
        <v/>
      </c>
      <c r="M258" s="88" t="str">
        <f t="shared" si="37"/>
        <v/>
      </c>
      <c r="N258" s="88" t="str">
        <f t="shared" si="37"/>
        <v/>
      </c>
      <c r="O258" s="88" t="str">
        <f t="shared" si="37"/>
        <v/>
      </c>
      <c r="P258" s="88" t="str">
        <f t="shared" si="37"/>
        <v/>
      </c>
      <c r="Q258" s="88" t="str">
        <f t="shared" si="37"/>
        <v/>
      </c>
      <c r="R258" s="88" t="str">
        <f t="shared" si="37"/>
        <v/>
      </c>
      <c r="S258" s="88" t="str">
        <f t="shared" si="37"/>
        <v/>
      </c>
      <c r="T258" s="88" t="str">
        <f t="shared" si="37"/>
        <v/>
      </c>
      <c r="U258" s="88" t="str">
        <f t="shared" si="37"/>
        <v/>
      </c>
      <c r="V258" s="88" t="str">
        <f t="shared" si="37"/>
        <v/>
      </c>
      <c r="W258" s="88" t="str">
        <f t="shared" si="37"/>
        <v/>
      </c>
      <c r="X258" s="88" t="str">
        <f t="shared" si="37"/>
        <v/>
      </c>
      <c r="Y258" s="88" t="str">
        <f t="shared" si="37"/>
        <v/>
      </c>
      <c r="Z258" s="88" t="str">
        <f t="shared" si="37"/>
        <v/>
      </c>
      <c r="AA258" s="88" t="str">
        <f t="shared" si="37"/>
        <v/>
      </c>
      <c r="AB258" s="88" t="str">
        <f t="shared" si="37"/>
        <v/>
      </c>
      <c r="AC258" s="88" t="str">
        <f t="shared" si="37"/>
        <v/>
      </c>
      <c r="AD258" s="88" t="str">
        <f t="shared" si="37"/>
        <v/>
      </c>
      <c r="AE258" s="88" t="str">
        <f t="shared" si="37"/>
        <v/>
      </c>
      <c r="AF258" s="88" t="str">
        <f t="shared" si="37"/>
        <v/>
      </c>
      <c r="AG258" s="47"/>
      <c r="AH258" s="47"/>
      <c r="AJ258"/>
    </row>
    <row r="259" spans="1:36" x14ac:dyDescent="0.25">
      <c r="A259" s="88" t="str">
        <f>A226</f>
        <v>KL 1</v>
      </c>
      <c r="B259" s="88" t="str">
        <f>IF(B226&lt;100,"",B226-1500)</f>
        <v/>
      </c>
      <c r="C259" s="88" t="str">
        <f t="shared" ref="C259:AF259" si="38">IF(C226&lt;100,"",C226-1500)</f>
        <v/>
      </c>
      <c r="D259" s="88" t="str">
        <f t="shared" si="38"/>
        <v/>
      </c>
      <c r="E259" s="88" t="str">
        <f t="shared" si="38"/>
        <v/>
      </c>
      <c r="F259" s="88" t="str">
        <f t="shared" si="38"/>
        <v/>
      </c>
      <c r="G259" s="88" t="str">
        <f t="shared" si="38"/>
        <v/>
      </c>
      <c r="H259" s="88" t="str">
        <f t="shared" si="38"/>
        <v/>
      </c>
      <c r="I259" s="88" t="str">
        <f t="shared" si="38"/>
        <v/>
      </c>
      <c r="J259" s="88" t="str">
        <f t="shared" si="38"/>
        <v/>
      </c>
      <c r="K259" s="88" t="str">
        <f t="shared" si="38"/>
        <v/>
      </c>
      <c r="L259" s="88" t="str">
        <f t="shared" si="38"/>
        <v/>
      </c>
      <c r="M259" s="88" t="str">
        <f t="shared" si="38"/>
        <v/>
      </c>
      <c r="N259" s="88" t="str">
        <f t="shared" si="38"/>
        <v/>
      </c>
      <c r="O259" s="88" t="str">
        <f t="shared" si="38"/>
        <v/>
      </c>
      <c r="P259" s="88" t="str">
        <f t="shared" si="38"/>
        <v/>
      </c>
      <c r="Q259" s="88" t="str">
        <f t="shared" si="38"/>
        <v/>
      </c>
      <c r="R259" s="88" t="str">
        <f t="shared" si="38"/>
        <v/>
      </c>
      <c r="S259" s="88" t="str">
        <f t="shared" si="38"/>
        <v/>
      </c>
      <c r="T259" s="88" t="str">
        <f t="shared" si="38"/>
        <v/>
      </c>
      <c r="U259" s="88" t="str">
        <f t="shared" si="38"/>
        <v/>
      </c>
      <c r="V259" s="88" t="str">
        <f t="shared" si="38"/>
        <v/>
      </c>
      <c r="W259" s="88" t="str">
        <f t="shared" si="38"/>
        <v/>
      </c>
      <c r="X259" s="88" t="str">
        <f t="shared" si="38"/>
        <v/>
      </c>
      <c r="Y259" s="88" t="str">
        <f t="shared" si="38"/>
        <v/>
      </c>
      <c r="Z259" s="88" t="str">
        <f t="shared" si="38"/>
        <v/>
      </c>
      <c r="AA259" s="88" t="str">
        <f t="shared" si="38"/>
        <v/>
      </c>
      <c r="AB259" s="88" t="str">
        <f t="shared" si="38"/>
        <v/>
      </c>
      <c r="AC259" s="88" t="str">
        <f t="shared" si="38"/>
        <v/>
      </c>
      <c r="AD259" s="88" t="str">
        <f t="shared" si="38"/>
        <v/>
      </c>
      <c r="AE259" s="88" t="str">
        <f t="shared" si="38"/>
        <v/>
      </c>
      <c r="AF259" s="88" t="str">
        <f t="shared" si="38"/>
        <v/>
      </c>
      <c r="AG259" s="47"/>
      <c r="AH259" s="47"/>
      <c r="AJ259"/>
    </row>
    <row r="260" spans="1:36" x14ac:dyDescent="0.25"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J260"/>
    </row>
    <row r="261" spans="1:36" x14ac:dyDescent="0.25"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J261"/>
    </row>
    <row r="262" spans="1:36" x14ac:dyDescent="0.25"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J262"/>
    </row>
    <row r="263" spans="1:36" x14ac:dyDescent="0.25"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J263"/>
    </row>
    <row r="264" spans="1:36" x14ac:dyDescent="0.25"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J264"/>
    </row>
    <row r="265" spans="1:36" x14ac:dyDescent="0.25"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J265"/>
    </row>
    <row r="266" spans="1:36" x14ac:dyDescent="0.25"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J266"/>
    </row>
    <row r="490" spans="36:38" x14ac:dyDescent="0.25">
      <c r="AK490" s="1"/>
    </row>
    <row r="491" spans="36:38" x14ac:dyDescent="0.25">
      <c r="AK491" s="1"/>
      <c r="AL491" s="1"/>
    </row>
    <row r="492" spans="36:38" x14ac:dyDescent="0.25">
      <c r="AJ492"/>
    </row>
  </sheetData>
  <mergeCells count="48">
    <mergeCell ref="A231:B23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D214:AF220 B214:B220 B212:AF212 U233:AF233 B9:AF10 C99:AF105">
    <cfRule type="expression" dxfId="5307" priority="228">
      <formula>B$9&gt;=20/24</formula>
    </cfRule>
    <cfRule type="expression" dxfId="5306" priority="229">
      <formula>AND(B$9&gt;=14/24,B$9&lt;20/24)</formula>
    </cfRule>
    <cfRule type="expression" dxfId="5305" priority="230">
      <formula>AND(B$9&gt;=8/24,B$9&lt;14/24)</formula>
    </cfRule>
    <cfRule type="expression" dxfId="5304" priority="231">
      <formula>B$9&lt;8/24</formula>
    </cfRule>
  </conditionalFormatting>
  <conditionalFormatting sqref="AL4:AL6">
    <cfRule type="iconSet" priority="227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5303" priority="223">
      <formula>S$9&gt;=20/24</formula>
    </cfRule>
    <cfRule type="expression" dxfId="5302" priority="224">
      <formula>AND(S$9&gt;=14/24,S$9&lt;20/24)</formula>
    </cfRule>
    <cfRule type="expression" dxfId="5301" priority="225">
      <formula>AND(S$9&gt;=8/24,S$9&lt;14/24)</formula>
    </cfRule>
    <cfRule type="expression" dxfId="5300" priority="226">
      <formula>S$9&lt;8/24</formula>
    </cfRule>
  </conditionalFormatting>
  <conditionalFormatting sqref="AG55 B12:L16 M11:O11 M16:O16 P11:AF16 S37:AF37 B35:AF35">
    <cfRule type="expression" dxfId="5299" priority="222">
      <formula>B11&gt;$AG11</formula>
    </cfRule>
  </conditionalFormatting>
  <conditionalFormatting sqref="A89:A102 A11:A14 A49:A76 A85:A87 A190:A220 A16:A30 A36:A47 A106:A177 A32:A33 A81:A83 A78:A79">
    <cfRule type="expression" dxfId="5298" priority="221">
      <formula>$AH11=0</formula>
    </cfRule>
  </conditionalFormatting>
  <conditionalFormatting sqref="A103">
    <cfRule type="expression" dxfId="5297" priority="220">
      <formula>$AH103=0</formula>
    </cfRule>
  </conditionalFormatting>
  <conditionalFormatting sqref="AL33">
    <cfRule type="iconSet" priority="219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5296" priority="218">
      <formula>$AH35=0</formula>
    </cfRule>
  </conditionalFormatting>
  <conditionalFormatting sqref="A88">
    <cfRule type="expression" dxfId="5295" priority="217">
      <formula>$AH88=0</formula>
    </cfRule>
  </conditionalFormatting>
  <conditionalFormatting sqref="A15">
    <cfRule type="expression" dxfId="5294" priority="216">
      <formula>$AH15=0</formula>
    </cfRule>
  </conditionalFormatting>
  <conditionalFormatting sqref="A184:A189">
    <cfRule type="expression" dxfId="5293" priority="215">
      <formula>$AH184=0</formula>
    </cfRule>
  </conditionalFormatting>
  <conditionalFormatting sqref="A178:A183">
    <cfRule type="expression" dxfId="5292" priority="214">
      <formula>$AH178=0</formula>
    </cfRule>
  </conditionalFormatting>
  <conditionalFormatting sqref="A48">
    <cfRule type="expression" dxfId="5291" priority="213">
      <formula>$AH48=0</formula>
    </cfRule>
  </conditionalFormatting>
  <conditionalFormatting sqref="A84">
    <cfRule type="expression" dxfId="5290" priority="212">
      <formula>$AH84=0</formula>
    </cfRule>
  </conditionalFormatting>
  <conditionalFormatting sqref="C89:AF89">
    <cfRule type="expression" dxfId="5289" priority="208">
      <formula>C$9&gt;=20/24</formula>
    </cfRule>
    <cfRule type="expression" dxfId="5288" priority="209">
      <formula>AND(C$9&gt;=14/24,C$9&lt;20/24)</formula>
    </cfRule>
    <cfRule type="expression" dxfId="5287" priority="210">
      <formula>AND(C$9&gt;=8/24,C$9&lt;14/24)</formula>
    </cfRule>
    <cfRule type="expression" dxfId="5286" priority="211">
      <formula>C$9&lt;8/24</formula>
    </cfRule>
  </conditionalFormatting>
  <conditionalFormatting sqref="AL34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285" priority="234">
      <formula>C$9&gt;=20/24</formula>
    </cfRule>
    <cfRule type="expression" dxfId="5284" priority="235">
      <formula>AND(C$9&gt;=14/24,C$9&lt;20/24)</formula>
    </cfRule>
    <cfRule type="expression" dxfId="5283" priority="236">
      <formula>AND(C$9&gt;=8/24,C$9&lt;14/24)</formula>
    </cfRule>
    <cfRule type="expression" dxfId="5282" priority="237">
      <formula>C$9&lt;8/24</formula>
    </cfRule>
  </conditionalFormatting>
  <conditionalFormatting sqref="A221">
    <cfRule type="expression" dxfId="5281" priority="238">
      <formula>$AH221=0</formula>
    </cfRule>
  </conditionalFormatting>
  <conditionalFormatting sqref="AG233">
    <cfRule type="expression" dxfId="5280" priority="239">
      <formula>B$9&gt;=20/24</formula>
    </cfRule>
    <cfRule type="expression" dxfId="5279" priority="240">
      <formula>AND(B$9&gt;=14/24,B$9&lt;20/24)</formula>
    </cfRule>
    <cfRule type="expression" dxfId="5278" priority="241">
      <formula>AND(B$9&gt;=8/24,B$9&lt;14/24)</formula>
    </cfRule>
    <cfRule type="expression" dxfId="5277" priority="242">
      <formula>B$9&lt;8/24</formula>
    </cfRule>
  </conditionalFormatting>
  <conditionalFormatting sqref="S8">
    <cfRule type="expression" dxfId="5276" priority="203">
      <formula>U$9&gt;=20/24</formula>
    </cfRule>
    <cfRule type="expression" dxfId="5275" priority="204">
      <formula>AND(U$9&gt;=14/24,U$9&lt;20/24)</formula>
    </cfRule>
    <cfRule type="expression" dxfId="5274" priority="205">
      <formula>AND(U$9&gt;=8/24,U$9&lt;14/24)</formula>
    </cfRule>
    <cfRule type="expression" dxfId="5273" priority="206">
      <formula>U$9&lt;8/24</formula>
    </cfRule>
  </conditionalFormatting>
  <conditionalFormatting sqref="AB8">
    <cfRule type="expression" dxfId="5272" priority="199">
      <formula>AD$9&gt;=20/24</formula>
    </cfRule>
    <cfRule type="expression" dxfId="5271" priority="200">
      <formula>AND(AD$9&gt;=14/24,AD$9&lt;20/24)</formula>
    </cfRule>
    <cfRule type="expression" dxfId="5270" priority="201">
      <formula>AND(AD$9&gt;=8/24,AD$9&lt;14/24)</formula>
    </cfRule>
    <cfRule type="expression" dxfId="5269" priority="202">
      <formula>AD$9&lt;8/24</formula>
    </cfRule>
  </conditionalFormatting>
  <conditionalFormatting sqref="AH233:AX233">
    <cfRule type="expression" dxfId="5268" priority="243">
      <formula>AG$9&gt;=20/24</formula>
    </cfRule>
    <cfRule type="expression" dxfId="5267" priority="244">
      <formula>AND(AG$9&gt;=14/24,AG$9&lt;20/24)</formula>
    </cfRule>
    <cfRule type="expression" dxfId="5266" priority="245">
      <formula>AND(AG$9&gt;=8/24,AG$9&lt;14/24)</formula>
    </cfRule>
    <cfRule type="expression" dxfId="5265" priority="246">
      <formula>AG$9&lt;8/24</formula>
    </cfRule>
  </conditionalFormatting>
  <conditionalFormatting sqref="T233">
    <cfRule type="expression" dxfId="5264" priority="247">
      <formula>AX$9&gt;=20/24</formula>
    </cfRule>
    <cfRule type="expression" dxfId="5263" priority="248">
      <formula>AND(AX$9&gt;=14/24,AX$9&lt;20/24)</formula>
    </cfRule>
    <cfRule type="expression" dxfId="5262" priority="249">
      <formula>AND(AX$9&gt;=8/24,AX$9&lt;14/24)</formula>
    </cfRule>
    <cfRule type="expression" dxfId="5261" priority="250">
      <formula>AX$9&lt;8/24</formula>
    </cfRule>
  </conditionalFormatting>
  <conditionalFormatting sqref="A104:A105">
    <cfRule type="expression" dxfId="5260" priority="198">
      <formula>$AH104=0</formula>
    </cfRule>
  </conditionalFormatting>
  <conditionalFormatting sqref="H44:L45 S44:AF45 C61:AF61">
    <cfRule type="expression" dxfId="5259" priority="194">
      <formula>C$9&gt;=20/24</formula>
    </cfRule>
    <cfRule type="expression" dxfId="5258" priority="195">
      <formula>AND(C$9&gt;=14/24,C$9&lt;20/24)</formula>
    </cfRule>
    <cfRule type="expression" dxfId="5257" priority="196">
      <formula>AND(C$9&gt;=8/24,C$9&lt;14/24)</formula>
    </cfRule>
    <cfRule type="expression" dxfId="5256" priority="197">
      <formula>C$9&lt;8/24</formula>
    </cfRule>
  </conditionalFormatting>
  <conditionalFormatting sqref="G43:L43 S43:AF43">
    <cfRule type="expression" dxfId="5255" priority="190">
      <formula>G$9&gt;=20/24</formula>
    </cfRule>
    <cfRule type="expression" dxfId="5254" priority="191">
      <formula>AND(G$9&gt;=14/24,G$9&lt;20/24)</formula>
    </cfRule>
    <cfRule type="expression" dxfId="5253" priority="192">
      <formula>AND(G$9&gt;=8/24,G$9&lt;14/24)</formula>
    </cfRule>
    <cfRule type="expression" dxfId="5252" priority="193">
      <formula>G$9&lt;8/24</formula>
    </cfRule>
  </conditionalFormatting>
  <conditionalFormatting sqref="G43:H43 H44:H45 I43:L45 S43:AF45">
    <cfRule type="expression" dxfId="5251" priority="189">
      <formula>G43&gt;$AG43</formula>
    </cfRule>
  </conditionalFormatting>
  <conditionalFormatting sqref="C86:AF86 C62:S63 C76:AF76 M37:R37 S64:S71 M11:R14 M18:R20 F64:R66 C90:AF96 S73:AF75 S32:AF32 S28:AF30 S24:AF26 S18:AF22 S12:AF14 M16:AF16 O36:AF36 E57:AF59 T62:AF71">
    <cfRule type="expression" dxfId="5250" priority="185">
      <formula>C$9&gt;=20/24</formula>
    </cfRule>
    <cfRule type="expression" dxfId="5249" priority="186">
      <formula>AND(C$9&gt;=14/24,C$9&lt;20/24)</formula>
    </cfRule>
    <cfRule type="expression" dxfId="5248" priority="187">
      <formula>AND(C$9&gt;=8/24,C$9&lt;14/24)</formula>
    </cfRule>
    <cfRule type="expression" dxfId="5247" priority="188">
      <formula>C$9&lt;8/24</formula>
    </cfRule>
  </conditionalFormatting>
  <conditionalFormatting sqref="S33:AF33">
    <cfRule type="expression" dxfId="5246" priority="181">
      <formula>S$9&gt;=20/24</formula>
    </cfRule>
    <cfRule type="expression" dxfId="5245" priority="182">
      <formula>AND(S$9&gt;=14/24,S$9&lt;20/24)</formula>
    </cfRule>
    <cfRule type="expression" dxfId="5244" priority="183">
      <formula>AND(S$9&gt;=8/24,S$9&lt;14/24)</formula>
    </cfRule>
    <cfRule type="expression" dxfId="5243" priority="184">
      <formula>S$9&lt;8/24</formula>
    </cfRule>
  </conditionalFormatting>
  <conditionalFormatting sqref="C55:AF55 E37:R37 M11:O15 P11:R11 M18:R20 S24:AF30 S18:AF22 O36:AF36 S32:AF33 E57:AF59">
    <cfRule type="expression" dxfId="5242" priority="180">
      <formula>C11&gt;$AG11</formula>
    </cfRule>
  </conditionalFormatting>
  <conditionalFormatting sqref="O35:AF35">
    <cfRule type="expression" dxfId="5241" priority="176">
      <formula>O$9&gt;=20/24</formula>
    </cfRule>
    <cfRule type="expression" dxfId="5240" priority="177">
      <formula>AND(O$9&gt;=14/24,O$9&lt;20/24)</formula>
    </cfRule>
    <cfRule type="expression" dxfId="5239" priority="178">
      <formula>AND(O$9&gt;=8/24,O$9&lt;14/24)</formula>
    </cfRule>
    <cfRule type="expression" dxfId="5238" priority="179">
      <formula>O$9&lt;8/24</formula>
    </cfRule>
  </conditionalFormatting>
  <conditionalFormatting sqref="M15:AF15">
    <cfRule type="expression" dxfId="5237" priority="172">
      <formula>M$9&gt;=20/24</formula>
    </cfRule>
    <cfRule type="expression" dxfId="5236" priority="173">
      <formula>AND(M$9&gt;=14/24,M$9&lt;20/24)</formula>
    </cfRule>
    <cfRule type="expression" dxfId="5235" priority="174">
      <formula>AND(M$9&gt;=8/24,M$9&lt;14/24)</formula>
    </cfRule>
    <cfRule type="expression" dxfId="5234" priority="175">
      <formula>M$9&lt;8/24</formula>
    </cfRule>
  </conditionalFormatting>
  <conditionalFormatting sqref="O34:AF34">
    <cfRule type="expression" dxfId="5233" priority="168">
      <formula>O$9&gt;=20/24</formula>
    </cfRule>
    <cfRule type="expression" dxfId="5232" priority="169">
      <formula>AND(O$9&gt;=14/24,O$9&lt;20/24)</formula>
    </cfRule>
    <cfRule type="expression" dxfId="5231" priority="170">
      <formula>AND(O$9&gt;=8/24,O$9&lt;14/24)</formula>
    </cfRule>
    <cfRule type="expression" dxfId="5230" priority="171">
      <formula>O$9&lt;8/24</formula>
    </cfRule>
  </conditionalFormatting>
  <conditionalFormatting sqref="O34:AF34">
    <cfRule type="expression" dxfId="5229" priority="167">
      <formula>O34&gt;$AG34</formula>
    </cfRule>
  </conditionalFormatting>
  <conditionalFormatting sqref="S11:AF11">
    <cfRule type="expression" dxfId="5228" priority="163">
      <formula>S$9&gt;=20/24</formula>
    </cfRule>
    <cfRule type="expression" dxfId="5227" priority="164">
      <formula>AND(S$9&gt;=14/24,S$9&lt;20/24)</formula>
    </cfRule>
    <cfRule type="expression" dxfId="5226" priority="165">
      <formula>AND(S$9&gt;=8/24,S$9&lt;14/24)</formula>
    </cfRule>
    <cfRule type="expression" dxfId="5225" priority="166">
      <formula>S$9&lt;8/24</formula>
    </cfRule>
  </conditionalFormatting>
  <conditionalFormatting sqref="M43:R47 N50:R54 S46:AF47 S49:AF54 AF48 M49:R49">
    <cfRule type="expression" dxfId="5224" priority="154">
      <formula>M$9&gt;=20/24</formula>
    </cfRule>
    <cfRule type="expression" dxfId="5223" priority="155">
      <formula>AND(M$9&gt;=14/24,M$9&lt;20/24)</formula>
    </cfRule>
    <cfRule type="expression" dxfId="5222" priority="156">
      <formula>AND(M$9&gt;=8/24,M$9&lt;14/24)</formula>
    </cfRule>
    <cfRule type="expression" dxfId="5221" priority="157">
      <formula>M$9&lt;8/24</formula>
    </cfRule>
  </conditionalFormatting>
  <conditionalFormatting sqref="M43:R47 N50:R54 S46:AF47 S49:AF54 AF48 M49:R49">
    <cfRule type="expression" dxfId="5220" priority="153">
      <formula>M43&gt;$AG43</formula>
    </cfRule>
  </conditionalFormatting>
  <conditionalFormatting sqref="S27:AF27">
    <cfRule type="expression" dxfId="5219" priority="149">
      <formula>S$9&gt;=20/24</formula>
    </cfRule>
    <cfRule type="expression" dxfId="5218" priority="150">
      <formula>AND(S$9&gt;=14/24,S$9&lt;20/24)</formula>
    </cfRule>
    <cfRule type="expression" dxfId="5217" priority="151">
      <formula>AND(S$9&gt;=8/24,S$9&lt;14/24)</formula>
    </cfRule>
    <cfRule type="expression" dxfId="5216" priority="152">
      <formula>S$9&lt;8/24</formula>
    </cfRule>
  </conditionalFormatting>
  <conditionalFormatting sqref="S23:AF23 M17:AF17">
    <cfRule type="expression" dxfId="5215" priority="145">
      <formula>M$9&gt;=20/24</formula>
    </cfRule>
    <cfRule type="expression" dxfId="5214" priority="146">
      <formula>AND(M$9&gt;=14/24,M$9&lt;20/24)</formula>
    </cfRule>
    <cfRule type="expression" dxfId="5213" priority="147">
      <formula>AND(M$9&gt;=8/24,M$9&lt;14/24)</formula>
    </cfRule>
    <cfRule type="expression" dxfId="5212" priority="148">
      <formula>M$9&lt;8/24</formula>
    </cfRule>
  </conditionalFormatting>
  <conditionalFormatting sqref="S23:AF23 M17:AF17">
    <cfRule type="expression" dxfId="5211" priority="140">
      <formula>M17&gt;$AG17</formula>
    </cfRule>
  </conditionalFormatting>
  <conditionalFormatting sqref="B99:B105 B78:AF78 B87:AF87 B11:L11">
    <cfRule type="expression" dxfId="5210" priority="95">
      <formula>B$9&gt;=20/24</formula>
    </cfRule>
    <cfRule type="expression" dxfId="5209" priority="96">
      <formula>AND(B$9&gt;=14/24,B$9&lt;20/24)</formula>
    </cfRule>
    <cfRule type="expression" dxfId="5208" priority="97">
      <formula>AND(B$9&gt;=8/24,B$9&lt;14/24)</formula>
    </cfRule>
    <cfRule type="expression" dxfId="5207" priority="98">
      <formula>B$9&lt;8/24</formula>
    </cfRule>
  </conditionalFormatting>
  <conditionalFormatting sqref="B37:D37">
    <cfRule type="expression" dxfId="5206" priority="91">
      <formula>B$9&gt;=20/24</formula>
    </cfRule>
    <cfRule type="expression" dxfId="5205" priority="92">
      <formula>AND(B$9&gt;=14/24,B$9&lt;20/24)</formula>
    </cfRule>
    <cfRule type="expression" dxfId="5204" priority="93">
      <formula>AND(B$9&gt;=8/24,B$9&lt;14/24)</formula>
    </cfRule>
    <cfRule type="expression" dxfId="5203" priority="94">
      <formula>B$9&lt;8/24</formula>
    </cfRule>
  </conditionalFormatting>
  <conditionalFormatting sqref="B37:D37 B11:L11">
    <cfRule type="expression" dxfId="5202" priority="90">
      <formula>B11&gt;$AG11</formula>
    </cfRule>
  </conditionalFormatting>
  <conditionalFormatting sqref="B89">
    <cfRule type="expression" dxfId="5201" priority="86">
      <formula>B$9&gt;=20/24</formula>
    </cfRule>
    <cfRule type="expression" dxfId="5200" priority="87">
      <formula>AND(B$9&gt;=14/24,B$9&lt;20/24)</formula>
    </cfRule>
    <cfRule type="expression" dxfId="5199" priority="88">
      <formula>AND(B$9&gt;=8/24,B$9&lt;14/24)</formula>
    </cfRule>
    <cfRule type="expression" dxfId="5198" priority="89">
      <formula>B$9&lt;8/24</formula>
    </cfRule>
  </conditionalFormatting>
  <conditionalFormatting sqref="B61 B44:G45 B36:N36">
    <cfRule type="expression" dxfId="5197" priority="82">
      <formula>B$9&gt;=20/24</formula>
    </cfRule>
    <cfRule type="expression" dxfId="5196" priority="83">
      <formula>AND(B$9&gt;=14/24,B$9&lt;20/24)</formula>
    </cfRule>
    <cfRule type="expression" dxfId="5195" priority="84">
      <formula>AND(B$9&gt;=8/24,B$9&lt;14/24)</formula>
    </cfRule>
    <cfRule type="expression" dxfId="5194" priority="85">
      <formula>B$9&lt;8/24</formula>
    </cfRule>
  </conditionalFormatting>
  <conditionalFormatting sqref="B43:F43">
    <cfRule type="expression" dxfId="5193" priority="78">
      <formula>B$9&gt;=20/24</formula>
    </cfRule>
    <cfRule type="expression" dxfId="5192" priority="79">
      <formula>AND(B$9&gt;=14/24,B$9&lt;20/24)</formula>
    </cfRule>
    <cfRule type="expression" dxfId="5191" priority="80">
      <formula>AND(B$9&gt;=8/24,B$9&lt;14/24)</formula>
    </cfRule>
    <cfRule type="expression" dxfId="5190" priority="81">
      <formula>B$9&lt;8/24</formula>
    </cfRule>
  </conditionalFormatting>
  <conditionalFormatting sqref="B43:F45 G44:G45 B36:N36">
    <cfRule type="expression" dxfId="5189" priority="77">
      <formula>B36&gt;$AG36</formula>
    </cfRule>
  </conditionalFormatting>
  <conditionalFormatting sqref="B90:B96 B57:B60 B62:B71 B73:B77 B79:AF79 B86 C60:AG60 C77:AG77 B88:AF88 C57:D59 C64:E71 B12:L14 B16:L16 B18:L22 B28:R30 B24:R26 B32:R32 M21:R22 F67:R71 C73:R75">
    <cfRule type="expression" dxfId="5188" priority="73">
      <formula>B$9&gt;=20/24</formula>
    </cfRule>
    <cfRule type="expression" dxfId="5187" priority="74">
      <formula>AND(B$9&gt;=14/24,B$9&lt;20/24)</formula>
    </cfRule>
    <cfRule type="expression" dxfId="5186" priority="75">
      <formula>AND(B$9&gt;=8/24,B$9&lt;14/24)</formula>
    </cfRule>
    <cfRule type="expression" dxfId="5185" priority="76">
      <formula>B$9&lt;8/24</formula>
    </cfRule>
  </conditionalFormatting>
  <conditionalFormatting sqref="B33:R33">
    <cfRule type="expression" dxfId="5184" priority="69">
      <formula>B$9&gt;=20/24</formula>
    </cfRule>
    <cfRule type="expression" dxfId="5183" priority="70">
      <formula>AND(B$9&gt;=14/24,B$9&lt;20/24)</formula>
    </cfRule>
    <cfRule type="expression" dxfId="5182" priority="71">
      <formula>AND(B$9&gt;=8/24,B$9&lt;14/24)</formula>
    </cfRule>
    <cfRule type="expression" dxfId="5181" priority="72">
      <formula>B$9&lt;8/24</formula>
    </cfRule>
  </conditionalFormatting>
  <conditionalFormatting sqref="B55:B60 B38:AG38 C56:AG56 C60:AG60 C57:D59 B18:L22 B46:L47 B24:R30 B32:R33 M21:R22">
    <cfRule type="expression" dxfId="5180" priority="68">
      <formula>B18&gt;$AG18</formula>
    </cfRule>
  </conditionalFormatting>
  <conditionalFormatting sqref="B35:N35">
    <cfRule type="expression" dxfId="5179" priority="64">
      <formula>B$9&gt;=20/24</formula>
    </cfRule>
    <cfRule type="expression" dxfId="5178" priority="65">
      <formula>AND(B$9&gt;=14/24,B$9&lt;20/24)</formula>
    </cfRule>
    <cfRule type="expression" dxfId="5177" priority="66">
      <formula>AND(B$9&gt;=8/24,B$9&lt;14/24)</formula>
    </cfRule>
    <cfRule type="expression" dxfId="5176" priority="67">
      <formula>B$9&lt;8/24</formula>
    </cfRule>
  </conditionalFormatting>
  <conditionalFormatting sqref="B15:L15">
    <cfRule type="expression" dxfId="5175" priority="60">
      <formula>B$9&gt;=20/24</formula>
    </cfRule>
    <cfRule type="expression" dxfId="5174" priority="61">
      <formula>AND(B$9&gt;=14/24,B$9&lt;20/24)</formula>
    </cfRule>
    <cfRule type="expression" dxfId="5173" priority="62">
      <formula>AND(B$9&gt;=8/24,B$9&lt;14/24)</formula>
    </cfRule>
    <cfRule type="expression" dxfId="5172" priority="63">
      <formula>B$9&lt;8/24</formula>
    </cfRule>
  </conditionalFormatting>
  <conditionalFormatting sqref="B34:N34">
    <cfRule type="expression" dxfId="5171" priority="56">
      <formula>B$9&gt;=20/24</formula>
    </cfRule>
    <cfRule type="expression" dxfId="5170" priority="57">
      <formula>AND(B$9&gt;=14/24,B$9&lt;20/24)</formula>
    </cfRule>
    <cfRule type="expression" dxfId="5169" priority="58">
      <formula>AND(B$9&gt;=8/24,B$9&lt;14/24)</formula>
    </cfRule>
    <cfRule type="expression" dxfId="5168" priority="59">
      <formula>B$9&lt;8/24</formula>
    </cfRule>
  </conditionalFormatting>
  <conditionalFormatting sqref="B34:N34">
    <cfRule type="expression" dxfId="5167" priority="55">
      <formula>B34&gt;$AG34</formula>
    </cfRule>
  </conditionalFormatting>
  <conditionalFormatting sqref="B48:L54 M50:M54 M48:AE48">
    <cfRule type="expression" dxfId="5166" priority="51">
      <formula>B$9&gt;=20/24</formula>
    </cfRule>
    <cfRule type="expression" dxfId="5165" priority="52">
      <formula>AND(B$9&gt;=14/24,B$9&lt;20/24)</formula>
    </cfRule>
    <cfRule type="expression" dxfId="5164" priority="53">
      <formula>AND(B$9&gt;=8/24,B$9&lt;14/24)</formula>
    </cfRule>
    <cfRule type="expression" dxfId="5163" priority="54">
      <formula>B$9&lt;8/24</formula>
    </cfRule>
  </conditionalFormatting>
  <conditionalFormatting sqref="B48:L54 M50:M54 M48:AE48">
    <cfRule type="expression" dxfId="5162" priority="50">
      <formula>B48&gt;$AG48</formula>
    </cfRule>
  </conditionalFormatting>
  <conditionalFormatting sqref="B27:R27">
    <cfRule type="expression" dxfId="5161" priority="46">
      <formula>B$9&gt;=20/24</formula>
    </cfRule>
    <cfRule type="expression" dxfId="5160" priority="47">
      <formula>AND(B$9&gt;=14/24,B$9&lt;20/24)</formula>
    </cfRule>
    <cfRule type="expression" dxfId="5159" priority="48">
      <formula>AND(B$9&gt;=8/24,B$9&lt;14/24)</formula>
    </cfRule>
    <cfRule type="expression" dxfId="5158" priority="49">
      <formula>B$9&lt;8/24</formula>
    </cfRule>
  </conditionalFormatting>
  <conditionalFormatting sqref="B17:L17 B23:R23">
    <cfRule type="expression" dxfId="5157" priority="42">
      <formula>B$9&gt;=20/24</formula>
    </cfRule>
    <cfRule type="expression" dxfId="5156" priority="43">
      <formula>AND(B$9&gt;=14/24,B$9&lt;20/24)</formula>
    </cfRule>
    <cfRule type="expression" dxfId="5155" priority="44">
      <formula>AND(B$9&gt;=8/24,B$9&lt;14/24)</formula>
    </cfRule>
    <cfRule type="expression" dxfId="5154" priority="45">
      <formula>B$9&lt;8/24</formula>
    </cfRule>
  </conditionalFormatting>
  <conditionalFormatting sqref="B17:L17 B23:R23">
    <cfRule type="expression" dxfId="5153" priority="41">
      <formula>B17&gt;$AG17</formula>
    </cfRule>
  </conditionalFormatting>
  <conditionalFormatting sqref="A34">
    <cfRule type="expression" dxfId="5152" priority="40">
      <formula>$AH34=0</formula>
    </cfRule>
  </conditionalFormatting>
  <conditionalFormatting sqref="B72:AF72">
    <cfRule type="expression" dxfId="5151" priority="36">
      <formula>B$9&gt;=20/24</formula>
    </cfRule>
    <cfRule type="expression" dxfId="5150" priority="37">
      <formula>AND(B$9&gt;=14/24,B$9&lt;20/24)</formula>
    </cfRule>
    <cfRule type="expression" dxfId="5149" priority="38">
      <formula>AND(B$9&gt;=8/24,B$9&lt;14/24)</formula>
    </cfRule>
    <cfRule type="expression" dxfId="5148" priority="39">
      <formula>B$9&lt;8/24</formula>
    </cfRule>
  </conditionalFormatting>
  <conditionalFormatting sqref="B81:AF85">
    <cfRule type="expression" dxfId="5147" priority="32">
      <formula>B$9&gt;=20/24</formula>
    </cfRule>
    <cfRule type="expression" dxfId="5146" priority="33">
      <formula>AND(B$9&gt;=14/24,B$9&lt;20/24)</formula>
    </cfRule>
    <cfRule type="expression" dxfId="5145" priority="34">
      <formula>AND(B$9&gt;=8/24,B$9&lt;14/24)</formula>
    </cfRule>
    <cfRule type="expression" dxfId="5144" priority="35">
      <formula>B$9&lt;8/24</formula>
    </cfRule>
  </conditionalFormatting>
  <conditionalFormatting sqref="AL35 AL7:AL30 AL32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E39:AF41">
    <cfRule type="expression" dxfId="5143" priority="28">
      <formula>E$9&gt;=20/24</formula>
    </cfRule>
    <cfRule type="expression" dxfId="5142" priority="29">
      <formula>AND(E$9&gt;=14/24,E$9&lt;20/24)</formula>
    </cfRule>
    <cfRule type="expression" dxfId="5141" priority="30">
      <formula>AND(E$9&gt;=8/24,E$9&lt;14/24)</formula>
    </cfRule>
    <cfRule type="expression" dxfId="5140" priority="31">
      <formula>E$9&lt;8/24</formula>
    </cfRule>
  </conditionalFormatting>
  <conditionalFormatting sqref="E39:AF41">
    <cfRule type="expression" dxfId="5139" priority="27">
      <formula>E39&gt;$AG39</formula>
    </cfRule>
  </conditionalFormatting>
  <conditionalFormatting sqref="B39:B42 C42:AG42 C39:D41">
    <cfRule type="expression" dxfId="5138" priority="23">
      <formula>B$9&gt;=20/24</formula>
    </cfRule>
    <cfRule type="expression" dxfId="5137" priority="24">
      <formula>AND(B$9&gt;=14/24,B$9&lt;20/24)</formula>
    </cfRule>
    <cfRule type="expression" dxfId="5136" priority="25">
      <formula>AND(B$9&gt;=8/24,B$9&lt;14/24)</formula>
    </cfRule>
    <cfRule type="expression" dxfId="5135" priority="26">
      <formula>B$9&lt;8/24</formula>
    </cfRule>
  </conditionalFormatting>
  <conditionalFormatting sqref="B39:B42 C42:AG42 C39:D41">
    <cfRule type="expression" dxfId="5134" priority="22">
      <formula>B39&gt;$AG39</formula>
    </cfRule>
  </conditionalFormatting>
  <conditionalFormatting sqref="C97:AF97">
    <cfRule type="expression" dxfId="5133" priority="18">
      <formula>C$9&gt;=20/24</formula>
    </cfRule>
    <cfRule type="expression" dxfId="5132" priority="19">
      <formula>AND(C$9&gt;=14/24,C$9&lt;20/24)</formula>
    </cfRule>
    <cfRule type="expression" dxfId="5131" priority="20">
      <formula>AND(C$9&gt;=8/24,C$9&lt;14/24)</formula>
    </cfRule>
    <cfRule type="expression" dxfId="5130" priority="21">
      <formula>C$9&lt;8/24</formula>
    </cfRule>
  </conditionalFormatting>
  <conditionalFormatting sqref="B97">
    <cfRule type="expression" dxfId="5129" priority="14">
      <formula>B$9&gt;=20/24</formula>
    </cfRule>
    <cfRule type="expression" dxfId="5128" priority="15">
      <formula>AND(B$9&gt;=14/24,B$9&lt;20/24)</formula>
    </cfRule>
    <cfRule type="expression" dxfId="5127" priority="16">
      <formula>AND(B$9&gt;=8/24,B$9&lt;14/24)</formula>
    </cfRule>
    <cfRule type="expression" dxfId="5126" priority="17">
      <formula>B$9&lt;8/24</formula>
    </cfRule>
  </conditionalFormatting>
  <conditionalFormatting sqref="AL31">
    <cfRule type="iconSet" priority="13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5125" priority="7">
      <formula>$AH31=0</formula>
    </cfRule>
  </conditionalFormatting>
  <conditionalFormatting sqref="A77">
    <cfRule type="expression" dxfId="5124" priority="2">
      <formula>$AH77=0</formula>
    </cfRule>
  </conditionalFormatting>
  <conditionalFormatting sqref="A80">
    <cfRule type="expression" dxfId="5123" priority="1">
      <formula>$AH80=0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30E1A8B8-F3E6-439B-859B-BB50594B0E62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" id="{6AD6F29D-13EF-488B-A0BE-8BC37CDD0D7D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1" id="{C3494063-B3B3-4C9B-9D73-1D3FA62794D0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2" id="{5E4CAE9E-D38D-4978-B4AA-172F90624CFA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8" id="{CC1C91EE-1904-4FC7-840D-99F5C4E4CE32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2"/>
  <sheetViews>
    <sheetView zoomScaleNormal="100" workbookViewId="0">
      <pane xSplit="1" ySplit="10" topLeftCell="B44" activePane="bottomRight" state="frozen"/>
      <selection activeCell="AF88" sqref="AF88"/>
      <selection pane="topRight" activeCell="AF88" sqref="AF88"/>
      <selection pane="bottomLeft" activeCell="AF88" sqref="AF88"/>
      <selection pane="bottomRight" activeCell="Y3" sqref="Y3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2079/02/10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("&amp;ROUND(B237,0)&amp;" MW)"&amp;"    IPP   = "&amp;ROUND(B232,0)&amp;" MW     NEA RoR = "&amp;ROUND(B233,0)&amp;" MWImport   = "&amp;ROUND(B235,0)&amp;" MW      KL1+KL2+K3 = "&amp;ROUND(B234,0) &amp;" MW    EXPORT = "&amp;ROUND(B236,0)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29</v>
      </c>
      <c r="C5" s="32">
        <f t="shared" si="0"/>
        <v>28</v>
      </c>
      <c r="D5" s="32">
        <f t="shared" si="0"/>
        <v>47.4</v>
      </c>
      <c r="E5" s="32">
        <f t="shared" si="0"/>
        <v>46.46</v>
      </c>
      <c r="F5" s="32">
        <f t="shared" si="0"/>
        <v>49.79</v>
      </c>
      <c r="G5" s="32">
        <f t="shared" si="0"/>
        <v>0</v>
      </c>
      <c r="H5" s="32">
        <f t="shared" si="0"/>
        <v>0</v>
      </c>
      <c r="I5" s="32">
        <f t="shared" si="0"/>
        <v>48.7</v>
      </c>
      <c r="J5" s="32">
        <f t="shared" si="0"/>
        <v>48.7</v>
      </c>
      <c r="K5" s="32">
        <f t="shared" si="0"/>
        <v>69.3</v>
      </c>
      <c r="L5" s="32">
        <f t="shared" si="0"/>
        <v>71.7</v>
      </c>
      <c r="M5" s="32">
        <f t="shared" si="0"/>
        <v>53.4</v>
      </c>
      <c r="N5" s="32">
        <f t="shared" si="0"/>
        <v>65.599999999999994</v>
      </c>
      <c r="O5" s="32">
        <f t="shared" si="0"/>
        <v>68.900000000000006</v>
      </c>
      <c r="P5" s="32">
        <f t="shared" si="0"/>
        <v>66.400000000000006</v>
      </c>
      <c r="Q5" s="32">
        <f t="shared" si="0"/>
        <v>65</v>
      </c>
      <c r="R5" s="32">
        <f t="shared" si="0"/>
        <v>70.599999999999994</v>
      </c>
      <c r="S5" s="32">
        <f t="shared" si="0"/>
        <v>64</v>
      </c>
      <c r="T5" s="32">
        <f t="shared" si="0"/>
        <v>70</v>
      </c>
      <c r="U5" s="32">
        <f t="shared" si="0"/>
        <v>60</v>
      </c>
      <c r="V5" s="32">
        <f t="shared" si="0"/>
        <v>55</v>
      </c>
      <c r="W5" s="32">
        <f t="shared" si="0"/>
        <v>48</v>
      </c>
      <c r="X5" s="32">
        <f t="shared" si="0"/>
        <v>48</v>
      </c>
      <c r="Y5" s="32">
        <f t="shared" si="0"/>
        <v>52</v>
      </c>
      <c r="Z5" s="32">
        <f t="shared" si="0"/>
        <v>60</v>
      </c>
      <c r="AA5" s="32">
        <f t="shared" si="0"/>
        <v>72</v>
      </c>
      <c r="AB5" s="32">
        <f t="shared" si="0"/>
        <v>74.8</v>
      </c>
      <c r="AC5" s="32">
        <f t="shared" si="0"/>
        <v>74.5</v>
      </c>
      <c r="AD5" s="32">
        <f t="shared" si="0"/>
        <v>52.8</v>
      </c>
      <c r="AE5" s="32">
        <f t="shared" si="0"/>
        <v>36.6</v>
      </c>
      <c r="AF5" s="32">
        <f>B72</f>
        <v>29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"&amp;ROUND(B237,0)&amp;"MW at "&amp;TRUNC(B238*24,0)&amp;":"&amp;ROUND((B238*24-TRUNC(B238*24,0))*60,0)&amp;"hr at "&amp;ROUND(B239,1)&amp;"Hz     "&amp;A229&amp;" "&amp;ROUND(B229,0)&amp;"MW at "&amp;TRUNC(C229*24,0)&amp;":"&amp;ROUND((C229*24-TRUNC(C229*24,0))*6,0)&amp;"0hr"</f>
        <v>Evening Peak 0MW at 0:0hr at 0Hz     Morning Peak 1805MW at 6:30hr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B79</f>
        <v>1779.1399999999999</v>
      </c>
      <c r="C7" s="37">
        <f t="shared" ref="C7:AF7" si="1">C79</f>
        <v>1779.1399999999999</v>
      </c>
      <c r="D7" s="37">
        <f t="shared" si="1"/>
        <v>1756.1399999999999</v>
      </c>
      <c r="E7" s="37">
        <f t="shared" si="1"/>
        <v>1779.54</v>
      </c>
      <c r="F7" s="37">
        <f t="shared" si="1"/>
        <v>1797.6</v>
      </c>
      <c r="G7" s="37">
        <f t="shared" si="1"/>
        <v>1764.33</v>
      </c>
      <c r="H7" s="37">
        <f t="shared" si="1"/>
        <v>3.54</v>
      </c>
      <c r="I7" s="37">
        <f t="shared" si="1"/>
        <v>3.54</v>
      </c>
      <c r="J7" s="37">
        <f t="shared" si="1"/>
        <v>1805.24</v>
      </c>
      <c r="K7" s="37">
        <f t="shared" si="1"/>
        <v>1790.54</v>
      </c>
      <c r="L7" s="37">
        <f t="shared" si="1"/>
        <v>1779.84</v>
      </c>
      <c r="M7" s="37">
        <f t="shared" si="1"/>
        <v>1779.34</v>
      </c>
      <c r="N7" s="37">
        <f t="shared" si="1"/>
        <v>1782.74</v>
      </c>
      <c r="O7" s="37">
        <f t="shared" si="1"/>
        <v>1796.6399999999999</v>
      </c>
      <c r="P7" s="37">
        <f t="shared" si="1"/>
        <v>1797.5400000000002</v>
      </c>
      <c r="Q7" s="37">
        <f t="shared" si="1"/>
        <v>1816.44</v>
      </c>
      <c r="R7" s="37">
        <f t="shared" si="1"/>
        <v>1817.8400000000001</v>
      </c>
      <c r="S7" s="37">
        <f t="shared" si="1"/>
        <v>1830.24</v>
      </c>
      <c r="T7" s="37">
        <f t="shared" si="1"/>
        <v>1838.54</v>
      </c>
      <c r="U7" s="37">
        <f t="shared" si="1"/>
        <v>1844.54</v>
      </c>
      <c r="V7" s="37">
        <f t="shared" si="1"/>
        <v>1834.54</v>
      </c>
      <c r="W7" s="37">
        <f t="shared" si="1"/>
        <v>1814.54</v>
      </c>
      <c r="X7" s="37">
        <f t="shared" si="1"/>
        <v>1807.54</v>
      </c>
      <c r="Y7" s="37">
        <f t="shared" si="1"/>
        <v>1807.54</v>
      </c>
      <c r="Z7" s="37">
        <f t="shared" si="1"/>
        <v>1811.54</v>
      </c>
      <c r="AA7" s="37">
        <f t="shared" si="1"/>
        <v>1864.44</v>
      </c>
      <c r="AB7" s="37">
        <f t="shared" si="1"/>
        <v>1865.54</v>
      </c>
      <c r="AC7" s="37">
        <f t="shared" si="1"/>
        <v>1851.24</v>
      </c>
      <c r="AD7" s="37">
        <f t="shared" si="1"/>
        <v>1849.94</v>
      </c>
      <c r="AE7" s="37">
        <f t="shared" si="1"/>
        <v>1831.24</v>
      </c>
      <c r="AF7" s="37">
        <f t="shared" si="1"/>
        <v>1785.44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0">
        <v>53.8</v>
      </c>
      <c r="C11" s="50">
        <v>53.8</v>
      </c>
      <c r="D11" s="50">
        <v>53.8</v>
      </c>
      <c r="E11" s="50">
        <v>53.8</v>
      </c>
      <c r="F11" s="50">
        <v>53.8</v>
      </c>
      <c r="G11" s="50">
        <v>53.8</v>
      </c>
      <c r="H11" s="50"/>
      <c r="I11" s="50"/>
      <c r="J11" s="51">
        <v>53.8</v>
      </c>
      <c r="K11" s="51">
        <v>53.8</v>
      </c>
      <c r="L11" s="51">
        <v>53.8</v>
      </c>
      <c r="M11" s="50">
        <v>53.9</v>
      </c>
      <c r="N11" s="50">
        <v>53.9</v>
      </c>
      <c r="O11" s="50">
        <v>53.8</v>
      </c>
      <c r="P11" s="50">
        <v>53.8</v>
      </c>
      <c r="Q11" s="50">
        <v>53.8</v>
      </c>
      <c r="R11" s="50">
        <v>53.9</v>
      </c>
      <c r="S11" s="50">
        <v>53.9</v>
      </c>
      <c r="T11" s="50">
        <v>53.9</v>
      </c>
      <c r="U11" s="50">
        <v>53.9</v>
      </c>
      <c r="V11" s="50">
        <v>53.9</v>
      </c>
      <c r="W11" s="50">
        <v>53.9</v>
      </c>
      <c r="X11" s="50">
        <v>53.9</v>
      </c>
      <c r="Y11" s="50">
        <v>53.9</v>
      </c>
      <c r="Z11" s="50">
        <v>53.9</v>
      </c>
      <c r="AA11" s="50">
        <v>53.9</v>
      </c>
      <c r="AB11" s="52">
        <v>53.9</v>
      </c>
      <c r="AC11" s="52">
        <v>53.9</v>
      </c>
      <c r="AD11" s="52">
        <v>53.9</v>
      </c>
      <c r="AE11" s="52">
        <v>53.9</v>
      </c>
      <c r="AF11" s="52">
        <v>53.9</v>
      </c>
      <c r="AG11" s="133">
        <v>52.4</v>
      </c>
      <c r="AH11" s="54">
        <f>MAX(B11:AF11)</f>
        <v>53.9</v>
      </c>
      <c r="AI11" s="55">
        <f>MIN(B11:AF11)</f>
        <v>53.8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50.3</v>
      </c>
      <c r="C12" s="50">
        <v>50.3</v>
      </c>
      <c r="D12" s="50">
        <v>50.3</v>
      </c>
      <c r="E12" s="50">
        <v>50.3</v>
      </c>
      <c r="F12" s="50">
        <v>50.3</v>
      </c>
      <c r="G12" s="50">
        <v>50.3</v>
      </c>
      <c r="H12" s="50"/>
      <c r="I12" s="50"/>
      <c r="J12" s="50">
        <v>50.3</v>
      </c>
      <c r="K12" s="50">
        <v>50.3</v>
      </c>
      <c r="L12" s="50">
        <v>50.3</v>
      </c>
      <c r="M12" s="50">
        <v>50.3</v>
      </c>
      <c r="N12" s="50">
        <v>50.3</v>
      </c>
      <c r="O12" s="50">
        <v>50.2</v>
      </c>
      <c r="P12" s="50">
        <v>50.5</v>
      </c>
      <c r="Q12" s="50">
        <v>50.4</v>
      </c>
      <c r="R12" s="50">
        <v>50.3</v>
      </c>
      <c r="S12" s="50">
        <v>50.3</v>
      </c>
      <c r="T12" s="50">
        <v>50.3</v>
      </c>
      <c r="U12" s="50">
        <v>50.3</v>
      </c>
      <c r="V12" s="50">
        <v>50.3</v>
      </c>
      <c r="W12" s="50">
        <v>50.3</v>
      </c>
      <c r="X12" s="50">
        <v>50.3</v>
      </c>
      <c r="Y12" s="50">
        <v>50.3</v>
      </c>
      <c r="Z12" s="50">
        <v>50.3</v>
      </c>
      <c r="AA12" s="50">
        <v>50.3</v>
      </c>
      <c r="AB12" s="50">
        <v>50.3</v>
      </c>
      <c r="AC12" s="50">
        <v>50.3</v>
      </c>
      <c r="AD12" s="50">
        <v>50.3</v>
      </c>
      <c r="AE12" s="50">
        <v>50.3</v>
      </c>
      <c r="AF12" s="50">
        <v>50.3</v>
      </c>
      <c r="AG12" s="134">
        <v>50</v>
      </c>
      <c r="AH12" s="54">
        <f t="shared" ref="AH12:AH79" si="2">MAX(B12:AF12)</f>
        <v>50.5</v>
      </c>
      <c r="AI12" s="55">
        <f t="shared" ref="AI12:AI79" si="3">MIN(B12:AF12)</f>
        <v>50.2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45.7</v>
      </c>
      <c r="C13" s="50">
        <v>45.7</v>
      </c>
      <c r="D13" s="50">
        <v>45.7</v>
      </c>
      <c r="E13" s="50">
        <v>45.7</v>
      </c>
      <c r="F13" s="50">
        <v>45.7</v>
      </c>
      <c r="G13" s="50">
        <v>45.7</v>
      </c>
      <c r="H13" s="50"/>
      <c r="I13" s="50"/>
      <c r="J13" s="50">
        <v>45.7</v>
      </c>
      <c r="K13" s="50">
        <v>45.7</v>
      </c>
      <c r="L13" s="50">
        <v>45.7</v>
      </c>
      <c r="M13" s="50">
        <v>45.8</v>
      </c>
      <c r="N13" s="50">
        <v>45.8</v>
      </c>
      <c r="O13" s="50">
        <v>45.8</v>
      </c>
      <c r="P13" s="50">
        <v>45.7</v>
      </c>
      <c r="Q13" s="50">
        <v>45.6</v>
      </c>
      <c r="R13" s="50">
        <v>45.7</v>
      </c>
      <c r="S13" s="50">
        <v>45.7</v>
      </c>
      <c r="T13" s="50">
        <v>45.7</v>
      </c>
      <c r="U13" s="50">
        <v>45.7</v>
      </c>
      <c r="V13" s="50">
        <v>45.7</v>
      </c>
      <c r="W13" s="50">
        <v>45.7</v>
      </c>
      <c r="X13" s="50">
        <v>45.7</v>
      </c>
      <c r="Y13" s="50">
        <v>45.7</v>
      </c>
      <c r="Z13" s="50">
        <v>45.7</v>
      </c>
      <c r="AA13" s="50">
        <v>45.7</v>
      </c>
      <c r="AB13" s="50">
        <v>45.7</v>
      </c>
      <c r="AC13" s="50">
        <v>45.7</v>
      </c>
      <c r="AD13" s="50">
        <v>45.7</v>
      </c>
      <c r="AE13" s="50">
        <v>45.7</v>
      </c>
      <c r="AF13" s="50">
        <v>45.7</v>
      </c>
      <c r="AG13" s="134">
        <v>45</v>
      </c>
      <c r="AH13" s="54">
        <f t="shared" si="2"/>
        <v>45.8</v>
      </c>
      <c r="AI13" s="55">
        <f t="shared" si="3"/>
        <v>45.6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28</v>
      </c>
      <c r="C14" s="50">
        <v>28</v>
      </c>
      <c r="D14" s="50">
        <v>28</v>
      </c>
      <c r="E14" s="50">
        <v>28</v>
      </c>
      <c r="F14" s="50">
        <v>28</v>
      </c>
      <c r="G14" s="50">
        <v>28</v>
      </c>
      <c r="H14" s="50"/>
      <c r="I14" s="50"/>
      <c r="J14" s="50">
        <v>0</v>
      </c>
      <c r="K14" s="50">
        <v>0</v>
      </c>
      <c r="L14" s="50">
        <v>0</v>
      </c>
      <c r="M14" s="50">
        <v>28</v>
      </c>
      <c r="N14" s="50">
        <v>28</v>
      </c>
      <c r="O14" s="50">
        <v>28</v>
      </c>
      <c r="P14" s="50">
        <v>26</v>
      </c>
      <c r="Q14" s="50">
        <v>28</v>
      </c>
      <c r="R14" s="50">
        <v>28</v>
      </c>
      <c r="S14" s="50">
        <v>28</v>
      </c>
      <c r="T14" s="50">
        <v>28</v>
      </c>
      <c r="U14" s="50">
        <v>28</v>
      </c>
      <c r="V14" s="50">
        <v>28</v>
      </c>
      <c r="W14" s="50">
        <v>28</v>
      </c>
      <c r="X14" s="50">
        <v>28</v>
      </c>
      <c r="Y14" s="50">
        <v>28</v>
      </c>
      <c r="Z14" s="50">
        <v>28</v>
      </c>
      <c r="AA14" s="50">
        <v>28</v>
      </c>
      <c r="AB14" s="50">
        <v>28</v>
      </c>
      <c r="AC14" s="50">
        <v>28</v>
      </c>
      <c r="AD14" s="50">
        <v>28</v>
      </c>
      <c r="AE14" s="50">
        <v>28</v>
      </c>
      <c r="AF14" s="50">
        <v>28</v>
      </c>
      <c r="AG14" s="134">
        <v>42</v>
      </c>
      <c r="AH14" s="54">
        <f t="shared" si="2"/>
        <v>28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15</v>
      </c>
      <c r="C15" s="50">
        <v>15</v>
      </c>
      <c r="D15" s="50">
        <v>12</v>
      </c>
      <c r="E15" s="50">
        <v>16</v>
      </c>
      <c r="F15" s="50">
        <v>10</v>
      </c>
      <c r="G15" s="50">
        <v>5</v>
      </c>
      <c r="H15" s="50"/>
      <c r="I15" s="50"/>
      <c r="J15" s="50">
        <v>10</v>
      </c>
      <c r="K15" s="50">
        <v>30</v>
      </c>
      <c r="L15" s="50">
        <v>30</v>
      </c>
      <c r="M15" s="50">
        <v>30</v>
      </c>
      <c r="N15" s="50">
        <v>30</v>
      </c>
      <c r="O15" s="50">
        <v>15</v>
      </c>
      <c r="P15" s="50">
        <v>15</v>
      </c>
      <c r="Q15" s="50">
        <v>30</v>
      </c>
      <c r="R15" s="50">
        <v>30</v>
      </c>
      <c r="S15" s="50">
        <v>30</v>
      </c>
      <c r="T15" s="50">
        <v>30</v>
      </c>
      <c r="U15" s="50">
        <v>30</v>
      </c>
      <c r="V15" s="50">
        <v>30</v>
      </c>
      <c r="W15" s="50">
        <v>15</v>
      </c>
      <c r="X15" s="50">
        <v>15</v>
      </c>
      <c r="Y15" s="50">
        <v>15</v>
      </c>
      <c r="Z15" s="50">
        <v>15</v>
      </c>
      <c r="AA15" s="50">
        <v>30</v>
      </c>
      <c r="AB15" s="50">
        <v>30</v>
      </c>
      <c r="AC15" s="50">
        <v>30</v>
      </c>
      <c r="AD15" s="50">
        <v>30</v>
      </c>
      <c r="AE15" s="50">
        <v>30</v>
      </c>
      <c r="AF15" s="50">
        <v>10</v>
      </c>
      <c r="AG15" s="135">
        <v>30</v>
      </c>
      <c r="AH15" s="54">
        <f t="shared" si="2"/>
        <v>30</v>
      </c>
      <c r="AI15" s="55">
        <f t="shared" si="3"/>
        <v>5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26.2</v>
      </c>
      <c r="C16" s="50">
        <v>26.2</v>
      </c>
      <c r="D16" s="50">
        <v>26.2</v>
      </c>
      <c r="E16" s="50">
        <v>26.2</v>
      </c>
      <c r="F16" s="50">
        <v>26.2</v>
      </c>
      <c r="G16" s="50">
        <v>26.2</v>
      </c>
      <c r="H16" s="50"/>
      <c r="I16" s="50"/>
      <c r="J16" s="50">
        <v>26.2</v>
      </c>
      <c r="K16" s="50">
        <v>26.2</v>
      </c>
      <c r="L16" s="50">
        <v>26.2</v>
      </c>
      <c r="M16" s="50">
        <v>26</v>
      </c>
      <c r="N16" s="50">
        <v>26</v>
      </c>
      <c r="O16" s="50">
        <v>25.1</v>
      </c>
      <c r="P16" s="50">
        <v>26</v>
      </c>
      <c r="Q16" s="50">
        <v>26.1</v>
      </c>
      <c r="R16" s="50">
        <v>26.1</v>
      </c>
      <c r="S16" s="50">
        <v>26.1</v>
      </c>
      <c r="T16" s="50">
        <v>26.1</v>
      </c>
      <c r="U16" s="50">
        <v>26.1</v>
      </c>
      <c r="V16" s="50">
        <v>26.1</v>
      </c>
      <c r="W16" s="50">
        <v>26.1</v>
      </c>
      <c r="X16" s="50">
        <v>26.1</v>
      </c>
      <c r="Y16" s="50">
        <v>26.1</v>
      </c>
      <c r="Z16" s="50">
        <v>26.1</v>
      </c>
      <c r="AA16" s="50">
        <v>26.1</v>
      </c>
      <c r="AB16" s="50">
        <v>26.1</v>
      </c>
      <c r="AC16" s="50">
        <v>26.1</v>
      </c>
      <c r="AD16" s="50">
        <v>26.1</v>
      </c>
      <c r="AE16" s="50">
        <v>26.1</v>
      </c>
      <c r="AF16" s="50">
        <v>26.1</v>
      </c>
      <c r="AG16" s="134">
        <v>25</v>
      </c>
      <c r="AH16" s="54">
        <f t="shared" si="2"/>
        <v>26.2</v>
      </c>
      <c r="AI16" s="55">
        <f t="shared" si="3"/>
        <v>25.1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25</v>
      </c>
      <c r="D17" s="50">
        <v>0</v>
      </c>
      <c r="E17" s="50">
        <v>0</v>
      </c>
      <c r="F17" s="50">
        <v>25</v>
      </c>
      <c r="G17" s="50">
        <v>25</v>
      </c>
      <c r="H17" s="50"/>
      <c r="I17" s="50"/>
      <c r="J17" s="50">
        <v>0</v>
      </c>
      <c r="K17" s="50">
        <v>0</v>
      </c>
      <c r="L17" s="50">
        <v>0</v>
      </c>
      <c r="M17" s="50">
        <v>0</v>
      </c>
      <c r="N17" s="50">
        <v>12.5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25</v>
      </c>
      <c r="D18" s="50">
        <v>25</v>
      </c>
      <c r="E18" s="50">
        <v>25</v>
      </c>
      <c r="F18" s="50">
        <v>25</v>
      </c>
      <c r="G18" s="50">
        <v>25</v>
      </c>
      <c r="H18" s="50"/>
      <c r="I18" s="50"/>
      <c r="J18" s="50">
        <v>25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25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33</v>
      </c>
      <c r="C19" s="50">
        <v>33</v>
      </c>
      <c r="D19" s="50">
        <v>33</v>
      </c>
      <c r="E19" s="50">
        <v>33</v>
      </c>
      <c r="F19" s="50">
        <v>33</v>
      </c>
      <c r="G19" s="50">
        <v>25.1</v>
      </c>
      <c r="H19" s="50"/>
      <c r="I19" s="50"/>
      <c r="J19" s="50">
        <v>25.1</v>
      </c>
      <c r="K19" s="50">
        <v>25.1</v>
      </c>
      <c r="L19" s="50">
        <v>25.1</v>
      </c>
      <c r="M19" s="50">
        <v>33.1</v>
      </c>
      <c r="N19" s="50">
        <v>33.1</v>
      </c>
      <c r="O19" s="50">
        <v>26.1</v>
      </c>
      <c r="P19" s="50">
        <v>26.1</v>
      </c>
      <c r="Q19" s="50">
        <v>26.1</v>
      </c>
      <c r="R19" s="50">
        <v>26.1</v>
      </c>
      <c r="S19" s="50">
        <v>26.1</v>
      </c>
      <c r="T19" s="50">
        <v>26.1</v>
      </c>
      <c r="U19" s="50">
        <v>26.1</v>
      </c>
      <c r="V19" s="50">
        <v>26.1</v>
      </c>
      <c r="W19" s="50">
        <v>26.1</v>
      </c>
      <c r="X19" s="50">
        <v>26.1</v>
      </c>
      <c r="Y19" s="50">
        <v>26.1</v>
      </c>
      <c r="Z19" s="50">
        <v>26.1</v>
      </c>
      <c r="AA19" s="50">
        <v>33.1</v>
      </c>
      <c r="AB19" s="50">
        <v>33.1</v>
      </c>
      <c r="AC19" s="50">
        <v>33.1</v>
      </c>
      <c r="AD19" s="50">
        <v>33.1</v>
      </c>
      <c r="AE19" s="50">
        <v>33.1</v>
      </c>
      <c r="AF19" s="50">
        <v>24</v>
      </c>
      <c r="AG19" s="134">
        <v>24.2</v>
      </c>
      <c r="AH19" s="54">
        <f t="shared" si="2"/>
        <v>33.1</v>
      </c>
      <c r="AI19" s="55">
        <f t="shared" si="3"/>
        <v>24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24</v>
      </c>
      <c r="C20" s="50">
        <v>24</v>
      </c>
      <c r="D20" s="50">
        <v>24</v>
      </c>
      <c r="E20" s="50">
        <v>24</v>
      </c>
      <c r="F20" s="50">
        <v>24</v>
      </c>
      <c r="G20" s="50">
        <v>24</v>
      </c>
      <c r="H20" s="50"/>
      <c r="I20" s="50"/>
      <c r="J20" s="50">
        <v>24</v>
      </c>
      <c r="K20" s="50">
        <v>24</v>
      </c>
      <c r="L20" s="50">
        <v>24</v>
      </c>
      <c r="M20" s="50">
        <v>23.8</v>
      </c>
      <c r="N20" s="50">
        <v>23.8</v>
      </c>
      <c r="O20" s="50">
        <v>24.1</v>
      </c>
      <c r="P20" s="50">
        <v>24</v>
      </c>
      <c r="Q20" s="50">
        <v>23.9</v>
      </c>
      <c r="R20" s="50">
        <v>24.1</v>
      </c>
      <c r="S20" s="50">
        <v>24.1</v>
      </c>
      <c r="T20" s="50">
        <v>24.1</v>
      </c>
      <c r="U20" s="50">
        <v>24.1</v>
      </c>
      <c r="V20" s="50">
        <v>24.1</v>
      </c>
      <c r="W20" s="50">
        <v>24.1</v>
      </c>
      <c r="X20" s="50">
        <v>24.1</v>
      </c>
      <c r="Y20" s="50">
        <v>24.1</v>
      </c>
      <c r="Z20" s="50">
        <v>24.1</v>
      </c>
      <c r="AA20" s="50">
        <v>24.1</v>
      </c>
      <c r="AB20" s="50">
        <v>24.1</v>
      </c>
      <c r="AC20" s="50">
        <v>24.1</v>
      </c>
      <c r="AD20" s="50">
        <v>24.1</v>
      </c>
      <c r="AE20" s="50">
        <v>24.1</v>
      </c>
      <c r="AF20" s="50">
        <v>23.6</v>
      </c>
      <c r="AG20" s="134">
        <v>23.5</v>
      </c>
      <c r="AH20" s="54">
        <f t="shared" si="2"/>
        <v>24.1</v>
      </c>
      <c r="AI20" s="55">
        <f t="shared" si="3"/>
        <v>23.6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20.6</v>
      </c>
      <c r="C21" s="50">
        <v>20.6</v>
      </c>
      <c r="D21" s="50">
        <v>20.6</v>
      </c>
      <c r="E21" s="50">
        <v>20.6</v>
      </c>
      <c r="F21" s="50">
        <v>20.6</v>
      </c>
      <c r="G21" s="50">
        <v>20.6</v>
      </c>
      <c r="H21" s="50"/>
      <c r="I21" s="50"/>
      <c r="J21" s="50">
        <v>20.6</v>
      </c>
      <c r="K21" s="50">
        <v>20.6</v>
      </c>
      <c r="L21" s="50">
        <v>20.6</v>
      </c>
      <c r="M21" s="50">
        <v>20.6</v>
      </c>
      <c r="N21" s="50">
        <v>20.6</v>
      </c>
      <c r="O21" s="50">
        <v>20.6</v>
      </c>
      <c r="P21" s="50">
        <v>20.6</v>
      </c>
      <c r="Q21" s="50">
        <v>20.6</v>
      </c>
      <c r="R21" s="50">
        <v>20.6</v>
      </c>
      <c r="S21" s="50">
        <v>20.6</v>
      </c>
      <c r="T21" s="50">
        <v>20.6</v>
      </c>
      <c r="U21" s="50">
        <v>20.6</v>
      </c>
      <c r="V21" s="50">
        <v>20.6</v>
      </c>
      <c r="W21" s="50">
        <v>20.6</v>
      </c>
      <c r="X21" s="50">
        <v>20.6</v>
      </c>
      <c r="Y21" s="50">
        <v>20.6</v>
      </c>
      <c r="Z21" s="50">
        <v>20.6</v>
      </c>
      <c r="AA21" s="50">
        <v>20.6</v>
      </c>
      <c r="AB21" s="50">
        <v>20.6</v>
      </c>
      <c r="AC21" s="50">
        <v>20.6</v>
      </c>
      <c r="AD21" s="50">
        <v>20.6</v>
      </c>
      <c r="AE21" s="50">
        <v>20.6</v>
      </c>
      <c r="AF21" s="50">
        <v>20.6</v>
      </c>
      <c r="AG21" s="134">
        <v>22.2</v>
      </c>
      <c r="AH21" s="54">
        <f t="shared" si="2"/>
        <v>20.6</v>
      </c>
      <c r="AI21" s="55">
        <f t="shared" si="3"/>
        <v>20.6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/>
      <c r="I22" s="50"/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134">
        <v>22.1</v>
      </c>
      <c r="AH22" s="54">
        <f t="shared" si="2"/>
        <v>22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/>
      <c r="I23" s="50"/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22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/>
      <c r="I24" s="50"/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20</v>
      </c>
      <c r="S24" s="50">
        <v>20</v>
      </c>
      <c r="T24" s="50">
        <v>20</v>
      </c>
      <c r="U24" s="50">
        <v>20</v>
      </c>
      <c r="V24" s="50">
        <v>20</v>
      </c>
      <c r="W24" s="50">
        <v>20</v>
      </c>
      <c r="X24" s="50">
        <v>20</v>
      </c>
      <c r="Y24" s="50">
        <v>20</v>
      </c>
      <c r="Z24" s="50">
        <v>20</v>
      </c>
      <c r="AA24" s="50">
        <v>20</v>
      </c>
      <c r="AB24" s="50">
        <v>20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22</v>
      </c>
      <c r="AI24" s="55">
        <f t="shared" si="3"/>
        <v>20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10</v>
      </c>
      <c r="C25" s="50">
        <v>10</v>
      </c>
      <c r="D25" s="50">
        <v>10</v>
      </c>
      <c r="E25" s="50">
        <v>10</v>
      </c>
      <c r="F25" s="50">
        <v>10</v>
      </c>
      <c r="G25" s="50">
        <v>10</v>
      </c>
      <c r="H25" s="50"/>
      <c r="I25" s="50"/>
      <c r="J25" s="50">
        <v>10</v>
      </c>
      <c r="K25" s="50">
        <v>10</v>
      </c>
      <c r="L25" s="50">
        <v>10</v>
      </c>
      <c r="M25" s="50">
        <v>0</v>
      </c>
      <c r="N25" s="50">
        <v>10</v>
      </c>
      <c r="O25" s="50">
        <v>5</v>
      </c>
      <c r="P25" s="50">
        <v>5</v>
      </c>
      <c r="Q25" s="50">
        <v>10</v>
      </c>
      <c r="R25" s="50">
        <v>10</v>
      </c>
      <c r="S25" s="50">
        <v>10</v>
      </c>
      <c r="T25" s="50">
        <v>10</v>
      </c>
      <c r="U25" s="50">
        <v>10</v>
      </c>
      <c r="V25" s="50">
        <v>10</v>
      </c>
      <c r="W25" s="50">
        <v>10</v>
      </c>
      <c r="X25" s="50">
        <v>10</v>
      </c>
      <c r="Y25" s="50">
        <v>10</v>
      </c>
      <c r="Z25" s="50">
        <v>10</v>
      </c>
      <c r="AA25" s="50">
        <v>10</v>
      </c>
      <c r="AB25" s="50">
        <v>10</v>
      </c>
      <c r="AC25" s="50">
        <v>10</v>
      </c>
      <c r="AD25" s="50">
        <v>10</v>
      </c>
      <c r="AE25" s="50">
        <v>10</v>
      </c>
      <c r="AF25" s="50">
        <v>10</v>
      </c>
      <c r="AG25" s="134">
        <v>20</v>
      </c>
      <c r="AH25" s="54">
        <f t="shared" si="2"/>
        <v>10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0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/>
      <c r="I26" s="50"/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14.9</v>
      </c>
      <c r="U26" s="50">
        <v>14.9</v>
      </c>
      <c r="V26" s="50">
        <v>14.9</v>
      </c>
      <c r="W26" s="50">
        <v>14.9</v>
      </c>
      <c r="X26" s="50">
        <v>14.9</v>
      </c>
      <c r="Y26" s="50">
        <v>14.9</v>
      </c>
      <c r="Z26" s="50">
        <v>14.9</v>
      </c>
      <c r="AA26" s="50">
        <v>14.9</v>
      </c>
      <c r="AB26" s="50">
        <v>14.9</v>
      </c>
      <c r="AC26" s="50">
        <v>14.9</v>
      </c>
      <c r="AD26" s="50">
        <v>14.9</v>
      </c>
      <c r="AE26" s="50">
        <v>14.9</v>
      </c>
      <c r="AF26" s="50">
        <v>14.9</v>
      </c>
      <c r="AG26" s="134">
        <v>14.9</v>
      </c>
      <c r="AH26" s="54">
        <f t="shared" si="2"/>
        <v>14.9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13</v>
      </c>
      <c r="C27" s="50">
        <v>13</v>
      </c>
      <c r="D27" s="50">
        <v>13</v>
      </c>
      <c r="E27" s="50">
        <v>13</v>
      </c>
      <c r="F27" s="50">
        <v>13</v>
      </c>
      <c r="G27" s="50">
        <v>13</v>
      </c>
      <c r="H27" s="50"/>
      <c r="I27" s="50"/>
      <c r="J27" s="50">
        <v>13</v>
      </c>
      <c r="K27" s="50">
        <v>13</v>
      </c>
      <c r="L27" s="50">
        <v>13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134">
        <v>13.6</v>
      </c>
      <c r="AH27" s="54">
        <f t="shared" si="2"/>
        <v>13</v>
      </c>
      <c r="AI27" s="55">
        <f t="shared" si="3"/>
        <v>10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13</v>
      </c>
      <c r="C28" s="50">
        <v>13</v>
      </c>
      <c r="D28" s="50">
        <v>13</v>
      </c>
      <c r="E28" s="50">
        <v>13</v>
      </c>
      <c r="F28" s="50">
        <v>13</v>
      </c>
      <c r="G28" s="50">
        <v>13</v>
      </c>
      <c r="H28" s="50"/>
      <c r="I28" s="50"/>
      <c r="J28" s="50">
        <v>13</v>
      </c>
      <c r="K28" s="50">
        <v>13</v>
      </c>
      <c r="L28" s="50">
        <v>13</v>
      </c>
      <c r="M28" s="50">
        <v>12</v>
      </c>
      <c r="N28" s="50">
        <v>12</v>
      </c>
      <c r="O28" s="50">
        <v>12</v>
      </c>
      <c r="P28" s="50">
        <v>12</v>
      </c>
      <c r="Q28" s="50">
        <v>12</v>
      </c>
      <c r="R28" s="50">
        <v>12</v>
      </c>
      <c r="S28" s="50">
        <v>12</v>
      </c>
      <c r="T28" s="50">
        <v>12</v>
      </c>
      <c r="U28" s="50">
        <v>12</v>
      </c>
      <c r="V28" s="50">
        <v>12</v>
      </c>
      <c r="W28" s="50">
        <v>12</v>
      </c>
      <c r="X28" s="50">
        <v>12</v>
      </c>
      <c r="Y28" s="50">
        <v>12</v>
      </c>
      <c r="Z28" s="50">
        <v>12</v>
      </c>
      <c r="AA28" s="50">
        <v>12</v>
      </c>
      <c r="AB28" s="50">
        <v>12</v>
      </c>
      <c r="AC28" s="50">
        <v>12</v>
      </c>
      <c r="AD28" s="50">
        <v>12</v>
      </c>
      <c r="AE28" s="50">
        <v>12</v>
      </c>
      <c r="AF28" s="50">
        <v>12</v>
      </c>
      <c r="AG28" s="134">
        <v>13</v>
      </c>
      <c r="AH28" s="54">
        <f t="shared" si="2"/>
        <v>13</v>
      </c>
      <c r="AI28" s="55">
        <f t="shared" si="3"/>
        <v>12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12</v>
      </c>
      <c r="C29" s="50">
        <v>12</v>
      </c>
      <c r="D29" s="50">
        <v>12</v>
      </c>
      <c r="E29" s="50">
        <v>12</v>
      </c>
      <c r="F29" s="50">
        <v>12</v>
      </c>
      <c r="G29" s="50">
        <v>12</v>
      </c>
      <c r="H29" s="50"/>
      <c r="I29" s="50"/>
      <c r="J29" s="50">
        <v>12</v>
      </c>
      <c r="K29" s="50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134">
        <v>12</v>
      </c>
      <c r="AH29" s="54">
        <f t="shared" si="2"/>
        <v>12</v>
      </c>
      <c r="AI29" s="55">
        <f t="shared" si="3"/>
        <v>12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7</v>
      </c>
      <c r="C30" s="50">
        <v>7</v>
      </c>
      <c r="D30" s="50">
        <v>7</v>
      </c>
      <c r="E30" s="50">
        <v>7</v>
      </c>
      <c r="F30" s="50">
        <v>7</v>
      </c>
      <c r="G30" s="50">
        <v>7</v>
      </c>
      <c r="H30" s="50"/>
      <c r="I30" s="50"/>
      <c r="J30" s="50">
        <v>7</v>
      </c>
      <c r="K30" s="50">
        <v>7</v>
      </c>
      <c r="L30" s="50">
        <v>7</v>
      </c>
      <c r="M30" s="50">
        <v>7</v>
      </c>
      <c r="N30" s="50">
        <v>7</v>
      </c>
      <c r="O30" s="50">
        <v>7</v>
      </c>
      <c r="P30" s="50">
        <v>7</v>
      </c>
      <c r="Q30" s="50">
        <v>7</v>
      </c>
      <c r="R30" s="50">
        <v>7</v>
      </c>
      <c r="S30" s="50">
        <v>7</v>
      </c>
      <c r="T30" s="50">
        <v>7</v>
      </c>
      <c r="U30" s="50">
        <v>7</v>
      </c>
      <c r="V30" s="50">
        <v>7</v>
      </c>
      <c r="W30" s="50">
        <v>7</v>
      </c>
      <c r="X30" s="50">
        <v>7</v>
      </c>
      <c r="Y30" s="50">
        <v>7</v>
      </c>
      <c r="Z30" s="50">
        <v>7</v>
      </c>
      <c r="AA30" s="50">
        <v>7</v>
      </c>
      <c r="AB30" s="50">
        <v>7</v>
      </c>
      <c r="AC30" s="50">
        <v>7</v>
      </c>
      <c r="AD30" s="50">
        <v>7</v>
      </c>
      <c r="AE30" s="50">
        <v>7</v>
      </c>
      <c r="AF30" s="50">
        <v>7</v>
      </c>
      <c r="AG30" s="134">
        <v>12</v>
      </c>
      <c r="AH30" s="54">
        <f t="shared" si="2"/>
        <v>7</v>
      </c>
      <c r="AI30" s="55">
        <f t="shared" si="3"/>
        <v>7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9</v>
      </c>
      <c r="C31" s="50">
        <v>9</v>
      </c>
      <c r="D31" s="50">
        <v>9</v>
      </c>
      <c r="E31" s="50">
        <v>9</v>
      </c>
      <c r="F31" s="50">
        <v>9</v>
      </c>
      <c r="G31" s="50">
        <v>9</v>
      </c>
      <c r="H31" s="50"/>
      <c r="I31" s="50"/>
      <c r="J31" s="50">
        <v>9</v>
      </c>
      <c r="K31" s="50">
        <v>9</v>
      </c>
      <c r="L31" s="50">
        <v>9</v>
      </c>
      <c r="M31" s="50">
        <v>9</v>
      </c>
      <c r="N31" s="50">
        <v>9</v>
      </c>
      <c r="O31" s="50">
        <v>9</v>
      </c>
      <c r="P31" s="50">
        <v>9</v>
      </c>
      <c r="Q31" s="50">
        <v>9</v>
      </c>
      <c r="R31" s="50">
        <v>9</v>
      </c>
      <c r="S31" s="50">
        <v>9</v>
      </c>
      <c r="T31" s="50">
        <v>9</v>
      </c>
      <c r="U31" s="50">
        <v>9</v>
      </c>
      <c r="V31" s="50">
        <v>9</v>
      </c>
      <c r="W31" s="50">
        <v>9</v>
      </c>
      <c r="X31" s="50">
        <v>9</v>
      </c>
      <c r="Y31" s="50">
        <v>9</v>
      </c>
      <c r="Z31" s="50">
        <v>9</v>
      </c>
      <c r="AA31" s="50">
        <v>9</v>
      </c>
      <c r="AB31" s="50">
        <v>9</v>
      </c>
      <c r="AC31" s="50">
        <v>9</v>
      </c>
      <c r="AD31" s="50">
        <v>9</v>
      </c>
      <c r="AE31" s="50">
        <v>9</v>
      </c>
      <c r="AF31" s="50">
        <v>9</v>
      </c>
      <c r="AG31" s="178">
        <v>22</v>
      </c>
      <c r="AH31" s="54">
        <f>MAX(B31:AF31)</f>
        <v>9</v>
      </c>
      <c r="AI31" s="55">
        <f>MIN(B31:AF31)</f>
        <v>9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6</v>
      </c>
      <c r="C32" s="50">
        <v>6</v>
      </c>
      <c r="D32" s="50">
        <v>6</v>
      </c>
      <c r="E32" s="50">
        <v>6</v>
      </c>
      <c r="F32" s="50">
        <v>6</v>
      </c>
      <c r="G32" s="50">
        <v>6</v>
      </c>
      <c r="H32" s="50"/>
      <c r="I32" s="50"/>
      <c r="J32" s="50">
        <v>6</v>
      </c>
      <c r="K32" s="50">
        <v>6</v>
      </c>
      <c r="L32" s="50">
        <v>6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6.3</v>
      </c>
      <c r="T32" s="50">
        <v>6.3</v>
      </c>
      <c r="U32" s="50">
        <v>6.3</v>
      </c>
      <c r="V32" s="50">
        <v>6.3</v>
      </c>
      <c r="W32" s="50">
        <v>6.3</v>
      </c>
      <c r="X32" s="50">
        <v>6.3</v>
      </c>
      <c r="Y32" s="50">
        <v>6.3</v>
      </c>
      <c r="Z32" s="50">
        <v>6.3</v>
      </c>
      <c r="AA32" s="50">
        <v>6.3</v>
      </c>
      <c r="AB32" s="50">
        <v>6.3</v>
      </c>
      <c r="AC32" s="50">
        <v>6.3</v>
      </c>
      <c r="AD32" s="50">
        <v>6.3</v>
      </c>
      <c r="AE32" s="50">
        <v>6.3</v>
      </c>
      <c r="AF32" s="50">
        <v>6.3</v>
      </c>
      <c r="AG32" s="135">
        <v>11.88</v>
      </c>
      <c r="AH32" s="54">
        <f t="shared" si="2"/>
        <v>6.3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11</v>
      </c>
      <c r="D33" s="50">
        <v>11</v>
      </c>
      <c r="E33" s="50">
        <v>11</v>
      </c>
      <c r="F33" s="50">
        <v>11</v>
      </c>
      <c r="G33" s="50">
        <v>11</v>
      </c>
      <c r="H33" s="50"/>
      <c r="I33" s="50"/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11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4</v>
      </c>
      <c r="C34" s="50">
        <v>4</v>
      </c>
      <c r="D34" s="50">
        <v>10</v>
      </c>
      <c r="E34" s="50">
        <v>10</v>
      </c>
      <c r="F34" s="50">
        <v>10</v>
      </c>
      <c r="G34" s="50">
        <v>10</v>
      </c>
      <c r="H34" s="50"/>
      <c r="I34" s="50"/>
      <c r="J34" s="50">
        <v>10</v>
      </c>
      <c r="K34" s="50">
        <v>10</v>
      </c>
      <c r="L34" s="50">
        <v>10</v>
      </c>
      <c r="M34" s="50">
        <v>8</v>
      </c>
      <c r="N34" s="50">
        <v>8</v>
      </c>
      <c r="O34" s="50">
        <v>8</v>
      </c>
      <c r="P34" s="50">
        <v>8</v>
      </c>
      <c r="Q34" s="50">
        <v>8</v>
      </c>
      <c r="R34" s="50">
        <v>8</v>
      </c>
      <c r="S34" s="50">
        <v>8</v>
      </c>
      <c r="T34" s="50">
        <v>8</v>
      </c>
      <c r="U34" s="50">
        <v>8</v>
      </c>
      <c r="V34" s="50">
        <v>8</v>
      </c>
      <c r="W34" s="50">
        <v>8</v>
      </c>
      <c r="X34" s="50">
        <v>8</v>
      </c>
      <c r="Y34" s="50">
        <v>8</v>
      </c>
      <c r="Z34" s="50">
        <v>8</v>
      </c>
      <c r="AA34" s="50">
        <v>8</v>
      </c>
      <c r="AB34" s="50">
        <v>8</v>
      </c>
      <c r="AC34" s="50">
        <v>8</v>
      </c>
      <c r="AD34" s="50">
        <v>8</v>
      </c>
      <c r="AE34" s="50">
        <v>8</v>
      </c>
      <c r="AF34" s="50">
        <v>8</v>
      </c>
      <c r="AG34" s="136">
        <v>10</v>
      </c>
      <c r="AH34" s="54">
        <f t="shared" si="2"/>
        <v>10</v>
      </c>
      <c r="AI34" s="55">
        <f t="shared" si="3"/>
        <v>4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7</v>
      </c>
      <c r="C35" s="50">
        <v>7</v>
      </c>
      <c r="D35" s="50">
        <v>7</v>
      </c>
      <c r="E35" s="50">
        <v>7</v>
      </c>
      <c r="F35" s="50">
        <v>7</v>
      </c>
      <c r="G35" s="50">
        <v>7</v>
      </c>
      <c r="H35" s="50"/>
      <c r="I35" s="50"/>
      <c r="J35" s="50">
        <v>7</v>
      </c>
      <c r="K35" s="50">
        <v>7</v>
      </c>
      <c r="L35" s="50">
        <v>7</v>
      </c>
      <c r="M35" s="50">
        <v>5</v>
      </c>
      <c r="N35" s="50">
        <v>5</v>
      </c>
      <c r="O35" s="50">
        <v>5</v>
      </c>
      <c r="P35" s="50">
        <v>5</v>
      </c>
      <c r="Q35" s="50">
        <v>5</v>
      </c>
      <c r="R35" s="50">
        <v>5</v>
      </c>
      <c r="S35" s="50">
        <v>5</v>
      </c>
      <c r="T35" s="50">
        <v>5</v>
      </c>
      <c r="U35" s="50">
        <v>5</v>
      </c>
      <c r="V35" s="50">
        <v>5</v>
      </c>
      <c r="W35" s="50">
        <v>5</v>
      </c>
      <c r="X35" s="50">
        <v>5</v>
      </c>
      <c r="Y35" s="50">
        <v>5</v>
      </c>
      <c r="Z35" s="50">
        <v>5</v>
      </c>
      <c r="AA35" s="50">
        <v>5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136">
        <v>10</v>
      </c>
      <c r="AH35" s="54">
        <f t="shared" si="2"/>
        <v>7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303</v>
      </c>
      <c r="C36" s="62">
        <v>303</v>
      </c>
      <c r="D36" s="62">
        <v>303</v>
      </c>
      <c r="E36" s="62">
        <v>303</v>
      </c>
      <c r="F36" s="62">
        <v>303</v>
      </c>
      <c r="G36" s="62">
        <v>303</v>
      </c>
      <c r="H36" s="62"/>
      <c r="I36" s="62"/>
      <c r="J36" s="62">
        <v>303</v>
      </c>
      <c r="K36" s="62">
        <v>303</v>
      </c>
      <c r="L36" s="62">
        <v>303</v>
      </c>
      <c r="M36" s="62">
        <v>303</v>
      </c>
      <c r="N36" s="62">
        <v>303</v>
      </c>
      <c r="O36" s="62">
        <v>303</v>
      </c>
      <c r="P36" s="62">
        <v>303</v>
      </c>
      <c r="Q36" s="62">
        <v>303</v>
      </c>
      <c r="R36" s="62">
        <v>303</v>
      </c>
      <c r="S36" s="62">
        <v>303</v>
      </c>
      <c r="T36" s="62">
        <v>303</v>
      </c>
      <c r="U36" s="62">
        <v>303</v>
      </c>
      <c r="V36" s="62">
        <v>303</v>
      </c>
      <c r="W36" s="62">
        <v>303</v>
      </c>
      <c r="X36" s="62">
        <v>303</v>
      </c>
      <c r="Y36" s="62">
        <v>303</v>
      </c>
      <c r="Z36" s="62">
        <v>303</v>
      </c>
      <c r="AA36" s="62">
        <v>303</v>
      </c>
      <c r="AB36" s="62">
        <v>303</v>
      </c>
      <c r="AC36" s="62">
        <v>303</v>
      </c>
      <c r="AD36" s="62">
        <v>303</v>
      </c>
      <c r="AE36" s="62">
        <v>303</v>
      </c>
      <c r="AF36" s="62">
        <v>303</v>
      </c>
      <c r="AG36" s="136">
        <v>85</v>
      </c>
      <c r="AH36" s="54">
        <f t="shared" si="2"/>
        <v>303</v>
      </c>
      <c r="AI36" s="55">
        <f t="shared" si="3"/>
        <v>303</v>
      </c>
      <c r="AK36" s="56"/>
    </row>
    <row r="37" spans="1:88" ht="15.75" thickBot="1" x14ac:dyDescent="0.3">
      <c r="A37" s="63" t="s">
        <v>21</v>
      </c>
      <c r="B37" s="64"/>
      <c r="C37" s="64"/>
      <c r="D37" s="64"/>
      <c r="E37" s="62"/>
      <c r="F37" s="62"/>
      <c r="G37" s="62"/>
      <c r="H37" s="62"/>
      <c r="I37" s="62"/>
      <c r="J37" s="62"/>
      <c r="K37" s="62"/>
      <c r="L37" s="62"/>
      <c r="M37" s="62">
        <f>96.7+23.2</f>
        <v>119.9</v>
      </c>
      <c r="N37" s="62">
        <f>96.6+43.8</f>
        <v>140.39999999999998</v>
      </c>
      <c r="O37" s="62">
        <f>96.5+56.5</f>
        <v>153</v>
      </c>
      <c r="P37" s="62">
        <f>96.5+58.9</f>
        <v>155.4</v>
      </c>
      <c r="Q37" s="62">
        <f>97.2+58.1</f>
        <v>155.30000000000001</v>
      </c>
      <c r="R37" s="62">
        <f>96.7+58.1</f>
        <v>154.80000000000001</v>
      </c>
      <c r="S37" s="62">
        <f>96.7+58.1</f>
        <v>154.80000000000001</v>
      </c>
      <c r="T37" s="62">
        <v>168</v>
      </c>
      <c r="U37" s="62">
        <v>168</v>
      </c>
      <c r="V37" s="62">
        <v>168</v>
      </c>
      <c r="W37" s="62">
        <f>73+92</f>
        <v>165</v>
      </c>
      <c r="X37" s="62">
        <f>73+92</f>
        <v>165</v>
      </c>
      <c r="Y37" s="62">
        <f>73+92</f>
        <v>165</v>
      </c>
      <c r="Z37" s="62">
        <f>73+92</f>
        <v>165</v>
      </c>
      <c r="AA37" s="62">
        <f>73+92</f>
        <v>165</v>
      </c>
      <c r="AB37" s="64">
        <v>165</v>
      </c>
      <c r="AC37" s="64">
        <v>165</v>
      </c>
      <c r="AD37" s="64">
        <v>165</v>
      </c>
      <c r="AE37" s="64">
        <v>165</v>
      </c>
      <c r="AF37" s="64">
        <v>168</v>
      </c>
      <c r="AG37" s="136">
        <v>240</v>
      </c>
      <c r="AH37" s="54">
        <f t="shared" si="2"/>
        <v>168</v>
      </c>
      <c r="AI37" s="55">
        <f t="shared" si="3"/>
        <v>119.9</v>
      </c>
      <c r="AK37" s="56"/>
    </row>
    <row r="38" spans="1:88" ht="15.75" thickBot="1" x14ac:dyDescent="0.3">
      <c r="A38" s="131" t="s">
        <v>22</v>
      </c>
      <c r="B38" s="66">
        <f t="shared" ref="B38:AG38" si="4">SUM(B11:B36)</f>
        <v>807.6</v>
      </c>
      <c r="C38" s="66">
        <f t="shared" si="4"/>
        <v>807.6</v>
      </c>
      <c r="D38" s="66">
        <f t="shared" si="4"/>
        <v>785.6</v>
      </c>
      <c r="E38" s="66">
        <f t="shared" si="4"/>
        <v>789.6</v>
      </c>
      <c r="F38" s="66">
        <f t="shared" si="4"/>
        <v>808.6</v>
      </c>
      <c r="G38" s="66">
        <f t="shared" si="4"/>
        <v>795.7</v>
      </c>
      <c r="H38" s="66">
        <f t="shared" si="4"/>
        <v>0</v>
      </c>
      <c r="I38" s="66">
        <f t="shared" si="4"/>
        <v>0</v>
      </c>
      <c r="J38" s="66">
        <f t="shared" si="4"/>
        <v>747.7</v>
      </c>
      <c r="K38" s="66">
        <f t="shared" si="4"/>
        <v>767.7</v>
      </c>
      <c r="L38" s="66">
        <f t="shared" si="4"/>
        <v>767.7</v>
      </c>
      <c r="M38" s="66">
        <f t="shared" si="4"/>
        <v>779.5</v>
      </c>
      <c r="N38" s="66">
        <f t="shared" si="4"/>
        <v>802</v>
      </c>
      <c r="O38" s="66">
        <f t="shared" si="4"/>
        <v>786.7</v>
      </c>
      <c r="P38" s="66">
        <f t="shared" si="4"/>
        <v>785.7</v>
      </c>
      <c r="Q38" s="66">
        <f t="shared" si="4"/>
        <v>807.5</v>
      </c>
      <c r="R38" s="66">
        <f t="shared" si="4"/>
        <v>805.80000000000007</v>
      </c>
      <c r="S38" s="66">
        <f t="shared" si="4"/>
        <v>812.10000000000014</v>
      </c>
      <c r="T38" s="66">
        <f t="shared" si="4"/>
        <v>827</v>
      </c>
      <c r="U38" s="66">
        <f t="shared" si="4"/>
        <v>827</v>
      </c>
      <c r="V38" s="66">
        <f t="shared" si="4"/>
        <v>827</v>
      </c>
      <c r="W38" s="66">
        <f t="shared" si="4"/>
        <v>812</v>
      </c>
      <c r="X38" s="66">
        <f t="shared" si="4"/>
        <v>812</v>
      </c>
      <c r="Y38" s="66">
        <f t="shared" si="4"/>
        <v>812</v>
      </c>
      <c r="Z38" s="66">
        <f t="shared" si="4"/>
        <v>812</v>
      </c>
      <c r="AA38" s="66">
        <f t="shared" si="4"/>
        <v>834</v>
      </c>
      <c r="AB38" s="66">
        <f t="shared" si="4"/>
        <v>829</v>
      </c>
      <c r="AC38" s="66">
        <f t="shared" si="4"/>
        <v>831</v>
      </c>
      <c r="AD38" s="66">
        <f t="shared" si="4"/>
        <v>831</v>
      </c>
      <c r="AE38" s="66">
        <f t="shared" si="4"/>
        <v>831</v>
      </c>
      <c r="AF38" s="66">
        <f t="shared" si="4"/>
        <v>801.40000000000009</v>
      </c>
      <c r="AG38" s="143">
        <f t="shared" si="4"/>
        <v>665.78</v>
      </c>
      <c r="AH38" s="54">
        <f t="shared" si="2"/>
        <v>834</v>
      </c>
      <c r="AI38" s="55">
        <f t="shared" si="3"/>
        <v>0</v>
      </c>
      <c r="AK38" s="56"/>
    </row>
    <row r="39" spans="1:88" x14ac:dyDescent="0.25">
      <c r="A39" s="159" t="s">
        <v>130</v>
      </c>
      <c r="B39" s="50">
        <v>456</v>
      </c>
      <c r="C39" s="50">
        <v>456</v>
      </c>
      <c r="D39" s="50">
        <v>456</v>
      </c>
      <c r="E39" s="50">
        <v>456</v>
      </c>
      <c r="F39" s="50">
        <v>456</v>
      </c>
      <c r="G39" s="50">
        <v>456</v>
      </c>
      <c r="H39" s="50"/>
      <c r="I39" s="50"/>
      <c r="J39" s="50">
        <v>456</v>
      </c>
      <c r="K39" s="50">
        <v>456</v>
      </c>
      <c r="L39" s="50">
        <v>456</v>
      </c>
      <c r="M39" s="50">
        <v>456</v>
      </c>
      <c r="N39" s="50">
        <v>456</v>
      </c>
      <c r="O39" s="50">
        <v>456</v>
      </c>
      <c r="P39" s="50">
        <v>456</v>
      </c>
      <c r="Q39" s="50">
        <v>456</v>
      </c>
      <c r="R39" s="50">
        <v>456</v>
      </c>
      <c r="S39" s="50">
        <v>456</v>
      </c>
      <c r="T39" s="50">
        <v>456</v>
      </c>
      <c r="U39" s="50">
        <v>456</v>
      </c>
      <c r="V39" s="50">
        <v>456</v>
      </c>
      <c r="W39" s="50">
        <v>456</v>
      </c>
      <c r="X39" s="50">
        <v>456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456</v>
      </c>
      <c r="AF39" s="50">
        <v>456</v>
      </c>
      <c r="AG39" s="135">
        <v>456</v>
      </c>
      <c r="AH39" s="54">
        <f t="shared" si="2"/>
        <v>456</v>
      </c>
      <c r="AI39" s="55">
        <f t="shared" si="3"/>
        <v>456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/>
      <c r="I40" s="48"/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/>
      <c r="I41" s="70"/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f>SUM(B39:B41)</f>
        <v>538</v>
      </c>
      <c r="C42" s="66">
        <f t="shared" ref="C42:AG42" si="5">SUM(C39:C41)</f>
        <v>538</v>
      </c>
      <c r="D42" s="66">
        <f t="shared" si="5"/>
        <v>538</v>
      </c>
      <c r="E42" s="66">
        <f t="shared" si="5"/>
        <v>538</v>
      </c>
      <c r="F42" s="66">
        <f t="shared" si="5"/>
        <v>538</v>
      </c>
      <c r="G42" s="66">
        <f t="shared" si="5"/>
        <v>538</v>
      </c>
      <c r="H42" s="66">
        <f t="shared" si="5"/>
        <v>0</v>
      </c>
      <c r="I42" s="66">
        <f t="shared" si="5"/>
        <v>0</v>
      </c>
      <c r="J42" s="66">
        <f t="shared" si="5"/>
        <v>538</v>
      </c>
      <c r="K42" s="66">
        <f t="shared" si="5"/>
        <v>538</v>
      </c>
      <c r="L42" s="66">
        <f t="shared" si="5"/>
        <v>538</v>
      </c>
      <c r="M42" s="66">
        <f t="shared" si="5"/>
        <v>538</v>
      </c>
      <c r="N42" s="66">
        <f t="shared" si="5"/>
        <v>538</v>
      </c>
      <c r="O42" s="66">
        <f t="shared" si="5"/>
        <v>538</v>
      </c>
      <c r="P42" s="66">
        <f t="shared" si="5"/>
        <v>538</v>
      </c>
      <c r="Q42" s="66">
        <f t="shared" si="5"/>
        <v>538</v>
      </c>
      <c r="R42" s="66">
        <f t="shared" si="5"/>
        <v>538</v>
      </c>
      <c r="S42" s="66">
        <f t="shared" si="5"/>
        <v>538</v>
      </c>
      <c r="T42" s="66">
        <f t="shared" si="5"/>
        <v>538</v>
      </c>
      <c r="U42" s="66">
        <f t="shared" si="5"/>
        <v>538</v>
      </c>
      <c r="V42" s="66">
        <f t="shared" si="5"/>
        <v>538</v>
      </c>
      <c r="W42" s="66">
        <f t="shared" si="5"/>
        <v>538</v>
      </c>
      <c r="X42" s="66">
        <f t="shared" si="5"/>
        <v>538</v>
      </c>
      <c r="Y42" s="66">
        <f t="shared" si="5"/>
        <v>538</v>
      </c>
      <c r="Z42" s="66">
        <f t="shared" si="5"/>
        <v>538</v>
      </c>
      <c r="AA42" s="66">
        <f t="shared" si="5"/>
        <v>538</v>
      </c>
      <c r="AB42" s="66">
        <f t="shared" si="5"/>
        <v>538</v>
      </c>
      <c r="AC42" s="66">
        <f t="shared" si="5"/>
        <v>538</v>
      </c>
      <c r="AD42" s="66">
        <f t="shared" si="5"/>
        <v>538</v>
      </c>
      <c r="AE42" s="66">
        <f t="shared" si="5"/>
        <v>538</v>
      </c>
      <c r="AF42" s="66">
        <f t="shared" si="5"/>
        <v>538</v>
      </c>
      <c r="AG42" s="143">
        <f t="shared" si="5"/>
        <v>538.1</v>
      </c>
      <c r="AH42" s="54">
        <f t="shared" si="2"/>
        <v>538</v>
      </c>
      <c r="AI42" s="55">
        <f t="shared" si="3"/>
        <v>0</v>
      </c>
      <c r="AK42" s="56"/>
    </row>
    <row r="43" spans="1:88" x14ac:dyDescent="0.25">
      <c r="A43" s="57" t="s">
        <v>23</v>
      </c>
      <c r="B43" s="50">
        <v>142.4</v>
      </c>
      <c r="C43" s="50">
        <v>142.4</v>
      </c>
      <c r="D43" s="50">
        <v>142.4</v>
      </c>
      <c r="E43" s="50">
        <v>142.4</v>
      </c>
      <c r="F43" s="50">
        <v>142.4</v>
      </c>
      <c r="G43" s="50">
        <v>120</v>
      </c>
      <c r="H43" s="50"/>
      <c r="I43" s="50"/>
      <c r="J43" s="50">
        <v>144</v>
      </c>
      <c r="K43" s="50">
        <v>144</v>
      </c>
      <c r="L43" s="50">
        <v>144</v>
      </c>
      <c r="M43" s="50">
        <v>139.6</v>
      </c>
      <c r="N43" s="50">
        <v>139.6</v>
      </c>
      <c r="O43" s="50">
        <v>138.9</v>
      </c>
      <c r="P43" s="50">
        <v>139</v>
      </c>
      <c r="Q43" s="50">
        <v>140.4</v>
      </c>
      <c r="R43" s="50">
        <v>140.69999999999999</v>
      </c>
      <c r="S43" s="50">
        <v>141.19999999999999</v>
      </c>
      <c r="T43" s="50">
        <v>141.19999999999999</v>
      </c>
      <c r="U43" s="50">
        <v>142.19999999999999</v>
      </c>
      <c r="V43" s="50">
        <v>142.19999999999999</v>
      </c>
      <c r="W43" s="50">
        <v>142.19999999999999</v>
      </c>
      <c r="X43" s="50">
        <v>142.19999999999999</v>
      </c>
      <c r="Y43" s="50">
        <v>142.19999999999999</v>
      </c>
      <c r="Z43" s="50">
        <v>142.19999999999999</v>
      </c>
      <c r="AA43" s="50">
        <v>142.19999999999999</v>
      </c>
      <c r="AB43" s="50">
        <v>142.19999999999999</v>
      </c>
      <c r="AC43" s="50">
        <v>142.19999999999999</v>
      </c>
      <c r="AD43" s="50">
        <v>142.19999999999999</v>
      </c>
      <c r="AE43" s="50">
        <v>142.19999999999999</v>
      </c>
      <c r="AF43" s="50">
        <v>142.19999999999999</v>
      </c>
      <c r="AG43" s="135">
        <v>144</v>
      </c>
      <c r="AH43" s="54">
        <f t="shared" si="2"/>
        <v>144</v>
      </c>
      <c r="AI43" s="55">
        <f t="shared" si="3"/>
        <v>120</v>
      </c>
      <c r="AK43" s="56"/>
    </row>
    <row r="44" spans="1:88" x14ac:dyDescent="0.25">
      <c r="A44" s="60" t="s">
        <v>24</v>
      </c>
      <c r="B44" s="48">
        <v>71.2</v>
      </c>
      <c r="C44" s="48">
        <v>71.2</v>
      </c>
      <c r="D44" s="48">
        <v>71.2</v>
      </c>
      <c r="E44" s="48">
        <v>71.2</v>
      </c>
      <c r="F44" s="48">
        <v>71.2</v>
      </c>
      <c r="G44" s="48">
        <v>71.8</v>
      </c>
      <c r="H44" s="48"/>
      <c r="I44" s="48"/>
      <c r="J44" s="48">
        <v>71.8</v>
      </c>
      <c r="K44" s="48">
        <v>71.8</v>
      </c>
      <c r="L44" s="48">
        <v>71.8</v>
      </c>
      <c r="M44" s="50">
        <v>73.8</v>
      </c>
      <c r="N44" s="50">
        <v>73</v>
      </c>
      <c r="O44" s="50">
        <v>73.099999999999994</v>
      </c>
      <c r="P44" s="50">
        <v>73.099999999999994</v>
      </c>
      <c r="Q44" s="50">
        <v>70.5</v>
      </c>
      <c r="R44" s="50">
        <v>71.3</v>
      </c>
      <c r="S44" s="50">
        <v>71.3</v>
      </c>
      <c r="T44" s="50">
        <v>71.3</v>
      </c>
      <c r="U44" s="50">
        <v>70.2</v>
      </c>
      <c r="V44" s="50">
        <v>70.2</v>
      </c>
      <c r="W44" s="50">
        <v>70.2</v>
      </c>
      <c r="X44" s="50">
        <v>70.2</v>
      </c>
      <c r="Y44" s="50">
        <v>70.2</v>
      </c>
      <c r="Z44" s="50">
        <v>70.2</v>
      </c>
      <c r="AA44" s="50">
        <v>70.2</v>
      </c>
      <c r="AB44" s="48">
        <v>70.2</v>
      </c>
      <c r="AC44" s="48">
        <v>70.2</v>
      </c>
      <c r="AD44" s="48">
        <v>70.2</v>
      </c>
      <c r="AE44" s="48">
        <v>70.2</v>
      </c>
      <c r="AF44" s="48">
        <v>70.2</v>
      </c>
      <c r="AG44" s="136">
        <v>70</v>
      </c>
      <c r="AH44" s="54">
        <f t="shared" si="2"/>
        <v>73.8</v>
      </c>
      <c r="AI44" s="55">
        <f t="shared" si="3"/>
        <v>70.2</v>
      </c>
      <c r="AK44" s="56"/>
    </row>
    <row r="45" spans="1:88" x14ac:dyDescent="0.25">
      <c r="A45" s="60" t="s">
        <v>25</v>
      </c>
      <c r="B45" s="48">
        <v>63.1</v>
      </c>
      <c r="C45" s="48">
        <v>63.1</v>
      </c>
      <c r="D45" s="48">
        <v>63.1</v>
      </c>
      <c r="E45" s="48">
        <v>63.1</v>
      </c>
      <c r="F45" s="48">
        <v>63.1</v>
      </c>
      <c r="G45" s="48">
        <v>61.2</v>
      </c>
      <c r="H45" s="48"/>
      <c r="I45" s="48"/>
      <c r="J45" s="48">
        <v>61.2</v>
      </c>
      <c r="K45" s="48">
        <v>61.2</v>
      </c>
      <c r="L45" s="48">
        <v>61.2</v>
      </c>
      <c r="M45" s="50">
        <v>45.4</v>
      </c>
      <c r="N45" s="50">
        <v>45.4</v>
      </c>
      <c r="O45" s="50">
        <v>62</v>
      </c>
      <c r="P45" s="50">
        <v>62.4</v>
      </c>
      <c r="Q45" s="50">
        <v>62.2</v>
      </c>
      <c r="R45" s="50">
        <v>62.7</v>
      </c>
      <c r="S45" s="50">
        <v>62.7</v>
      </c>
      <c r="T45" s="50">
        <v>62.7</v>
      </c>
      <c r="U45" s="50">
        <v>62.8</v>
      </c>
      <c r="V45" s="50">
        <v>62.8</v>
      </c>
      <c r="W45" s="50">
        <v>62.8</v>
      </c>
      <c r="X45" s="50">
        <v>62.8</v>
      </c>
      <c r="Y45" s="50">
        <v>62.8</v>
      </c>
      <c r="Z45" s="50">
        <v>62.8</v>
      </c>
      <c r="AA45" s="50">
        <v>62.8</v>
      </c>
      <c r="AB45" s="48">
        <v>62.8</v>
      </c>
      <c r="AC45" s="48">
        <v>62.8</v>
      </c>
      <c r="AD45" s="48">
        <v>62.8</v>
      </c>
      <c r="AE45" s="48">
        <v>62.8</v>
      </c>
      <c r="AF45" s="48">
        <v>62.8</v>
      </c>
      <c r="AG45" s="136">
        <v>69</v>
      </c>
      <c r="AH45" s="54">
        <f t="shared" si="2"/>
        <v>63.1</v>
      </c>
      <c r="AI45" s="55">
        <f t="shared" si="3"/>
        <v>45.4</v>
      </c>
      <c r="AK45" s="56"/>
    </row>
    <row r="46" spans="1:88" x14ac:dyDescent="0.25">
      <c r="A46" s="60" t="s">
        <v>26</v>
      </c>
      <c r="B46" s="62">
        <v>60.4</v>
      </c>
      <c r="C46" s="62">
        <v>60.4</v>
      </c>
      <c r="D46" s="62">
        <v>60.4</v>
      </c>
      <c r="E46" s="62">
        <v>60.4</v>
      </c>
      <c r="F46" s="62">
        <v>60.4</v>
      </c>
      <c r="G46" s="62">
        <v>60.4</v>
      </c>
      <c r="H46" s="62"/>
      <c r="I46" s="62"/>
      <c r="J46" s="62">
        <v>60.4</v>
      </c>
      <c r="K46" s="62">
        <v>60.4</v>
      </c>
      <c r="L46" s="62">
        <v>60.4</v>
      </c>
      <c r="M46" s="50">
        <v>61.2</v>
      </c>
      <c r="N46" s="50">
        <v>61.2</v>
      </c>
      <c r="O46" s="50">
        <v>61.2</v>
      </c>
      <c r="P46" s="50">
        <v>61.2</v>
      </c>
      <c r="Q46" s="50">
        <v>61.2</v>
      </c>
      <c r="R46" s="50">
        <v>61.2</v>
      </c>
      <c r="S46" s="50">
        <v>61.2</v>
      </c>
      <c r="T46" s="50">
        <v>61.2</v>
      </c>
      <c r="U46" s="50">
        <v>61.2</v>
      </c>
      <c r="V46" s="50">
        <v>61.2</v>
      </c>
      <c r="W46" s="50">
        <v>61.2</v>
      </c>
      <c r="X46" s="50">
        <v>61.2</v>
      </c>
      <c r="Y46" s="50">
        <v>61.2</v>
      </c>
      <c r="Z46" s="50">
        <v>61.2</v>
      </c>
      <c r="AA46" s="50">
        <v>61.2</v>
      </c>
      <c r="AB46" s="62">
        <v>61.2</v>
      </c>
      <c r="AC46" s="62">
        <v>61.2</v>
      </c>
      <c r="AD46" s="62">
        <v>61.2</v>
      </c>
      <c r="AE46" s="62">
        <v>61.2</v>
      </c>
      <c r="AF46" s="62">
        <v>61.2</v>
      </c>
      <c r="AG46" s="136">
        <v>60</v>
      </c>
      <c r="AH46" s="54">
        <f t="shared" si="2"/>
        <v>61.2</v>
      </c>
      <c r="AI46" s="55">
        <f t="shared" si="3"/>
        <v>60.4</v>
      </c>
      <c r="AK46" s="56"/>
    </row>
    <row r="47" spans="1:88" x14ac:dyDescent="0.25">
      <c r="A47" s="60" t="s">
        <v>27</v>
      </c>
      <c r="B47" s="62">
        <v>28.6</v>
      </c>
      <c r="C47" s="62">
        <v>28.6</v>
      </c>
      <c r="D47" s="62">
        <v>28.6</v>
      </c>
      <c r="E47" s="62">
        <v>28.6</v>
      </c>
      <c r="F47" s="62">
        <v>28.6</v>
      </c>
      <c r="G47" s="62">
        <v>28.6</v>
      </c>
      <c r="H47" s="62"/>
      <c r="I47" s="62"/>
      <c r="J47" s="62">
        <v>28.6</v>
      </c>
      <c r="K47" s="62">
        <v>28.6</v>
      </c>
      <c r="L47" s="62">
        <v>28.6</v>
      </c>
      <c r="M47" s="50">
        <v>14.8</v>
      </c>
      <c r="N47" s="50">
        <v>14.8</v>
      </c>
      <c r="O47" s="50">
        <v>14.8</v>
      </c>
      <c r="P47" s="50">
        <v>14.7</v>
      </c>
      <c r="Q47" s="50">
        <v>14.8</v>
      </c>
      <c r="R47" s="50">
        <v>14.8</v>
      </c>
      <c r="S47" s="50">
        <v>14.8</v>
      </c>
      <c r="T47" s="50">
        <v>14.8</v>
      </c>
      <c r="U47" s="50">
        <v>14.8</v>
      </c>
      <c r="V47" s="50">
        <v>14.8</v>
      </c>
      <c r="W47" s="50">
        <v>14.8</v>
      </c>
      <c r="X47" s="50">
        <v>14.8</v>
      </c>
      <c r="Y47" s="50">
        <v>14.8</v>
      </c>
      <c r="Z47" s="50">
        <v>14.8</v>
      </c>
      <c r="AA47" s="50">
        <v>14.8</v>
      </c>
      <c r="AB47" s="62">
        <v>14.8</v>
      </c>
      <c r="AC47" s="62">
        <v>14.8</v>
      </c>
      <c r="AD47" s="62">
        <v>14.8</v>
      </c>
      <c r="AE47" s="62">
        <v>14.8</v>
      </c>
      <c r="AF47" s="62">
        <v>14.8</v>
      </c>
      <c r="AG47" s="136">
        <v>30</v>
      </c>
      <c r="AH47" s="54">
        <f t="shared" si="2"/>
        <v>28.6</v>
      </c>
      <c r="AI47" s="55">
        <f t="shared" si="3"/>
        <v>14.7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62"/>
      <c r="I48" s="62"/>
      <c r="J48" s="62">
        <v>0</v>
      </c>
      <c r="K48" s="62">
        <v>0</v>
      </c>
      <c r="L48" s="62">
        <v>0</v>
      </c>
      <c r="M48" s="50">
        <v>0</v>
      </c>
      <c r="N48" s="50">
        <v>0</v>
      </c>
      <c r="O48" s="50">
        <v>0</v>
      </c>
      <c r="P48" s="50">
        <v>0</v>
      </c>
      <c r="Q48" s="50">
        <v>0</v>
      </c>
      <c r="R48" s="50">
        <v>0</v>
      </c>
      <c r="S48" s="50">
        <v>0</v>
      </c>
      <c r="T48" s="50">
        <v>0</v>
      </c>
      <c r="U48" s="50">
        <v>0</v>
      </c>
      <c r="V48" s="50">
        <v>0</v>
      </c>
      <c r="W48" s="50">
        <v>0</v>
      </c>
      <c r="X48" s="50">
        <v>0</v>
      </c>
      <c r="Y48" s="50">
        <v>0</v>
      </c>
      <c r="Z48" s="50">
        <v>0</v>
      </c>
      <c r="AA48" s="50">
        <v>0</v>
      </c>
      <c r="AB48" s="48">
        <v>0</v>
      </c>
      <c r="AC48" s="48">
        <v>0</v>
      </c>
      <c r="AD48" s="48">
        <v>0</v>
      </c>
      <c r="AE48" s="48">
        <v>0</v>
      </c>
      <c r="AF48" s="48">
        <v>0</v>
      </c>
      <c r="AG48" s="136">
        <v>25</v>
      </c>
      <c r="AH48" s="54">
        <f t="shared" si="2"/>
        <v>0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13.9</v>
      </c>
      <c r="C49" s="48">
        <v>13.9</v>
      </c>
      <c r="D49" s="48">
        <v>13.9</v>
      </c>
      <c r="E49" s="48">
        <v>13.9</v>
      </c>
      <c r="F49" s="48">
        <v>13.9</v>
      </c>
      <c r="G49" s="48">
        <v>13.9</v>
      </c>
      <c r="H49" s="48"/>
      <c r="I49" s="48"/>
      <c r="J49" s="48">
        <v>13.9</v>
      </c>
      <c r="K49" s="48">
        <v>13.9</v>
      </c>
      <c r="L49" s="48">
        <v>13.9</v>
      </c>
      <c r="M49" s="50">
        <v>16.2</v>
      </c>
      <c r="N49" s="50">
        <v>16.2</v>
      </c>
      <c r="O49" s="50">
        <v>16.2</v>
      </c>
      <c r="P49" s="50">
        <v>14.5</v>
      </c>
      <c r="Q49" s="50">
        <v>13.6</v>
      </c>
      <c r="R49" s="50">
        <v>16.5</v>
      </c>
      <c r="S49" s="50">
        <v>16.5</v>
      </c>
      <c r="T49" s="50">
        <v>16.5</v>
      </c>
      <c r="U49" s="50">
        <v>16.5</v>
      </c>
      <c r="V49" s="50">
        <v>16.5</v>
      </c>
      <c r="W49" s="50">
        <v>16.5</v>
      </c>
      <c r="X49" s="50">
        <v>16.5</v>
      </c>
      <c r="Y49" s="50">
        <v>16.5</v>
      </c>
      <c r="Z49" s="50">
        <v>16.5</v>
      </c>
      <c r="AA49" s="50">
        <v>16.5</v>
      </c>
      <c r="AB49" s="48">
        <v>16.5</v>
      </c>
      <c r="AC49" s="48">
        <v>16.5</v>
      </c>
      <c r="AD49" s="48">
        <v>16.5</v>
      </c>
      <c r="AE49" s="48">
        <v>16.5</v>
      </c>
      <c r="AF49" s="48">
        <v>16.5</v>
      </c>
      <c r="AG49" s="136">
        <v>24</v>
      </c>
      <c r="AH49" s="54">
        <f t="shared" si="2"/>
        <v>16.5</v>
      </c>
      <c r="AI49" s="55">
        <f t="shared" si="3"/>
        <v>13.6</v>
      </c>
      <c r="AK49" s="56"/>
    </row>
    <row r="50" spans="1:41" x14ac:dyDescent="0.25">
      <c r="A50" s="60" t="s">
        <v>30</v>
      </c>
      <c r="B50" s="48">
        <v>0</v>
      </c>
      <c r="C50" s="48">
        <v>0</v>
      </c>
      <c r="D50" s="48">
        <v>0</v>
      </c>
      <c r="E50" s="48">
        <v>0</v>
      </c>
      <c r="F50" s="48">
        <v>0</v>
      </c>
      <c r="G50" s="48">
        <v>0</v>
      </c>
      <c r="H50" s="48"/>
      <c r="I50" s="48"/>
      <c r="J50" s="48">
        <v>0</v>
      </c>
      <c r="K50" s="48">
        <v>0</v>
      </c>
      <c r="L50" s="48">
        <v>0</v>
      </c>
      <c r="M50" s="50">
        <v>2.7</v>
      </c>
      <c r="N50" s="50">
        <v>2.7</v>
      </c>
      <c r="O50" s="50">
        <v>2.7</v>
      </c>
      <c r="P50" s="50">
        <v>2.7</v>
      </c>
      <c r="Q50" s="50">
        <v>2.7</v>
      </c>
      <c r="R50" s="50">
        <v>2.7</v>
      </c>
      <c r="S50" s="50">
        <v>2.7</v>
      </c>
      <c r="T50" s="50">
        <v>2.7</v>
      </c>
      <c r="U50" s="50">
        <v>2.7</v>
      </c>
      <c r="V50" s="50">
        <v>2.7</v>
      </c>
      <c r="W50" s="50">
        <v>2.7</v>
      </c>
      <c r="X50" s="50">
        <v>2.7</v>
      </c>
      <c r="Y50" s="50">
        <v>2.7</v>
      </c>
      <c r="Z50" s="50">
        <v>2.7</v>
      </c>
      <c r="AA50" s="50">
        <v>2.7</v>
      </c>
      <c r="AB50" s="48">
        <v>2.7</v>
      </c>
      <c r="AC50" s="48">
        <v>2.7</v>
      </c>
      <c r="AD50" s="48">
        <v>2.7</v>
      </c>
      <c r="AE50" s="48">
        <v>2.7</v>
      </c>
      <c r="AF50" s="48">
        <v>2.7</v>
      </c>
      <c r="AG50" s="136">
        <v>15</v>
      </c>
      <c r="AH50" s="54">
        <f t="shared" si="2"/>
        <v>2.7</v>
      </c>
      <c r="AI50" s="55">
        <f t="shared" si="3"/>
        <v>0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8.9</v>
      </c>
      <c r="C51" s="48">
        <v>8.9</v>
      </c>
      <c r="D51" s="48">
        <v>8.9</v>
      </c>
      <c r="E51" s="48">
        <v>8.9</v>
      </c>
      <c r="F51" s="48">
        <v>8.9</v>
      </c>
      <c r="G51" s="48">
        <v>8.9</v>
      </c>
      <c r="H51" s="48"/>
      <c r="I51" s="48"/>
      <c r="J51" s="48">
        <v>8.9</v>
      </c>
      <c r="K51" s="48">
        <v>8.9</v>
      </c>
      <c r="L51" s="48">
        <v>8.9</v>
      </c>
      <c r="M51" s="50">
        <v>8.9</v>
      </c>
      <c r="N51" s="50">
        <v>8.9</v>
      </c>
      <c r="O51" s="50">
        <v>8.9</v>
      </c>
      <c r="P51" s="50">
        <v>9</v>
      </c>
      <c r="Q51" s="50">
        <v>9</v>
      </c>
      <c r="R51" s="50">
        <v>9</v>
      </c>
      <c r="S51" s="50">
        <v>9</v>
      </c>
      <c r="T51" s="50">
        <v>9</v>
      </c>
      <c r="U51" s="50">
        <v>9</v>
      </c>
      <c r="V51" s="50">
        <v>9</v>
      </c>
      <c r="W51" s="50">
        <v>9</v>
      </c>
      <c r="X51" s="50">
        <v>9</v>
      </c>
      <c r="Y51" s="50">
        <v>9</v>
      </c>
      <c r="Z51" s="50">
        <v>9</v>
      </c>
      <c r="AA51" s="50">
        <v>9</v>
      </c>
      <c r="AB51" s="48">
        <v>9</v>
      </c>
      <c r="AC51" s="48">
        <v>9</v>
      </c>
      <c r="AD51" s="48">
        <v>9</v>
      </c>
      <c r="AE51" s="48">
        <v>9</v>
      </c>
      <c r="AF51" s="48">
        <v>9</v>
      </c>
      <c r="AG51" s="136">
        <v>14.1</v>
      </c>
      <c r="AH51" s="54">
        <f t="shared" si="2"/>
        <v>9</v>
      </c>
      <c r="AI51" s="55">
        <f t="shared" si="3"/>
        <v>8.9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0</v>
      </c>
      <c r="C52" s="48">
        <v>0</v>
      </c>
      <c r="D52" s="48">
        <v>0</v>
      </c>
      <c r="E52" s="48">
        <v>0</v>
      </c>
      <c r="F52" s="48">
        <v>0</v>
      </c>
      <c r="G52" s="48">
        <v>0</v>
      </c>
      <c r="H52" s="48"/>
      <c r="I52" s="48"/>
      <c r="J52" s="48">
        <v>0</v>
      </c>
      <c r="K52" s="48">
        <v>0</v>
      </c>
      <c r="L52" s="48">
        <v>0</v>
      </c>
      <c r="M52" s="50">
        <v>11.5</v>
      </c>
      <c r="N52" s="50">
        <v>11.5</v>
      </c>
      <c r="O52" s="50">
        <v>11.5</v>
      </c>
      <c r="P52" s="50">
        <v>12.3</v>
      </c>
      <c r="Q52" s="50">
        <v>14.1</v>
      </c>
      <c r="R52" s="50">
        <v>14.1</v>
      </c>
      <c r="S52" s="50">
        <v>14.1</v>
      </c>
      <c r="T52" s="50">
        <v>14.1</v>
      </c>
      <c r="U52" s="50">
        <v>14.1</v>
      </c>
      <c r="V52" s="50">
        <v>14.1</v>
      </c>
      <c r="W52" s="50">
        <v>14.1</v>
      </c>
      <c r="X52" s="50">
        <v>14.1</v>
      </c>
      <c r="Y52" s="50">
        <v>14.1</v>
      </c>
      <c r="Z52" s="50">
        <v>14.1</v>
      </c>
      <c r="AA52" s="50">
        <v>14.1</v>
      </c>
      <c r="AB52" s="48">
        <v>14.1</v>
      </c>
      <c r="AC52" s="48">
        <v>12</v>
      </c>
      <c r="AD52" s="48">
        <v>11</v>
      </c>
      <c r="AE52" s="48">
        <v>14</v>
      </c>
      <c r="AF52" s="48">
        <v>14</v>
      </c>
      <c r="AG52" s="136">
        <v>14</v>
      </c>
      <c r="AH52" s="54">
        <f t="shared" si="2"/>
        <v>14.1</v>
      </c>
      <c r="AI52" s="55">
        <f t="shared" si="3"/>
        <v>0</v>
      </c>
      <c r="AK52" s="56"/>
    </row>
    <row r="53" spans="1:41" x14ac:dyDescent="0.25">
      <c r="A53" s="60" t="s">
        <v>33</v>
      </c>
      <c r="B53" s="48">
        <v>6.3</v>
      </c>
      <c r="C53" s="48">
        <v>6.3</v>
      </c>
      <c r="D53" s="48">
        <v>6.3</v>
      </c>
      <c r="E53" s="48">
        <v>6.3</v>
      </c>
      <c r="F53" s="48">
        <v>6.3</v>
      </c>
      <c r="G53" s="48">
        <v>6.3</v>
      </c>
      <c r="H53" s="48"/>
      <c r="I53" s="48"/>
      <c r="J53" s="48">
        <v>6.3</v>
      </c>
      <c r="K53" s="48">
        <v>6.3</v>
      </c>
      <c r="L53" s="48">
        <v>6.3</v>
      </c>
      <c r="M53" s="50">
        <v>6.3</v>
      </c>
      <c r="N53" s="50">
        <v>6.3</v>
      </c>
      <c r="O53" s="50">
        <v>6.3</v>
      </c>
      <c r="P53" s="50">
        <v>6.3</v>
      </c>
      <c r="Q53" s="50">
        <v>6.3</v>
      </c>
      <c r="R53" s="50">
        <v>6.3</v>
      </c>
      <c r="S53" s="50">
        <v>6.3</v>
      </c>
      <c r="T53" s="50">
        <v>6.3</v>
      </c>
      <c r="U53" s="50">
        <v>6.3</v>
      </c>
      <c r="V53" s="50">
        <v>6.3</v>
      </c>
      <c r="W53" s="50">
        <v>6.3</v>
      </c>
      <c r="X53" s="50">
        <v>6.3</v>
      </c>
      <c r="Y53" s="50">
        <v>6.3</v>
      </c>
      <c r="Z53" s="50">
        <v>6.3</v>
      </c>
      <c r="AA53" s="50">
        <v>6.3</v>
      </c>
      <c r="AB53" s="48">
        <v>6.3</v>
      </c>
      <c r="AC53" s="48">
        <v>6.3</v>
      </c>
      <c r="AD53" s="48">
        <v>6.3</v>
      </c>
      <c r="AE53" s="48">
        <v>6.3</v>
      </c>
      <c r="AF53" s="48">
        <v>6.3</v>
      </c>
      <c r="AG53" s="136">
        <v>10.050000000000001</v>
      </c>
      <c r="AH53" s="54">
        <f t="shared" si="2"/>
        <v>6.3</v>
      </c>
      <c r="AI53" s="55">
        <f t="shared" si="3"/>
        <v>6.3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/>
      <c r="I54" s="48"/>
      <c r="J54" s="48">
        <v>6.2</v>
      </c>
      <c r="K54" s="48">
        <v>6.2</v>
      </c>
      <c r="L54" s="48">
        <v>6.2</v>
      </c>
      <c r="M54" s="50">
        <v>6.2</v>
      </c>
      <c r="N54" s="50">
        <v>6.2</v>
      </c>
      <c r="O54" s="50">
        <v>6.2</v>
      </c>
      <c r="P54" s="50">
        <v>6.2</v>
      </c>
      <c r="Q54" s="50">
        <v>6.2</v>
      </c>
      <c r="R54" s="50">
        <v>6.2</v>
      </c>
      <c r="S54" s="50">
        <v>6.2</v>
      </c>
      <c r="T54" s="50">
        <v>6.2</v>
      </c>
      <c r="U54" s="50">
        <v>6.2</v>
      </c>
      <c r="V54" s="50">
        <v>6.2</v>
      </c>
      <c r="W54" s="50">
        <v>6.2</v>
      </c>
      <c r="X54" s="50">
        <v>6.2</v>
      </c>
      <c r="Y54" s="50">
        <v>6.2</v>
      </c>
      <c r="Z54" s="50">
        <v>6.2</v>
      </c>
      <c r="AA54" s="50">
        <v>6.2</v>
      </c>
      <c r="AB54" s="48">
        <v>6.2</v>
      </c>
      <c r="AC54" s="48">
        <v>6.2</v>
      </c>
      <c r="AD54" s="48">
        <v>6.2</v>
      </c>
      <c r="AE54" s="48">
        <v>6.2</v>
      </c>
      <c r="AF54" s="48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6">AG220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>SUM(B43:B55)</f>
        <v>404.54</v>
      </c>
      <c r="C56" s="66">
        <f t="shared" ref="C56:AG56" si="7">SUM(C43:C55)</f>
        <v>404.54</v>
      </c>
      <c r="D56" s="66">
        <f t="shared" si="7"/>
        <v>404.54</v>
      </c>
      <c r="E56" s="66">
        <f t="shared" si="7"/>
        <v>404.54</v>
      </c>
      <c r="F56" s="66">
        <f t="shared" si="7"/>
        <v>404.54</v>
      </c>
      <c r="G56" s="66">
        <f t="shared" si="7"/>
        <v>380.84</v>
      </c>
      <c r="H56" s="66">
        <f t="shared" si="7"/>
        <v>3.54</v>
      </c>
      <c r="I56" s="66">
        <f t="shared" si="7"/>
        <v>3.54</v>
      </c>
      <c r="J56" s="66">
        <f t="shared" si="7"/>
        <v>404.84</v>
      </c>
      <c r="K56" s="66">
        <f t="shared" si="7"/>
        <v>404.84</v>
      </c>
      <c r="L56" s="66">
        <f t="shared" si="7"/>
        <v>404.84</v>
      </c>
      <c r="M56" s="66">
        <f t="shared" si="7"/>
        <v>390.13999999999993</v>
      </c>
      <c r="N56" s="66">
        <f t="shared" si="7"/>
        <v>389.34</v>
      </c>
      <c r="O56" s="66">
        <f t="shared" si="7"/>
        <v>405.34</v>
      </c>
      <c r="P56" s="66">
        <f t="shared" si="7"/>
        <v>404.94</v>
      </c>
      <c r="Q56" s="66">
        <f t="shared" si="7"/>
        <v>404.54000000000008</v>
      </c>
      <c r="R56" s="66">
        <f t="shared" si="7"/>
        <v>409.04</v>
      </c>
      <c r="S56" s="66">
        <f t="shared" si="7"/>
        <v>409.54</v>
      </c>
      <c r="T56" s="66">
        <f t="shared" si="7"/>
        <v>409.54</v>
      </c>
      <c r="U56" s="66">
        <f t="shared" si="7"/>
        <v>409.54</v>
      </c>
      <c r="V56" s="66">
        <f t="shared" si="7"/>
        <v>409.54</v>
      </c>
      <c r="W56" s="66">
        <f t="shared" si="7"/>
        <v>409.54</v>
      </c>
      <c r="X56" s="66">
        <f t="shared" si="7"/>
        <v>409.54</v>
      </c>
      <c r="Y56" s="66">
        <f t="shared" si="7"/>
        <v>409.54</v>
      </c>
      <c r="Z56" s="66">
        <f t="shared" si="7"/>
        <v>409.54</v>
      </c>
      <c r="AA56" s="66">
        <f t="shared" si="7"/>
        <v>409.54</v>
      </c>
      <c r="AB56" s="66">
        <f t="shared" si="7"/>
        <v>409.54</v>
      </c>
      <c r="AC56" s="66">
        <f t="shared" si="7"/>
        <v>407.44</v>
      </c>
      <c r="AD56" s="66">
        <f t="shared" si="7"/>
        <v>406.44</v>
      </c>
      <c r="AE56" s="66">
        <f t="shared" si="7"/>
        <v>409.44</v>
      </c>
      <c r="AF56" s="66">
        <f t="shared" si="7"/>
        <v>409.44</v>
      </c>
      <c r="AG56" s="143">
        <f t="shared" si="7"/>
        <v>489.91</v>
      </c>
      <c r="AH56" s="54">
        <f t="shared" si="2"/>
        <v>409.54</v>
      </c>
      <c r="AI56" s="55">
        <f t="shared" si="3"/>
        <v>3.54</v>
      </c>
      <c r="AK56" s="56"/>
    </row>
    <row r="57" spans="1:41" x14ac:dyDescent="0.25">
      <c r="A57" s="57" t="s">
        <v>37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/>
      <c r="I57" s="50"/>
      <c r="J57" s="50">
        <v>40</v>
      </c>
      <c r="K57" s="50">
        <v>20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14</v>
      </c>
      <c r="AB57" s="50">
        <v>10</v>
      </c>
      <c r="AC57" s="50">
        <v>0</v>
      </c>
      <c r="AD57" s="50">
        <v>0</v>
      </c>
      <c r="AE57" s="50">
        <v>0</v>
      </c>
      <c r="AF57" s="50">
        <v>0</v>
      </c>
      <c r="AG57" s="135">
        <v>60</v>
      </c>
      <c r="AH57" s="54">
        <f t="shared" si="2"/>
        <v>40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/>
      <c r="I58" s="48"/>
      <c r="J58" s="48">
        <v>18</v>
      </c>
      <c r="K58" s="48">
        <v>8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6.5</v>
      </c>
      <c r="AB58" s="48">
        <v>5</v>
      </c>
      <c r="AC58" s="48">
        <v>0</v>
      </c>
      <c r="AD58" s="48">
        <v>0</v>
      </c>
      <c r="AE58" s="48">
        <v>0</v>
      </c>
      <c r="AF58" s="48">
        <v>0</v>
      </c>
      <c r="AG58" s="136">
        <v>32</v>
      </c>
      <c r="AH58" s="54">
        <f t="shared" si="2"/>
        <v>18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/>
      <c r="I59" s="70"/>
      <c r="J59" s="70">
        <v>8</v>
      </c>
      <c r="K59" s="70">
        <v>3.3</v>
      </c>
      <c r="L59" s="70">
        <v>0</v>
      </c>
      <c r="M59" s="70">
        <v>0</v>
      </c>
      <c r="N59" s="70">
        <v>0</v>
      </c>
      <c r="O59" s="70">
        <v>1</v>
      </c>
      <c r="P59" s="70">
        <v>0</v>
      </c>
      <c r="Q59" s="70">
        <v>0</v>
      </c>
      <c r="R59" s="70">
        <v>0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70">
        <v>2.4</v>
      </c>
      <c r="AB59" s="70">
        <v>2</v>
      </c>
      <c r="AC59" s="70">
        <v>0</v>
      </c>
      <c r="AD59" s="70">
        <v>0</v>
      </c>
      <c r="AE59" s="70">
        <v>0</v>
      </c>
      <c r="AF59" s="70">
        <v>0</v>
      </c>
      <c r="AG59" s="137">
        <v>14</v>
      </c>
      <c r="AH59" s="54">
        <f t="shared" si="2"/>
        <v>8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>SUM(B57:B59)</f>
        <v>0</v>
      </c>
      <c r="C60" s="66">
        <f t="shared" ref="C60:AG60" si="8">SUM(C57:C59)</f>
        <v>0</v>
      </c>
      <c r="D60" s="66">
        <f t="shared" si="8"/>
        <v>0</v>
      </c>
      <c r="E60" s="66">
        <f t="shared" si="8"/>
        <v>0</v>
      </c>
      <c r="F60" s="66">
        <f t="shared" si="8"/>
        <v>0</v>
      </c>
      <c r="G60" s="66">
        <f t="shared" si="8"/>
        <v>0</v>
      </c>
      <c r="H60" s="66">
        <f t="shared" si="8"/>
        <v>0</v>
      </c>
      <c r="I60" s="66">
        <f t="shared" si="8"/>
        <v>0</v>
      </c>
      <c r="J60" s="66">
        <f t="shared" si="8"/>
        <v>66</v>
      </c>
      <c r="K60" s="66">
        <f t="shared" si="8"/>
        <v>31.3</v>
      </c>
      <c r="L60" s="66">
        <f t="shared" si="8"/>
        <v>0</v>
      </c>
      <c r="M60" s="66">
        <f t="shared" si="8"/>
        <v>0</v>
      </c>
      <c r="N60" s="66">
        <f t="shared" si="8"/>
        <v>0</v>
      </c>
      <c r="O60" s="66">
        <f t="shared" si="8"/>
        <v>1</v>
      </c>
      <c r="P60" s="66">
        <f t="shared" si="8"/>
        <v>0</v>
      </c>
      <c r="Q60" s="66">
        <f t="shared" si="8"/>
        <v>0</v>
      </c>
      <c r="R60" s="66">
        <f t="shared" si="8"/>
        <v>0</v>
      </c>
      <c r="S60" s="66">
        <f t="shared" si="8"/>
        <v>0</v>
      </c>
      <c r="T60" s="66">
        <f t="shared" si="8"/>
        <v>0</v>
      </c>
      <c r="U60" s="66">
        <f t="shared" si="8"/>
        <v>0</v>
      </c>
      <c r="V60" s="66">
        <f t="shared" si="8"/>
        <v>0</v>
      </c>
      <c r="W60" s="66">
        <f t="shared" si="8"/>
        <v>0</v>
      </c>
      <c r="X60" s="66">
        <f t="shared" si="8"/>
        <v>0</v>
      </c>
      <c r="Y60" s="66">
        <f t="shared" si="8"/>
        <v>0</v>
      </c>
      <c r="Z60" s="66">
        <f t="shared" si="8"/>
        <v>0</v>
      </c>
      <c r="AA60" s="66">
        <f t="shared" si="8"/>
        <v>22.9</v>
      </c>
      <c r="AB60" s="66">
        <f t="shared" si="8"/>
        <v>17</v>
      </c>
      <c r="AC60" s="66">
        <f t="shared" si="8"/>
        <v>0</v>
      </c>
      <c r="AD60" s="66">
        <f t="shared" si="8"/>
        <v>0</v>
      </c>
      <c r="AE60" s="66">
        <f t="shared" si="8"/>
        <v>0</v>
      </c>
      <c r="AF60" s="66">
        <f t="shared" si="8"/>
        <v>0</v>
      </c>
      <c r="AG60" s="143">
        <f t="shared" si="8"/>
        <v>106</v>
      </c>
      <c r="AH60" s="54">
        <f t="shared" si="2"/>
        <v>66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24</v>
      </c>
      <c r="C61" s="50">
        <v>24</v>
      </c>
      <c r="D61" s="50">
        <v>23</v>
      </c>
      <c r="E61" s="50">
        <v>42.4</v>
      </c>
      <c r="F61" s="50">
        <v>41.46</v>
      </c>
      <c r="G61" s="50">
        <v>44.79</v>
      </c>
      <c r="H61" s="50"/>
      <c r="I61" s="50"/>
      <c r="J61" s="50">
        <v>43.7</v>
      </c>
      <c r="K61" s="50">
        <v>43.7</v>
      </c>
      <c r="L61" s="50">
        <v>64.3</v>
      </c>
      <c r="M61" s="50">
        <v>66.7</v>
      </c>
      <c r="N61" s="50">
        <v>48.4</v>
      </c>
      <c r="O61" s="50">
        <v>60.6</v>
      </c>
      <c r="P61" s="50">
        <v>63.9</v>
      </c>
      <c r="Q61" s="50">
        <v>61.4</v>
      </c>
      <c r="R61" s="50">
        <v>60</v>
      </c>
      <c r="S61" s="50">
        <v>65.599999999999994</v>
      </c>
      <c r="T61" s="50">
        <v>59</v>
      </c>
      <c r="U61" s="50">
        <v>65</v>
      </c>
      <c r="V61" s="50">
        <v>55</v>
      </c>
      <c r="W61" s="50">
        <v>50</v>
      </c>
      <c r="X61" s="50">
        <v>43</v>
      </c>
      <c r="Y61" s="50">
        <v>43</v>
      </c>
      <c r="Z61" s="50">
        <v>47</v>
      </c>
      <c r="AA61" s="50">
        <v>55</v>
      </c>
      <c r="AB61" s="50">
        <v>67</v>
      </c>
      <c r="AC61" s="50">
        <v>69.8</v>
      </c>
      <c r="AD61" s="50">
        <v>69.5</v>
      </c>
      <c r="AE61" s="50">
        <v>47.8</v>
      </c>
      <c r="AF61" s="50">
        <v>31.6</v>
      </c>
      <c r="AG61" s="135"/>
      <c r="AH61" s="54">
        <f t="shared" si="2"/>
        <v>69.8</v>
      </c>
      <c r="AI61" s="55">
        <f t="shared" si="3"/>
        <v>23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/>
      <c r="I62" s="48"/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-296</v>
      </c>
      <c r="C63" s="48">
        <v>-296</v>
      </c>
      <c r="D63" s="48">
        <v>-328</v>
      </c>
      <c r="E63" s="48">
        <v>-364</v>
      </c>
      <c r="F63" s="48">
        <v>-403.2</v>
      </c>
      <c r="G63" s="48">
        <v>-399</v>
      </c>
      <c r="H63" s="48"/>
      <c r="I63" s="48"/>
      <c r="J63" s="48">
        <v>-368</v>
      </c>
      <c r="K63" s="48">
        <v>-368</v>
      </c>
      <c r="L63" s="48">
        <v>-382</v>
      </c>
      <c r="M63" s="48">
        <v>-381.7</v>
      </c>
      <c r="N63" s="48">
        <v>-375.8</v>
      </c>
      <c r="O63" s="48">
        <v>-350.2</v>
      </c>
      <c r="P63" s="48">
        <v>-300</v>
      </c>
      <c r="Q63" s="48">
        <v>-305.5</v>
      </c>
      <c r="R63" s="48">
        <v>-319</v>
      </c>
      <c r="S63" s="48">
        <v>-329</v>
      </c>
      <c r="T63" s="48">
        <v>-350</v>
      </c>
      <c r="U63" s="48">
        <v>-367</v>
      </c>
      <c r="V63" s="48">
        <v>-385</v>
      </c>
      <c r="W63" s="48">
        <v>-376</v>
      </c>
      <c r="X63" s="48">
        <v>-397</v>
      </c>
      <c r="Y63" s="48">
        <v>-374</v>
      </c>
      <c r="Z63" s="48">
        <v>-284</v>
      </c>
      <c r="AA63" s="48">
        <v>-253</v>
      </c>
      <c r="AB63" s="48">
        <v>-244</v>
      </c>
      <c r="AC63" s="48">
        <v>-236</v>
      </c>
      <c r="AD63" s="48">
        <v>-262</v>
      </c>
      <c r="AE63" s="48">
        <v>-302</v>
      </c>
      <c r="AF63" s="48">
        <v>-364</v>
      </c>
      <c r="AG63" s="140"/>
      <c r="AH63" s="54">
        <f t="shared" si="2"/>
        <v>-236</v>
      </c>
      <c r="AI63" s="55">
        <f t="shared" si="3"/>
        <v>-403.2</v>
      </c>
      <c r="AK63" s="56"/>
    </row>
    <row r="64" spans="1:41" x14ac:dyDescent="0.25">
      <c r="A64" s="60" t="s">
        <v>44</v>
      </c>
      <c r="B64" s="71">
        <v>0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/>
      <c r="I64" s="71"/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140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/>
      <c r="I65" s="50"/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5</v>
      </c>
      <c r="C66" s="72">
        <v>5</v>
      </c>
      <c r="D66" s="72">
        <v>5</v>
      </c>
      <c r="E66" s="72">
        <v>5</v>
      </c>
      <c r="F66" s="72">
        <v>5</v>
      </c>
      <c r="G66" s="72">
        <v>5</v>
      </c>
      <c r="H66" s="72"/>
      <c r="I66" s="72"/>
      <c r="J66" s="72">
        <v>5</v>
      </c>
      <c r="K66" s="72">
        <v>5</v>
      </c>
      <c r="L66" s="72">
        <v>5</v>
      </c>
      <c r="M66" s="72">
        <v>5</v>
      </c>
      <c r="N66" s="72">
        <v>5</v>
      </c>
      <c r="O66" s="72">
        <v>5</v>
      </c>
      <c r="P66" s="72">
        <v>5</v>
      </c>
      <c r="Q66" s="72">
        <v>5</v>
      </c>
      <c r="R66" s="72">
        <v>5</v>
      </c>
      <c r="S66" s="72">
        <v>5</v>
      </c>
      <c r="T66" s="72">
        <v>5</v>
      </c>
      <c r="U66" s="72">
        <v>5</v>
      </c>
      <c r="V66" s="72">
        <v>5</v>
      </c>
      <c r="W66" s="72">
        <v>5</v>
      </c>
      <c r="X66" s="72">
        <v>5</v>
      </c>
      <c r="Y66" s="72">
        <v>5</v>
      </c>
      <c r="Z66" s="72">
        <v>5</v>
      </c>
      <c r="AA66" s="72">
        <v>5</v>
      </c>
      <c r="AB66" s="72">
        <v>5</v>
      </c>
      <c r="AC66" s="72">
        <v>5</v>
      </c>
      <c r="AD66" s="72">
        <v>5</v>
      </c>
      <c r="AE66" s="72">
        <v>5</v>
      </c>
      <c r="AF66" s="72">
        <v>5</v>
      </c>
      <c r="AG66" s="140"/>
      <c r="AH66" s="54">
        <f t="shared" si="2"/>
        <v>5</v>
      </c>
      <c r="AI66" s="55">
        <f t="shared" si="3"/>
        <v>5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/>
      <c r="I67" s="72"/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1">
        <v>0</v>
      </c>
      <c r="D68" s="71">
        <v>0</v>
      </c>
      <c r="E68" s="71">
        <v>0</v>
      </c>
      <c r="F68" s="71">
        <v>0</v>
      </c>
      <c r="G68" s="71">
        <v>0</v>
      </c>
      <c r="H68" s="71"/>
      <c r="I68" s="71"/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1">
        <v>0</v>
      </c>
      <c r="D69" s="71">
        <v>0</v>
      </c>
      <c r="E69" s="71">
        <v>0</v>
      </c>
      <c r="F69" s="71">
        <v>0</v>
      </c>
      <c r="G69" s="71">
        <v>0</v>
      </c>
      <c r="H69" s="71"/>
      <c r="I69" s="71"/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4">
        <v>0</v>
      </c>
      <c r="C70" s="74">
        <v>0</v>
      </c>
      <c r="D70" s="74">
        <v>0</v>
      </c>
      <c r="E70" s="74">
        <v>0</v>
      </c>
      <c r="F70" s="74">
        <v>0</v>
      </c>
      <c r="G70" s="74">
        <v>0</v>
      </c>
      <c r="H70" s="74"/>
      <c r="I70" s="74"/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4">
        <v>0</v>
      </c>
      <c r="C71" s="74">
        <v>0</v>
      </c>
      <c r="D71" s="74">
        <v>0</v>
      </c>
      <c r="E71" s="74">
        <v>0</v>
      </c>
      <c r="F71" s="74">
        <v>0</v>
      </c>
      <c r="G71" s="74">
        <v>0</v>
      </c>
      <c r="H71" s="74"/>
      <c r="I71" s="74"/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>SUMIF(B61:B71,"&gt;0")</f>
        <v>29</v>
      </c>
      <c r="C72" s="66">
        <f t="shared" ref="C72:L72" si="9">SUMIF(C61:C71,"&gt;0")</f>
        <v>29</v>
      </c>
      <c r="D72" s="66">
        <f t="shared" si="9"/>
        <v>28</v>
      </c>
      <c r="E72" s="66">
        <f t="shared" si="9"/>
        <v>47.4</v>
      </c>
      <c r="F72" s="66">
        <f t="shared" si="9"/>
        <v>46.46</v>
      </c>
      <c r="G72" s="66">
        <f t="shared" si="9"/>
        <v>49.79</v>
      </c>
      <c r="H72" s="66">
        <f t="shared" si="9"/>
        <v>0</v>
      </c>
      <c r="I72" s="66">
        <f t="shared" si="9"/>
        <v>0</v>
      </c>
      <c r="J72" s="66">
        <f t="shared" si="9"/>
        <v>48.7</v>
      </c>
      <c r="K72" s="66">
        <f t="shared" si="9"/>
        <v>48.7</v>
      </c>
      <c r="L72" s="66">
        <f t="shared" si="9"/>
        <v>69.3</v>
      </c>
      <c r="M72" s="66">
        <f>SUMIF(M61:M71,"&gt;0")</f>
        <v>71.7</v>
      </c>
      <c r="N72" s="66">
        <f t="shared" ref="N72:AF72" si="10">SUMIF(N61:N71,"&gt;0")</f>
        <v>53.4</v>
      </c>
      <c r="O72" s="66">
        <f t="shared" si="10"/>
        <v>65.599999999999994</v>
      </c>
      <c r="P72" s="66">
        <f t="shared" si="10"/>
        <v>68.900000000000006</v>
      </c>
      <c r="Q72" s="66">
        <f t="shared" si="10"/>
        <v>66.400000000000006</v>
      </c>
      <c r="R72" s="66">
        <f t="shared" si="10"/>
        <v>65</v>
      </c>
      <c r="S72" s="66">
        <f t="shared" si="10"/>
        <v>70.599999999999994</v>
      </c>
      <c r="T72" s="66">
        <f t="shared" si="10"/>
        <v>64</v>
      </c>
      <c r="U72" s="66">
        <f t="shared" si="10"/>
        <v>70</v>
      </c>
      <c r="V72" s="66">
        <f t="shared" si="10"/>
        <v>60</v>
      </c>
      <c r="W72" s="66">
        <f t="shared" si="10"/>
        <v>55</v>
      </c>
      <c r="X72" s="66">
        <f t="shared" si="10"/>
        <v>48</v>
      </c>
      <c r="Y72" s="66">
        <f t="shared" si="10"/>
        <v>48</v>
      </c>
      <c r="Z72" s="66">
        <f t="shared" si="10"/>
        <v>52</v>
      </c>
      <c r="AA72" s="66">
        <f t="shared" si="10"/>
        <v>60</v>
      </c>
      <c r="AB72" s="66">
        <f t="shared" si="10"/>
        <v>72</v>
      </c>
      <c r="AC72" s="66">
        <f t="shared" si="10"/>
        <v>74.8</v>
      </c>
      <c r="AD72" s="66">
        <f t="shared" si="10"/>
        <v>74.5</v>
      </c>
      <c r="AE72" s="66">
        <f t="shared" si="10"/>
        <v>52.8</v>
      </c>
      <c r="AF72" s="66">
        <f t="shared" si="10"/>
        <v>36.6</v>
      </c>
      <c r="AG72" s="138">
        <f>SUM(AG61:AG71)</f>
        <v>0</v>
      </c>
      <c r="AH72" s="54">
        <f t="shared" si="2"/>
        <v>74.8</v>
      </c>
      <c r="AI72" s="55">
        <f t="shared" si="3"/>
        <v>0</v>
      </c>
      <c r="AK72" s="56"/>
    </row>
    <row r="73" spans="1:88" x14ac:dyDescent="0.25">
      <c r="A73" s="57" t="s">
        <v>53</v>
      </c>
      <c r="B73" s="71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/>
      <c r="I73" s="71"/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/>
      <c r="I74" s="72"/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>
        <v>0</v>
      </c>
      <c r="C75" s="74">
        <v>0</v>
      </c>
      <c r="D75" s="74">
        <v>0</v>
      </c>
      <c r="E75" s="74">
        <v>0</v>
      </c>
      <c r="F75" s="74">
        <v>0</v>
      </c>
      <c r="G75" s="74">
        <v>0</v>
      </c>
      <c r="H75" s="74"/>
      <c r="I75" s="74"/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>B38+B42+B60+B56+B72+B76</f>
        <v>1779.1399999999999</v>
      </c>
      <c r="C77" s="75">
        <f t="shared" ref="C77:AF77" si="11">C38+C42+C60+C56+C72+C76</f>
        <v>1779.1399999999999</v>
      </c>
      <c r="D77" s="75">
        <f t="shared" si="11"/>
        <v>1756.1399999999999</v>
      </c>
      <c r="E77" s="75">
        <f t="shared" si="11"/>
        <v>1779.54</v>
      </c>
      <c r="F77" s="75">
        <f t="shared" si="11"/>
        <v>1797.6</v>
      </c>
      <c r="G77" s="75">
        <f t="shared" si="11"/>
        <v>1764.33</v>
      </c>
      <c r="H77" s="75">
        <f t="shared" si="11"/>
        <v>3.54</v>
      </c>
      <c r="I77" s="75">
        <f t="shared" si="11"/>
        <v>3.54</v>
      </c>
      <c r="J77" s="75">
        <f t="shared" si="11"/>
        <v>1805.24</v>
      </c>
      <c r="K77" s="75">
        <f t="shared" si="11"/>
        <v>1790.54</v>
      </c>
      <c r="L77" s="75">
        <f t="shared" si="11"/>
        <v>1779.84</v>
      </c>
      <c r="M77" s="75">
        <f t="shared" si="11"/>
        <v>1779.34</v>
      </c>
      <c r="N77" s="75">
        <f t="shared" si="11"/>
        <v>1782.74</v>
      </c>
      <c r="O77" s="75">
        <f t="shared" si="11"/>
        <v>1796.6399999999999</v>
      </c>
      <c r="P77" s="75">
        <f t="shared" si="11"/>
        <v>1797.5400000000002</v>
      </c>
      <c r="Q77" s="75">
        <f t="shared" si="11"/>
        <v>1816.44</v>
      </c>
      <c r="R77" s="75">
        <f t="shared" si="11"/>
        <v>1817.8400000000001</v>
      </c>
      <c r="S77" s="75">
        <f t="shared" si="11"/>
        <v>1830.24</v>
      </c>
      <c r="T77" s="75">
        <f t="shared" si="11"/>
        <v>1838.54</v>
      </c>
      <c r="U77" s="75">
        <f t="shared" si="11"/>
        <v>1844.54</v>
      </c>
      <c r="V77" s="75">
        <f t="shared" si="11"/>
        <v>1834.54</v>
      </c>
      <c r="W77" s="75">
        <f t="shared" si="11"/>
        <v>1814.54</v>
      </c>
      <c r="X77" s="75">
        <f t="shared" si="11"/>
        <v>1807.54</v>
      </c>
      <c r="Y77" s="75">
        <f t="shared" si="11"/>
        <v>1807.54</v>
      </c>
      <c r="Z77" s="75">
        <f t="shared" si="11"/>
        <v>1811.54</v>
      </c>
      <c r="AA77" s="75">
        <f t="shared" si="11"/>
        <v>1864.44</v>
      </c>
      <c r="AB77" s="75">
        <f t="shared" si="11"/>
        <v>1865.54</v>
      </c>
      <c r="AC77" s="75">
        <f t="shared" si="11"/>
        <v>1851.24</v>
      </c>
      <c r="AD77" s="75">
        <f t="shared" si="11"/>
        <v>1849.94</v>
      </c>
      <c r="AE77" s="75">
        <f t="shared" si="11"/>
        <v>1831.24</v>
      </c>
      <c r="AF77" s="75">
        <f t="shared" si="11"/>
        <v>1785.44</v>
      </c>
      <c r="AG77" s="143">
        <f>AG38+AG42+AG60+AG56+AG72+AG76</f>
        <v>1855.1900000000003</v>
      </c>
      <c r="AH77" s="54">
        <f t="shared" si="2"/>
        <v>1865.54</v>
      </c>
      <c r="AI77" s="55">
        <f t="shared" si="3"/>
        <v>3.54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0</v>
      </c>
      <c r="AI78" s="55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>B77+B78</f>
        <v>1779.1399999999999</v>
      </c>
      <c r="C79" s="75">
        <f t="shared" ref="C79:AF79" si="12">C77+C78</f>
        <v>1779.1399999999999</v>
      </c>
      <c r="D79" s="75">
        <f t="shared" si="12"/>
        <v>1756.1399999999999</v>
      </c>
      <c r="E79" s="75">
        <f t="shared" si="12"/>
        <v>1779.54</v>
      </c>
      <c r="F79" s="75">
        <f t="shared" si="12"/>
        <v>1797.6</v>
      </c>
      <c r="G79" s="75">
        <f t="shared" si="12"/>
        <v>1764.33</v>
      </c>
      <c r="H79" s="75">
        <f t="shared" si="12"/>
        <v>3.54</v>
      </c>
      <c r="I79" s="75">
        <f t="shared" si="12"/>
        <v>3.54</v>
      </c>
      <c r="J79" s="75">
        <f t="shared" si="12"/>
        <v>1805.24</v>
      </c>
      <c r="K79" s="75">
        <f t="shared" si="12"/>
        <v>1790.54</v>
      </c>
      <c r="L79" s="75">
        <f t="shared" si="12"/>
        <v>1779.84</v>
      </c>
      <c r="M79" s="75">
        <f t="shared" si="12"/>
        <v>1779.34</v>
      </c>
      <c r="N79" s="75">
        <f t="shared" si="12"/>
        <v>1782.74</v>
      </c>
      <c r="O79" s="75">
        <f t="shared" si="12"/>
        <v>1796.6399999999999</v>
      </c>
      <c r="P79" s="75">
        <f t="shared" si="12"/>
        <v>1797.5400000000002</v>
      </c>
      <c r="Q79" s="75">
        <f t="shared" si="12"/>
        <v>1816.44</v>
      </c>
      <c r="R79" s="75">
        <f t="shared" si="12"/>
        <v>1817.8400000000001</v>
      </c>
      <c r="S79" s="75">
        <f t="shared" si="12"/>
        <v>1830.24</v>
      </c>
      <c r="T79" s="75">
        <f t="shared" si="12"/>
        <v>1838.54</v>
      </c>
      <c r="U79" s="75">
        <f t="shared" si="12"/>
        <v>1844.54</v>
      </c>
      <c r="V79" s="75">
        <f t="shared" si="12"/>
        <v>1834.54</v>
      </c>
      <c r="W79" s="75">
        <f t="shared" si="12"/>
        <v>1814.54</v>
      </c>
      <c r="X79" s="75">
        <f t="shared" si="12"/>
        <v>1807.54</v>
      </c>
      <c r="Y79" s="75">
        <f t="shared" si="12"/>
        <v>1807.54</v>
      </c>
      <c r="Z79" s="75">
        <f t="shared" si="12"/>
        <v>1811.54</v>
      </c>
      <c r="AA79" s="75">
        <f t="shared" si="12"/>
        <v>1864.44</v>
      </c>
      <c r="AB79" s="75">
        <f t="shared" si="12"/>
        <v>1865.54</v>
      </c>
      <c r="AC79" s="75">
        <f t="shared" si="12"/>
        <v>1851.24</v>
      </c>
      <c r="AD79" s="75">
        <f t="shared" si="12"/>
        <v>1849.94</v>
      </c>
      <c r="AE79" s="75">
        <f t="shared" si="12"/>
        <v>1831.24</v>
      </c>
      <c r="AF79" s="75">
        <f t="shared" si="12"/>
        <v>1785.44</v>
      </c>
      <c r="AG79" s="138">
        <f>AG76+AG72+AG60+AG56+AG38+AG78</f>
        <v>1317.0900000000001</v>
      </c>
      <c r="AH79" s="54">
        <f t="shared" si="2"/>
        <v>1865.54</v>
      </c>
      <c r="AI79" s="55">
        <f t="shared" si="3"/>
        <v>3.54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:AF80" si="13">B79-B87</f>
        <v>1483.1399999999999</v>
      </c>
      <c r="C80" s="75">
        <f t="shared" si="13"/>
        <v>1483.1399999999999</v>
      </c>
      <c r="D80" s="75">
        <f t="shared" si="13"/>
        <v>1428.1399999999999</v>
      </c>
      <c r="E80" s="75">
        <f t="shared" si="13"/>
        <v>1415.54</v>
      </c>
      <c r="F80" s="75">
        <f t="shared" si="13"/>
        <v>1394.3999999999999</v>
      </c>
      <c r="G80" s="75">
        <f t="shared" si="13"/>
        <v>1365.33</v>
      </c>
      <c r="H80" s="75">
        <f t="shared" si="13"/>
        <v>3.54</v>
      </c>
      <c r="I80" s="75">
        <f t="shared" si="13"/>
        <v>3.54</v>
      </c>
      <c r="J80" s="75">
        <f t="shared" si="13"/>
        <v>1437.24</v>
      </c>
      <c r="K80" s="75">
        <f t="shared" si="13"/>
        <v>1422.54</v>
      </c>
      <c r="L80" s="75">
        <f t="shared" si="13"/>
        <v>1397.84</v>
      </c>
      <c r="M80" s="75">
        <f t="shared" si="13"/>
        <v>1397.6399999999999</v>
      </c>
      <c r="N80" s="75">
        <f t="shared" si="13"/>
        <v>1406.94</v>
      </c>
      <c r="O80" s="75">
        <f t="shared" si="13"/>
        <v>1446.4399999999998</v>
      </c>
      <c r="P80" s="75">
        <f t="shared" si="13"/>
        <v>1497.5400000000002</v>
      </c>
      <c r="Q80" s="75">
        <f t="shared" si="13"/>
        <v>1510.94</v>
      </c>
      <c r="R80" s="75">
        <f t="shared" si="13"/>
        <v>1498.8400000000001</v>
      </c>
      <c r="S80" s="75">
        <f t="shared" si="13"/>
        <v>1501.24</v>
      </c>
      <c r="T80" s="75">
        <f t="shared" si="13"/>
        <v>1488.54</v>
      </c>
      <c r="U80" s="75">
        <f t="shared" si="13"/>
        <v>1477.54</v>
      </c>
      <c r="V80" s="75">
        <f t="shared" si="13"/>
        <v>1449.54</v>
      </c>
      <c r="W80" s="75">
        <f t="shared" si="13"/>
        <v>1438.54</v>
      </c>
      <c r="X80" s="75">
        <f t="shared" si="13"/>
        <v>1410.54</v>
      </c>
      <c r="Y80" s="75">
        <f t="shared" si="13"/>
        <v>1433.54</v>
      </c>
      <c r="Z80" s="75">
        <f t="shared" si="13"/>
        <v>1527.54</v>
      </c>
      <c r="AA80" s="75">
        <f t="shared" si="13"/>
        <v>1611.44</v>
      </c>
      <c r="AB80" s="75">
        <f t="shared" si="13"/>
        <v>1621.54</v>
      </c>
      <c r="AC80" s="75">
        <f t="shared" si="13"/>
        <v>1615.24</v>
      </c>
      <c r="AD80" s="75">
        <f t="shared" si="13"/>
        <v>1587.94</v>
      </c>
      <c r="AE80" s="75">
        <f t="shared" si="13"/>
        <v>1529.24</v>
      </c>
      <c r="AF80" s="75">
        <f t="shared" si="13"/>
        <v>1421.44</v>
      </c>
      <c r="AG80" s="138"/>
      <c r="AH80" s="54">
        <f t="shared" ref="AH80:AH97" si="14">MAX(B80:AF80)</f>
        <v>1621.54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>IF(B64&lt;0,B64*-1,0)</f>
        <v>0</v>
      </c>
      <c r="C81" s="71">
        <f t="shared" ref="C81:AF81" si="15">IF(C64&lt;0,C64*-1,0)</f>
        <v>0</v>
      </c>
      <c r="D81" s="71">
        <f t="shared" si="15"/>
        <v>0</v>
      </c>
      <c r="E81" s="71">
        <f t="shared" si="15"/>
        <v>0</v>
      </c>
      <c r="F81" s="71">
        <f t="shared" si="15"/>
        <v>0</v>
      </c>
      <c r="G81" s="71">
        <f t="shared" si="15"/>
        <v>0</v>
      </c>
      <c r="H81" s="71">
        <f t="shared" si="15"/>
        <v>0</v>
      </c>
      <c r="I81" s="71">
        <f t="shared" si="15"/>
        <v>0</v>
      </c>
      <c r="J81" s="71">
        <f t="shared" si="15"/>
        <v>0</v>
      </c>
      <c r="K81" s="71">
        <f t="shared" si="15"/>
        <v>0</v>
      </c>
      <c r="L81" s="71">
        <f t="shared" si="15"/>
        <v>0</v>
      </c>
      <c r="M81" s="71">
        <f t="shared" si="15"/>
        <v>0</v>
      </c>
      <c r="N81" s="71">
        <f t="shared" si="15"/>
        <v>0</v>
      </c>
      <c r="O81" s="71">
        <f t="shared" si="15"/>
        <v>0</v>
      </c>
      <c r="P81" s="71">
        <f t="shared" si="15"/>
        <v>0</v>
      </c>
      <c r="Q81" s="71">
        <f t="shared" si="15"/>
        <v>0</v>
      </c>
      <c r="R81" s="71">
        <f t="shared" si="15"/>
        <v>0</v>
      </c>
      <c r="S81" s="71">
        <f t="shared" si="15"/>
        <v>0</v>
      </c>
      <c r="T81" s="71">
        <f t="shared" si="15"/>
        <v>0</v>
      </c>
      <c r="U81" s="71">
        <f t="shared" si="15"/>
        <v>0</v>
      </c>
      <c r="V81" s="71">
        <f t="shared" si="15"/>
        <v>0</v>
      </c>
      <c r="W81" s="71">
        <f t="shared" si="15"/>
        <v>0</v>
      </c>
      <c r="X81" s="71">
        <f t="shared" si="15"/>
        <v>0</v>
      </c>
      <c r="Y81" s="71">
        <f t="shared" si="15"/>
        <v>0</v>
      </c>
      <c r="Z81" s="71">
        <f t="shared" si="15"/>
        <v>0</v>
      </c>
      <c r="AA81" s="71">
        <f t="shared" si="15"/>
        <v>0</v>
      </c>
      <c r="AB81" s="71">
        <f t="shared" si="15"/>
        <v>0</v>
      </c>
      <c r="AC81" s="71">
        <f t="shared" si="15"/>
        <v>0</v>
      </c>
      <c r="AD81" s="71">
        <f t="shared" si="15"/>
        <v>0</v>
      </c>
      <c r="AE81" s="71">
        <f t="shared" si="15"/>
        <v>0</v>
      </c>
      <c r="AF81" s="71">
        <f t="shared" si="15"/>
        <v>0</v>
      </c>
      <c r="AG81" s="135"/>
      <c r="AH81" s="54">
        <f t="shared" si="14"/>
        <v>0</v>
      </c>
      <c r="AI81" s="55">
        <f t="shared" ref="AI81:AI97" si="16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>IF(B62&lt;0,B62*-1,0)</f>
        <v>0</v>
      </c>
      <c r="C82" s="71">
        <f t="shared" ref="C82:AF82" si="17">IF(C62&lt;0,C62*-1,0)</f>
        <v>0</v>
      </c>
      <c r="D82" s="71">
        <f t="shared" si="17"/>
        <v>0</v>
      </c>
      <c r="E82" s="71">
        <f t="shared" si="17"/>
        <v>0</v>
      </c>
      <c r="F82" s="71">
        <f t="shared" si="17"/>
        <v>0</v>
      </c>
      <c r="G82" s="71">
        <f t="shared" si="17"/>
        <v>0</v>
      </c>
      <c r="H82" s="71">
        <f t="shared" si="17"/>
        <v>0</v>
      </c>
      <c r="I82" s="71">
        <f t="shared" si="17"/>
        <v>0</v>
      </c>
      <c r="J82" s="71">
        <f t="shared" si="17"/>
        <v>0</v>
      </c>
      <c r="K82" s="71">
        <f t="shared" si="17"/>
        <v>0</v>
      </c>
      <c r="L82" s="71">
        <f t="shared" si="17"/>
        <v>0</v>
      </c>
      <c r="M82" s="71">
        <f t="shared" si="17"/>
        <v>0</v>
      </c>
      <c r="N82" s="71">
        <f t="shared" si="17"/>
        <v>0</v>
      </c>
      <c r="O82" s="71">
        <f t="shared" si="17"/>
        <v>0</v>
      </c>
      <c r="P82" s="71">
        <f t="shared" si="17"/>
        <v>0</v>
      </c>
      <c r="Q82" s="71">
        <f t="shared" si="17"/>
        <v>0</v>
      </c>
      <c r="R82" s="71">
        <f t="shared" si="17"/>
        <v>0</v>
      </c>
      <c r="S82" s="71">
        <f t="shared" si="17"/>
        <v>0</v>
      </c>
      <c r="T82" s="71">
        <f t="shared" si="17"/>
        <v>0</v>
      </c>
      <c r="U82" s="71">
        <f t="shared" si="17"/>
        <v>0</v>
      </c>
      <c r="V82" s="71">
        <f t="shared" si="17"/>
        <v>0</v>
      </c>
      <c r="W82" s="71">
        <f t="shared" si="17"/>
        <v>0</v>
      </c>
      <c r="X82" s="71">
        <f t="shared" si="17"/>
        <v>0</v>
      </c>
      <c r="Y82" s="71">
        <f t="shared" si="17"/>
        <v>0</v>
      </c>
      <c r="Z82" s="71">
        <f t="shared" si="17"/>
        <v>0</v>
      </c>
      <c r="AA82" s="71">
        <f t="shared" si="17"/>
        <v>0</v>
      </c>
      <c r="AB82" s="71">
        <f t="shared" si="17"/>
        <v>0</v>
      </c>
      <c r="AC82" s="71">
        <f t="shared" si="17"/>
        <v>0</v>
      </c>
      <c r="AD82" s="71">
        <f t="shared" si="17"/>
        <v>0</v>
      </c>
      <c r="AE82" s="71">
        <f t="shared" si="17"/>
        <v>0</v>
      </c>
      <c r="AF82" s="71">
        <f t="shared" si="17"/>
        <v>0</v>
      </c>
      <c r="AG82" s="136"/>
      <c r="AH82" s="54">
        <f t="shared" si="14"/>
        <v>0</v>
      </c>
      <c r="AI82" s="55">
        <f t="shared" si="16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>IF(B65&lt;0,B65*-1,0)</f>
        <v>0</v>
      </c>
      <c r="C83" s="71">
        <f t="shared" ref="C83:AF83" si="18">IF(C65&lt;0,C65*-1,0)</f>
        <v>0</v>
      </c>
      <c r="D83" s="71">
        <f t="shared" si="18"/>
        <v>0</v>
      </c>
      <c r="E83" s="71">
        <f t="shared" si="18"/>
        <v>0</v>
      </c>
      <c r="F83" s="71">
        <f t="shared" si="18"/>
        <v>0</v>
      </c>
      <c r="G83" s="71">
        <f t="shared" si="18"/>
        <v>0</v>
      </c>
      <c r="H83" s="71">
        <f t="shared" si="18"/>
        <v>0</v>
      </c>
      <c r="I83" s="71">
        <f t="shared" si="18"/>
        <v>0</v>
      </c>
      <c r="J83" s="71">
        <f t="shared" si="18"/>
        <v>0</v>
      </c>
      <c r="K83" s="71">
        <f t="shared" si="18"/>
        <v>0</v>
      </c>
      <c r="L83" s="71">
        <f t="shared" si="18"/>
        <v>0</v>
      </c>
      <c r="M83" s="71">
        <f t="shared" si="18"/>
        <v>0</v>
      </c>
      <c r="N83" s="71">
        <f t="shared" si="18"/>
        <v>0</v>
      </c>
      <c r="O83" s="71">
        <f t="shared" si="18"/>
        <v>0</v>
      </c>
      <c r="P83" s="71">
        <f t="shared" si="18"/>
        <v>0</v>
      </c>
      <c r="Q83" s="71">
        <f t="shared" si="18"/>
        <v>0</v>
      </c>
      <c r="R83" s="71">
        <f t="shared" si="18"/>
        <v>0</v>
      </c>
      <c r="S83" s="71">
        <f t="shared" si="18"/>
        <v>0</v>
      </c>
      <c r="T83" s="71">
        <f t="shared" si="18"/>
        <v>0</v>
      </c>
      <c r="U83" s="71">
        <f t="shared" si="18"/>
        <v>0</v>
      </c>
      <c r="V83" s="71">
        <f t="shared" si="18"/>
        <v>0</v>
      </c>
      <c r="W83" s="71">
        <f t="shared" si="18"/>
        <v>0</v>
      </c>
      <c r="X83" s="71">
        <f t="shared" si="18"/>
        <v>0</v>
      </c>
      <c r="Y83" s="71">
        <f t="shared" si="18"/>
        <v>0</v>
      </c>
      <c r="Z83" s="71">
        <f t="shared" si="18"/>
        <v>0</v>
      </c>
      <c r="AA83" s="71">
        <f t="shared" si="18"/>
        <v>0</v>
      </c>
      <c r="AB83" s="71">
        <f t="shared" si="18"/>
        <v>0</v>
      </c>
      <c r="AC83" s="71">
        <f t="shared" si="18"/>
        <v>0</v>
      </c>
      <c r="AD83" s="71">
        <f t="shared" si="18"/>
        <v>0</v>
      </c>
      <c r="AE83" s="71">
        <f t="shared" si="18"/>
        <v>0</v>
      </c>
      <c r="AF83" s="71">
        <f t="shared" si="18"/>
        <v>0</v>
      </c>
      <c r="AG83" s="144"/>
      <c r="AH83" s="54">
        <f t="shared" si="14"/>
        <v>0</v>
      </c>
      <c r="AI83" s="55">
        <f t="shared" si="16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>IF(B63&lt;0,B63*-1,0)</f>
        <v>296</v>
      </c>
      <c r="C84" s="71">
        <f t="shared" ref="C84:AF84" si="19">IF(C63&lt;0,C63*-1,0)</f>
        <v>296</v>
      </c>
      <c r="D84" s="71">
        <f t="shared" si="19"/>
        <v>328</v>
      </c>
      <c r="E84" s="71">
        <f t="shared" si="19"/>
        <v>364</v>
      </c>
      <c r="F84" s="71">
        <f t="shared" si="19"/>
        <v>403.2</v>
      </c>
      <c r="G84" s="71">
        <f t="shared" si="19"/>
        <v>399</v>
      </c>
      <c r="H84" s="71">
        <f t="shared" si="19"/>
        <v>0</v>
      </c>
      <c r="I84" s="71">
        <f t="shared" si="19"/>
        <v>0</v>
      </c>
      <c r="J84" s="71">
        <f t="shared" si="19"/>
        <v>368</v>
      </c>
      <c r="K84" s="71">
        <f t="shared" si="19"/>
        <v>368</v>
      </c>
      <c r="L84" s="71">
        <f t="shared" si="19"/>
        <v>382</v>
      </c>
      <c r="M84" s="71">
        <f t="shared" si="19"/>
        <v>381.7</v>
      </c>
      <c r="N84" s="71">
        <f t="shared" si="19"/>
        <v>375.8</v>
      </c>
      <c r="O84" s="71">
        <f t="shared" si="19"/>
        <v>350.2</v>
      </c>
      <c r="P84" s="71">
        <f t="shared" si="19"/>
        <v>300</v>
      </c>
      <c r="Q84" s="71">
        <f t="shared" si="19"/>
        <v>305.5</v>
      </c>
      <c r="R84" s="71">
        <f t="shared" si="19"/>
        <v>319</v>
      </c>
      <c r="S84" s="71">
        <f t="shared" si="19"/>
        <v>329</v>
      </c>
      <c r="T84" s="71">
        <f t="shared" si="19"/>
        <v>350</v>
      </c>
      <c r="U84" s="71">
        <f t="shared" si="19"/>
        <v>367</v>
      </c>
      <c r="V84" s="71">
        <f t="shared" si="19"/>
        <v>385</v>
      </c>
      <c r="W84" s="71">
        <f t="shared" si="19"/>
        <v>376</v>
      </c>
      <c r="X84" s="71">
        <f t="shared" si="19"/>
        <v>397</v>
      </c>
      <c r="Y84" s="71">
        <f t="shared" si="19"/>
        <v>374</v>
      </c>
      <c r="Z84" s="71">
        <f t="shared" si="19"/>
        <v>284</v>
      </c>
      <c r="AA84" s="71">
        <f t="shared" si="19"/>
        <v>253</v>
      </c>
      <c r="AB84" s="71">
        <f t="shared" si="19"/>
        <v>244</v>
      </c>
      <c r="AC84" s="71">
        <f t="shared" si="19"/>
        <v>236</v>
      </c>
      <c r="AD84" s="71">
        <f t="shared" si="19"/>
        <v>262</v>
      </c>
      <c r="AE84" s="71">
        <f t="shared" si="19"/>
        <v>302</v>
      </c>
      <c r="AF84" s="71">
        <f t="shared" si="19"/>
        <v>364</v>
      </c>
      <c r="AG84" s="144"/>
      <c r="AH84" s="54">
        <f t="shared" si="14"/>
        <v>403.2</v>
      </c>
      <c r="AI84" s="55">
        <f t="shared" si="16"/>
        <v>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>IF(B61&lt;0,B61*-1,0)</f>
        <v>0</v>
      </c>
      <c r="C85" s="71">
        <f t="shared" ref="C85:AF85" si="20">IF(C61&lt;0,C61*-1,0)</f>
        <v>0</v>
      </c>
      <c r="D85" s="71">
        <f t="shared" si="20"/>
        <v>0</v>
      </c>
      <c r="E85" s="71">
        <f t="shared" si="20"/>
        <v>0</v>
      </c>
      <c r="F85" s="71">
        <f t="shared" si="20"/>
        <v>0</v>
      </c>
      <c r="G85" s="71">
        <f t="shared" si="20"/>
        <v>0</v>
      </c>
      <c r="H85" s="71">
        <f t="shared" si="20"/>
        <v>0</v>
      </c>
      <c r="I85" s="71">
        <f t="shared" si="20"/>
        <v>0</v>
      </c>
      <c r="J85" s="71">
        <f t="shared" si="20"/>
        <v>0</v>
      </c>
      <c r="K85" s="71">
        <f t="shared" si="20"/>
        <v>0</v>
      </c>
      <c r="L85" s="71">
        <f t="shared" si="20"/>
        <v>0</v>
      </c>
      <c r="M85" s="71">
        <f t="shared" si="20"/>
        <v>0</v>
      </c>
      <c r="N85" s="71">
        <f t="shared" si="20"/>
        <v>0</v>
      </c>
      <c r="O85" s="71">
        <f t="shared" si="20"/>
        <v>0</v>
      </c>
      <c r="P85" s="71">
        <f t="shared" si="20"/>
        <v>0</v>
      </c>
      <c r="Q85" s="71">
        <f t="shared" si="20"/>
        <v>0</v>
      </c>
      <c r="R85" s="71">
        <f t="shared" si="20"/>
        <v>0</v>
      </c>
      <c r="S85" s="71">
        <f t="shared" si="20"/>
        <v>0</v>
      </c>
      <c r="T85" s="71">
        <f t="shared" si="20"/>
        <v>0</v>
      </c>
      <c r="U85" s="71">
        <f t="shared" si="20"/>
        <v>0</v>
      </c>
      <c r="V85" s="71">
        <f t="shared" si="20"/>
        <v>0</v>
      </c>
      <c r="W85" s="71">
        <f t="shared" si="20"/>
        <v>0</v>
      </c>
      <c r="X85" s="71">
        <f t="shared" si="20"/>
        <v>0</v>
      </c>
      <c r="Y85" s="71">
        <f t="shared" si="20"/>
        <v>0</v>
      </c>
      <c r="Z85" s="71">
        <f t="shared" si="20"/>
        <v>0</v>
      </c>
      <c r="AA85" s="71">
        <f t="shared" si="20"/>
        <v>0</v>
      </c>
      <c r="AB85" s="71">
        <f t="shared" si="20"/>
        <v>0</v>
      </c>
      <c r="AC85" s="71">
        <f t="shared" si="20"/>
        <v>0</v>
      </c>
      <c r="AD85" s="71">
        <f t="shared" si="20"/>
        <v>0</v>
      </c>
      <c r="AE85" s="71">
        <f t="shared" si="20"/>
        <v>0</v>
      </c>
      <c r="AF85" s="71">
        <f t="shared" si="20"/>
        <v>0</v>
      </c>
      <c r="AG85" s="144"/>
      <c r="AH85" s="54">
        <f t="shared" si="14"/>
        <v>0</v>
      </c>
      <c r="AI85" s="55">
        <f t="shared" si="16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/>
      <c r="AD86" s="74"/>
      <c r="AE86" s="74"/>
      <c r="AF86" s="74"/>
      <c r="AG86" s="141"/>
      <c r="AH86" s="54">
        <f t="shared" si="14"/>
        <v>0</v>
      </c>
      <c r="AI86" s="55">
        <f t="shared" si="16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>SUM(B81:B86)</f>
        <v>296</v>
      </c>
      <c r="C87" s="66">
        <f t="shared" ref="C87:AF87" si="21">SUM(C81:C86)</f>
        <v>296</v>
      </c>
      <c r="D87" s="66">
        <f t="shared" si="21"/>
        <v>328</v>
      </c>
      <c r="E87" s="66">
        <f t="shared" si="21"/>
        <v>364</v>
      </c>
      <c r="F87" s="66">
        <f t="shared" si="21"/>
        <v>403.2</v>
      </c>
      <c r="G87" s="66">
        <f t="shared" si="21"/>
        <v>399</v>
      </c>
      <c r="H87" s="66">
        <f t="shared" si="21"/>
        <v>0</v>
      </c>
      <c r="I87" s="66">
        <f t="shared" si="21"/>
        <v>0</v>
      </c>
      <c r="J87" s="66">
        <f t="shared" si="21"/>
        <v>368</v>
      </c>
      <c r="K87" s="66">
        <f t="shared" si="21"/>
        <v>368</v>
      </c>
      <c r="L87" s="66">
        <f t="shared" si="21"/>
        <v>382</v>
      </c>
      <c r="M87" s="66">
        <f t="shared" si="21"/>
        <v>381.7</v>
      </c>
      <c r="N87" s="66">
        <f t="shared" si="21"/>
        <v>375.8</v>
      </c>
      <c r="O87" s="66">
        <f t="shared" si="21"/>
        <v>350.2</v>
      </c>
      <c r="P87" s="66">
        <f t="shared" si="21"/>
        <v>300</v>
      </c>
      <c r="Q87" s="66">
        <f t="shared" si="21"/>
        <v>305.5</v>
      </c>
      <c r="R87" s="66">
        <f t="shared" si="21"/>
        <v>319</v>
      </c>
      <c r="S87" s="66">
        <f t="shared" si="21"/>
        <v>329</v>
      </c>
      <c r="T87" s="66">
        <f t="shared" si="21"/>
        <v>350</v>
      </c>
      <c r="U87" s="66">
        <f t="shared" si="21"/>
        <v>367</v>
      </c>
      <c r="V87" s="66">
        <f t="shared" si="21"/>
        <v>385</v>
      </c>
      <c r="W87" s="66">
        <f t="shared" si="21"/>
        <v>376</v>
      </c>
      <c r="X87" s="66">
        <f t="shared" si="21"/>
        <v>397</v>
      </c>
      <c r="Y87" s="66">
        <f t="shared" si="21"/>
        <v>374</v>
      </c>
      <c r="Z87" s="66">
        <f t="shared" si="21"/>
        <v>284</v>
      </c>
      <c r="AA87" s="66">
        <f t="shared" si="21"/>
        <v>253</v>
      </c>
      <c r="AB87" s="66">
        <f t="shared" si="21"/>
        <v>244</v>
      </c>
      <c r="AC87" s="66">
        <f t="shared" si="21"/>
        <v>236</v>
      </c>
      <c r="AD87" s="66">
        <f t="shared" si="21"/>
        <v>262</v>
      </c>
      <c r="AE87" s="66">
        <f t="shared" si="21"/>
        <v>302</v>
      </c>
      <c r="AF87" s="66">
        <f t="shared" si="21"/>
        <v>364</v>
      </c>
      <c r="AG87" s="138"/>
      <c r="AH87" s="54">
        <f t="shared" si="14"/>
        <v>403.2</v>
      </c>
      <c r="AI87" s="55">
        <f t="shared" si="16"/>
        <v>0</v>
      </c>
      <c r="AK87" s="56"/>
    </row>
    <row r="88" spans="1:88" s="1" customFormat="1" ht="15.75" thickBot="1" x14ac:dyDescent="0.3">
      <c r="A88" s="65" t="s">
        <v>64</v>
      </c>
      <c r="B88" s="66">
        <f>B72-B87</f>
        <v>-267</v>
      </c>
      <c r="C88" s="66">
        <f t="shared" ref="C88:AF88" si="22">C72-C87</f>
        <v>-267</v>
      </c>
      <c r="D88" s="66">
        <f t="shared" si="22"/>
        <v>-300</v>
      </c>
      <c r="E88" s="66">
        <f t="shared" si="22"/>
        <v>-316.60000000000002</v>
      </c>
      <c r="F88" s="66">
        <f t="shared" si="22"/>
        <v>-356.74</v>
      </c>
      <c r="G88" s="66">
        <f t="shared" si="22"/>
        <v>-349.21</v>
      </c>
      <c r="H88" s="66">
        <f t="shared" si="22"/>
        <v>0</v>
      </c>
      <c r="I88" s="66">
        <f t="shared" si="22"/>
        <v>0</v>
      </c>
      <c r="J88" s="66">
        <f t="shared" si="22"/>
        <v>-319.3</v>
      </c>
      <c r="K88" s="66">
        <f t="shared" si="22"/>
        <v>-319.3</v>
      </c>
      <c r="L88" s="66">
        <f t="shared" si="22"/>
        <v>-312.7</v>
      </c>
      <c r="M88" s="66">
        <f t="shared" si="22"/>
        <v>-310</v>
      </c>
      <c r="N88" s="66">
        <f t="shared" si="22"/>
        <v>-322.40000000000003</v>
      </c>
      <c r="O88" s="66">
        <f t="shared" si="22"/>
        <v>-284.60000000000002</v>
      </c>
      <c r="P88" s="66">
        <f t="shared" si="22"/>
        <v>-231.1</v>
      </c>
      <c r="Q88" s="66">
        <f t="shared" si="22"/>
        <v>-239.1</v>
      </c>
      <c r="R88" s="66">
        <f t="shared" si="22"/>
        <v>-254</v>
      </c>
      <c r="S88" s="66">
        <f t="shared" si="22"/>
        <v>-258.39999999999998</v>
      </c>
      <c r="T88" s="66">
        <f t="shared" si="22"/>
        <v>-286</v>
      </c>
      <c r="U88" s="66">
        <f t="shared" si="22"/>
        <v>-297</v>
      </c>
      <c r="V88" s="66">
        <f t="shared" si="22"/>
        <v>-325</v>
      </c>
      <c r="W88" s="66">
        <f t="shared" si="22"/>
        <v>-321</v>
      </c>
      <c r="X88" s="66">
        <f t="shared" si="22"/>
        <v>-349</v>
      </c>
      <c r="Y88" s="66">
        <f t="shared" si="22"/>
        <v>-326</v>
      </c>
      <c r="Z88" s="66">
        <f t="shared" si="22"/>
        <v>-232</v>
      </c>
      <c r="AA88" s="66">
        <f t="shared" si="22"/>
        <v>-193</v>
      </c>
      <c r="AB88" s="66">
        <f t="shared" si="22"/>
        <v>-172</v>
      </c>
      <c r="AC88" s="66">
        <f t="shared" si="22"/>
        <v>-161.19999999999999</v>
      </c>
      <c r="AD88" s="66">
        <f t="shared" si="22"/>
        <v>-187.5</v>
      </c>
      <c r="AE88" s="66">
        <f t="shared" si="22"/>
        <v>-249.2</v>
      </c>
      <c r="AF88" s="66">
        <f t="shared" si="22"/>
        <v>-327.39999999999998</v>
      </c>
      <c r="AG88" s="138"/>
      <c r="AH88" s="54">
        <f t="shared" si="14"/>
        <v>0</v>
      </c>
      <c r="AI88" s="55">
        <f t="shared" si="16"/>
        <v>-356.74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/>
      <c r="C89" s="80">
        <v>50.031999999999996</v>
      </c>
      <c r="D89" s="80">
        <v>50.005000000000003</v>
      </c>
      <c r="E89" s="80">
        <v>50.021000000000001</v>
      </c>
      <c r="F89" s="80">
        <v>49.957000000000001</v>
      </c>
      <c r="G89" s="80">
        <v>49.984999999999999</v>
      </c>
      <c r="H89" s="80"/>
      <c r="I89" s="80"/>
      <c r="J89" s="80"/>
      <c r="K89" s="80">
        <v>50.023000000000003</v>
      </c>
      <c r="L89" s="80">
        <v>49.997999999999998</v>
      </c>
      <c r="M89" s="80">
        <v>50.006999999999998</v>
      </c>
      <c r="N89" s="80">
        <v>50.01</v>
      </c>
      <c r="O89" s="80">
        <v>50.015999999999998</v>
      </c>
      <c r="P89" s="80">
        <v>49.981999999999999</v>
      </c>
      <c r="Q89" s="80">
        <v>50.03</v>
      </c>
      <c r="R89" s="80">
        <v>49.917000000000002</v>
      </c>
      <c r="S89" s="80">
        <v>49.72</v>
      </c>
      <c r="T89" s="80">
        <v>49.76</v>
      </c>
      <c r="U89" s="80">
        <v>50.04</v>
      </c>
      <c r="V89" s="80">
        <v>50.04</v>
      </c>
      <c r="W89" s="80">
        <v>50.04</v>
      </c>
      <c r="X89" s="80">
        <v>49.972999999999999</v>
      </c>
      <c r="Y89" s="80">
        <v>50.02</v>
      </c>
      <c r="Z89" s="80">
        <v>50.02</v>
      </c>
      <c r="AA89" s="80">
        <v>50.02</v>
      </c>
      <c r="AB89" s="80">
        <v>49.970999999999997</v>
      </c>
      <c r="AC89" s="80">
        <v>49.996000000000002</v>
      </c>
      <c r="AD89" s="80">
        <v>50.024999999999999</v>
      </c>
      <c r="AE89" s="80">
        <v>50.015000000000001</v>
      </c>
      <c r="AF89" s="80">
        <v>50.023000000000003</v>
      </c>
      <c r="AG89" s="145"/>
      <c r="AH89" s="54">
        <f t="shared" si="14"/>
        <v>50.04</v>
      </c>
      <c r="AI89" s="55">
        <f t="shared" si="16"/>
        <v>49.72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/>
      <c r="C90" s="48"/>
      <c r="D90" s="48"/>
      <c r="E90" s="48"/>
      <c r="F90" s="48"/>
      <c r="G90" s="48"/>
      <c r="H90" s="48"/>
      <c r="I90" s="48"/>
      <c r="J90" s="48"/>
      <c r="K90" s="48">
        <v>124.6</v>
      </c>
      <c r="L90" s="48">
        <v>123.4</v>
      </c>
      <c r="M90" s="48">
        <v>123</v>
      </c>
      <c r="N90" s="48">
        <v>123.6</v>
      </c>
      <c r="O90" s="48">
        <v>123</v>
      </c>
      <c r="P90" s="48">
        <v>122.7</v>
      </c>
      <c r="Q90" s="48">
        <v>120.3</v>
      </c>
      <c r="R90" s="48">
        <v>121.8</v>
      </c>
      <c r="S90" s="48">
        <v>121.6</v>
      </c>
      <c r="T90" s="48">
        <v>120.3</v>
      </c>
      <c r="U90" s="48">
        <v>124</v>
      </c>
      <c r="V90" s="48">
        <v>124</v>
      </c>
      <c r="W90" s="48">
        <v>124</v>
      </c>
      <c r="X90" s="48">
        <v>126</v>
      </c>
      <c r="Y90" s="48">
        <v>125</v>
      </c>
      <c r="Z90" s="48">
        <v>125</v>
      </c>
      <c r="AA90" s="48">
        <v>125</v>
      </c>
      <c r="AB90" s="48">
        <v>124</v>
      </c>
      <c r="AC90" s="48">
        <v>124</v>
      </c>
      <c r="AD90" s="48">
        <v>124</v>
      </c>
      <c r="AE90" s="48">
        <v>124</v>
      </c>
      <c r="AF90" s="48">
        <v>124</v>
      </c>
      <c r="AG90" s="146"/>
      <c r="AH90" s="54">
        <f t="shared" si="14"/>
        <v>126</v>
      </c>
      <c r="AI90" s="55">
        <f t="shared" si="16"/>
        <v>120.3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/>
      <c r="C91" s="48"/>
      <c r="D91" s="48"/>
      <c r="E91" s="48"/>
      <c r="F91" s="48"/>
      <c r="G91" s="48"/>
      <c r="H91" s="48"/>
      <c r="I91" s="48"/>
      <c r="J91" s="48"/>
      <c r="K91" s="48">
        <v>128.1</v>
      </c>
      <c r="L91" s="48">
        <v>126.7</v>
      </c>
      <c r="M91" s="48">
        <v>126.7</v>
      </c>
      <c r="N91" s="48">
        <v>127.1</v>
      </c>
      <c r="O91" s="48">
        <v>126.7</v>
      </c>
      <c r="P91" s="48">
        <v>126.3</v>
      </c>
      <c r="Q91" s="48">
        <v>124.6</v>
      </c>
      <c r="R91" s="48">
        <v>126.1</v>
      </c>
      <c r="S91" s="48">
        <v>125.2</v>
      </c>
      <c r="T91" s="48">
        <v>124.4</v>
      </c>
      <c r="U91" s="48">
        <v>128</v>
      </c>
      <c r="V91" s="48">
        <v>128</v>
      </c>
      <c r="W91" s="48">
        <v>128</v>
      </c>
      <c r="X91" s="48">
        <v>129</v>
      </c>
      <c r="Y91" s="48">
        <v>129</v>
      </c>
      <c r="Z91" s="48">
        <v>129</v>
      </c>
      <c r="AA91" s="48">
        <v>129</v>
      </c>
      <c r="AB91" s="48">
        <v>129</v>
      </c>
      <c r="AC91" s="48">
        <v>129</v>
      </c>
      <c r="AD91" s="48">
        <v>129</v>
      </c>
      <c r="AE91" s="48">
        <v>129</v>
      </c>
      <c r="AF91" s="48">
        <v>129</v>
      </c>
      <c r="AG91" s="146"/>
      <c r="AH91" s="54">
        <f t="shared" si="14"/>
        <v>129</v>
      </c>
      <c r="AI91" s="55">
        <f t="shared" si="16"/>
        <v>124.4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/>
      <c r="C92" s="48"/>
      <c r="D92" s="48"/>
      <c r="E92" s="48"/>
      <c r="F92" s="48"/>
      <c r="G92" s="48"/>
      <c r="H92" s="48"/>
      <c r="I92" s="48"/>
      <c r="J92" s="48"/>
      <c r="K92" s="48">
        <v>128.4</v>
      </c>
      <c r="L92" s="48">
        <v>125.9</v>
      </c>
      <c r="M92" s="48">
        <v>128.80000000000001</v>
      </c>
      <c r="N92" s="48">
        <v>129.4</v>
      </c>
      <c r="O92" s="48">
        <v>127</v>
      </c>
      <c r="P92" s="48">
        <v>129.4</v>
      </c>
      <c r="Q92" s="48">
        <v>129.4</v>
      </c>
      <c r="R92" s="48">
        <v>126.2</v>
      </c>
      <c r="S92" s="48">
        <v>128</v>
      </c>
      <c r="T92" s="48">
        <v>127</v>
      </c>
      <c r="U92" s="48">
        <v>129</v>
      </c>
      <c r="V92" s="48">
        <v>129</v>
      </c>
      <c r="W92" s="48">
        <v>129</v>
      </c>
      <c r="X92" s="48">
        <v>130</v>
      </c>
      <c r="Y92" s="48">
        <v>19</v>
      </c>
      <c r="Z92" s="48">
        <v>19</v>
      </c>
      <c r="AA92" s="48">
        <v>19</v>
      </c>
      <c r="AB92" s="48">
        <v>129</v>
      </c>
      <c r="AC92" s="48">
        <v>129</v>
      </c>
      <c r="AD92" s="48">
        <v>129</v>
      </c>
      <c r="AE92" s="48">
        <v>127.6</v>
      </c>
      <c r="AF92" s="48">
        <v>126</v>
      </c>
      <c r="AG92" s="146"/>
      <c r="AH92" s="54">
        <f t="shared" si="14"/>
        <v>130</v>
      </c>
      <c r="AI92" s="55">
        <f t="shared" si="16"/>
        <v>19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/>
      <c r="C93" s="48"/>
      <c r="D93" s="48">
        <v>135</v>
      </c>
      <c r="E93" s="48">
        <v>134.5</v>
      </c>
      <c r="F93" s="48">
        <v>136.5</v>
      </c>
      <c r="G93" s="48">
        <v>133.80000000000001</v>
      </c>
      <c r="H93" s="48"/>
      <c r="I93" s="48"/>
      <c r="J93" s="48"/>
      <c r="K93" s="48"/>
      <c r="L93" s="48">
        <v>130.30000000000001</v>
      </c>
      <c r="M93" s="48">
        <v>133.30000000000001</v>
      </c>
      <c r="N93" s="48">
        <v>134</v>
      </c>
      <c r="O93" s="48">
        <v>131.4</v>
      </c>
      <c r="P93" s="48">
        <v>133.5</v>
      </c>
      <c r="Q93" s="48">
        <v>134.19999999999999</v>
      </c>
      <c r="R93" s="48">
        <v>133.4</v>
      </c>
      <c r="S93" s="48">
        <v>132</v>
      </c>
      <c r="T93" s="48">
        <v>131.6</v>
      </c>
      <c r="U93" s="48">
        <v>134.6</v>
      </c>
      <c r="V93" s="48">
        <v>134.6</v>
      </c>
      <c r="W93" s="48">
        <v>134.6</v>
      </c>
      <c r="X93" s="48">
        <v>135</v>
      </c>
      <c r="Y93" s="48">
        <v>135</v>
      </c>
      <c r="Z93" s="48">
        <v>135</v>
      </c>
      <c r="AA93" s="48">
        <v>135</v>
      </c>
      <c r="AB93" s="48">
        <v>134</v>
      </c>
      <c r="AC93" s="48">
        <v>134</v>
      </c>
      <c r="AD93" s="48">
        <v>134</v>
      </c>
      <c r="AE93" s="48">
        <v>132</v>
      </c>
      <c r="AF93" s="48">
        <v>131.6</v>
      </c>
      <c r="AG93" s="146"/>
      <c r="AH93" s="54">
        <f t="shared" si="14"/>
        <v>136.5</v>
      </c>
      <c r="AI93" s="55">
        <f t="shared" si="16"/>
        <v>130.30000000000001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/>
      <c r="C94" s="82"/>
      <c r="D94" s="82"/>
      <c r="E94" s="82"/>
      <c r="F94" s="82"/>
      <c r="G94" s="82"/>
      <c r="H94" s="82"/>
      <c r="I94" s="82"/>
      <c r="J94" s="82"/>
      <c r="K94" s="82">
        <v>133.4</v>
      </c>
      <c r="L94" s="82">
        <v>129.9</v>
      </c>
      <c r="M94" s="82">
        <v>133.30000000000001</v>
      </c>
      <c r="N94" s="82">
        <v>133.6</v>
      </c>
      <c r="O94" s="82">
        <v>135.6</v>
      </c>
      <c r="P94" s="82">
        <v>133.30000000000001</v>
      </c>
      <c r="Q94" s="82">
        <v>133.4</v>
      </c>
      <c r="R94" s="82">
        <v>135.5</v>
      </c>
      <c r="S94" s="82">
        <v>132</v>
      </c>
      <c r="T94" s="82">
        <v>130</v>
      </c>
      <c r="U94" s="82">
        <v>133</v>
      </c>
      <c r="V94" s="82">
        <v>133</v>
      </c>
      <c r="W94" s="82">
        <v>133</v>
      </c>
      <c r="X94" s="82">
        <v>135</v>
      </c>
      <c r="Y94" s="82">
        <v>132</v>
      </c>
      <c r="Z94" s="82">
        <v>132</v>
      </c>
      <c r="AA94" s="82">
        <v>132</v>
      </c>
      <c r="AB94" s="82">
        <v>132</v>
      </c>
      <c r="AC94" s="82">
        <v>132</v>
      </c>
      <c r="AD94" s="82">
        <v>132</v>
      </c>
      <c r="AE94" s="82">
        <v>131.6</v>
      </c>
      <c r="AF94" s="82">
        <v>127.5</v>
      </c>
      <c r="AG94" s="147"/>
      <c r="AH94" s="54">
        <f t="shared" si="14"/>
        <v>135.6</v>
      </c>
      <c r="AI94" s="55">
        <f t="shared" si="16"/>
        <v>127.5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/>
      <c r="C95" s="48"/>
      <c r="D95" s="48"/>
      <c r="E95" s="48"/>
      <c r="F95" s="48"/>
      <c r="G95" s="48"/>
      <c r="H95" s="48"/>
      <c r="I95" s="48"/>
      <c r="J95" s="48"/>
      <c r="K95" s="48">
        <v>130.9</v>
      </c>
      <c r="L95" s="48">
        <v>132.69999999999999</v>
      </c>
      <c r="M95" s="48">
        <v>127.6</v>
      </c>
      <c r="N95" s="48">
        <v>123.7</v>
      </c>
      <c r="O95" s="48">
        <v>134</v>
      </c>
      <c r="P95" s="48">
        <v>131.1</v>
      </c>
      <c r="Q95" s="48">
        <v>120.4</v>
      </c>
      <c r="R95" s="48">
        <v>134.30000000000001</v>
      </c>
      <c r="S95" s="48">
        <v>122</v>
      </c>
      <c r="T95" s="48">
        <v>123</v>
      </c>
      <c r="U95" s="48">
        <v>130</v>
      </c>
      <c r="V95" s="48">
        <v>130</v>
      </c>
      <c r="W95" s="48">
        <v>130</v>
      </c>
      <c r="X95" s="48">
        <v>131</v>
      </c>
      <c r="Y95" s="48">
        <v>130</v>
      </c>
      <c r="Z95" s="48">
        <v>130</v>
      </c>
      <c r="AA95" s="48">
        <v>130</v>
      </c>
      <c r="AB95" s="48">
        <v>125</v>
      </c>
      <c r="AC95" s="48">
        <v>125</v>
      </c>
      <c r="AD95" s="48">
        <v>125</v>
      </c>
      <c r="AE95" s="48">
        <v>126</v>
      </c>
      <c r="AF95" s="48">
        <v>118</v>
      </c>
      <c r="AG95" s="146"/>
      <c r="AH95" s="54">
        <f t="shared" si="14"/>
        <v>134.30000000000001</v>
      </c>
      <c r="AI95" s="55">
        <f t="shared" si="16"/>
        <v>118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/>
      <c r="C96" s="83"/>
      <c r="D96" s="83"/>
      <c r="E96" s="83"/>
      <c r="F96" s="83"/>
      <c r="G96" s="83"/>
      <c r="H96" s="83"/>
      <c r="I96" s="83"/>
      <c r="J96" s="83"/>
      <c r="K96" s="83">
        <v>64.599999999999994</v>
      </c>
      <c r="L96" s="83">
        <v>63.9</v>
      </c>
      <c r="M96" s="83">
        <v>63.7</v>
      </c>
      <c r="N96" s="83">
        <v>64.2</v>
      </c>
      <c r="O96" s="83">
        <v>63.8</v>
      </c>
      <c r="P96" s="83">
        <v>63.5</v>
      </c>
      <c r="Q96" s="83">
        <v>62.5</v>
      </c>
      <c r="R96" s="83">
        <v>63.3</v>
      </c>
      <c r="S96" s="83">
        <v>63</v>
      </c>
      <c r="T96" s="83">
        <v>63</v>
      </c>
      <c r="U96" s="83">
        <v>64.400000000000006</v>
      </c>
      <c r="V96" s="83">
        <v>64.400000000000006</v>
      </c>
      <c r="W96" s="83">
        <v>64.400000000000006</v>
      </c>
      <c r="X96" s="83">
        <v>65.3</v>
      </c>
      <c r="Y96" s="83">
        <v>65</v>
      </c>
      <c r="Z96" s="83">
        <v>65</v>
      </c>
      <c r="AA96" s="83">
        <v>65</v>
      </c>
      <c r="AB96" s="83">
        <v>64.900000000000006</v>
      </c>
      <c r="AC96" s="83">
        <v>64.900000000000006</v>
      </c>
      <c r="AD96" s="83">
        <v>64.900000000000006</v>
      </c>
      <c r="AE96" s="83">
        <v>65</v>
      </c>
      <c r="AF96" s="83">
        <v>65.3</v>
      </c>
      <c r="AG96" s="148"/>
      <c r="AH96" s="54">
        <f t="shared" si="14"/>
        <v>65.3</v>
      </c>
      <c r="AI96" s="55">
        <f t="shared" si="16"/>
        <v>62.5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14"/>
        <v>0</v>
      </c>
      <c r="AI97" s="55">
        <f t="shared" si="16"/>
        <v>0</v>
      </c>
    </row>
    <row r="98" spans="1:37" ht="15.75" thickBot="1" x14ac:dyDescent="0.3">
      <c r="A98" s="85" t="s">
        <v>73</v>
      </c>
      <c r="B98" s="86">
        <f t="shared" ref="B98:AF98" si="23">SUM(B15,B18,B21:B22,B46,B48:B49,B51,B53,B99:B102,B123,B129,B135,B144,B146,B158,B165,B168:B169,B176,B178,B180,B184:B186,B188:B190,B195,B201:B202,B204:B206,B214,B219)</f>
        <v>172.10000000000002</v>
      </c>
      <c r="C98" s="86">
        <f t="shared" si="23"/>
        <v>173.04000000000002</v>
      </c>
      <c r="D98" s="86">
        <f t="shared" si="23"/>
        <v>170.04000000000002</v>
      </c>
      <c r="E98" s="86">
        <f t="shared" si="23"/>
        <v>174.04000000000002</v>
      </c>
      <c r="F98" s="86">
        <f t="shared" si="23"/>
        <v>168.04000000000002</v>
      </c>
      <c r="G98" s="86">
        <f t="shared" si="23"/>
        <v>163.04000000000002</v>
      </c>
      <c r="H98" s="86">
        <f t="shared" si="23"/>
        <v>0.94</v>
      </c>
      <c r="I98" s="86">
        <f t="shared" si="23"/>
        <v>0.94</v>
      </c>
      <c r="J98" s="86">
        <f t="shared" si="23"/>
        <v>168.04000000000002</v>
      </c>
      <c r="K98" s="86">
        <f t="shared" si="23"/>
        <v>135.14000000000004</v>
      </c>
      <c r="L98" s="86">
        <f t="shared" si="23"/>
        <v>186.24000000000004</v>
      </c>
      <c r="M98" s="86">
        <f t="shared" si="23"/>
        <v>199.14000000000001</v>
      </c>
      <c r="N98" s="86">
        <f t="shared" si="23"/>
        <v>163.74000000000004</v>
      </c>
      <c r="O98" s="86">
        <f t="shared" si="23"/>
        <v>153.64000000000001</v>
      </c>
      <c r="P98" s="86">
        <f t="shared" si="23"/>
        <v>160.04000000000002</v>
      </c>
      <c r="Q98" s="86">
        <f t="shared" si="23"/>
        <v>163.30000000000004</v>
      </c>
      <c r="R98" s="86">
        <f t="shared" si="23"/>
        <v>160.40000000000003</v>
      </c>
      <c r="S98" s="86">
        <f t="shared" si="23"/>
        <v>165.60000000000002</v>
      </c>
      <c r="T98" s="86">
        <f t="shared" si="23"/>
        <v>159.00000000000003</v>
      </c>
      <c r="U98" s="86">
        <f t="shared" si="23"/>
        <v>167.00000000000003</v>
      </c>
      <c r="V98" s="86">
        <f t="shared" si="23"/>
        <v>159.60000000000002</v>
      </c>
      <c r="W98" s="86">
        <f t="shared" si="23"/>
        <v>140.60000000000002</v>
      </c>
      <c r="X98" s="86">
        <f t="shared" si="23"/>
        <v>145.60000000000002</v>
      </c>
      <c r="Y98" s="86">
        <f t="shared" si="23"/>
        <v>157.60000000000002</v>
      </c>
      <c r="Z98" s="86">
        <f t="shared" si="23"/>
        <v>198.60000000000002</v>
      </c>
      <c r="AA98" s="86">
        <f t="shared" si="23"/>
        <v>218.60000000000002</v>
      </c>
      <c r="AB98" s="86">
        <f t="shared" si="23"/>
        <v>168.60000000000002</v>
      </c>
      <c r="AC98" s="86">
        <f t="shared" si="23"/>
        <v>183.00000000000003</v>
      </c>
      <c r="AD98" s="86">
        <f t="shared" si="23"/>
        <v>149.70000000000002</v>
      </c>
      <c r="AE98" s="86">
        <f t="shared" si="23"/>
        <v>109.30000000000003</v>
      </c>
      <c r="AF98" s="86">
        <f t="shared" si="23"/>
        <v>45.400000000000027</v>
      </c>
      <c r="AG98" s="150"/>
      <c r="AH98" s="54">
        <f>MAX(C98:AF98)</f>
        <v>218.60000000000002</v>
      </c>
      <c r="AI98" s="55">
        <f>MIN(C98:AF98)</f>
        <v>0.94</v>
      </c>
    </row>
    <row r="99" spans="1:37" x14ac:dyDescent="0.25">
      <c r="A99" s="170" t="s">
        <v>74</v>
      </c>
      <c r="B99" s="87"/>
      <c r="C99" s="87"/>
      <c r="D99" s="87"/>
      <c r="E99" s="87"/>
      <c r="F99" s="87"/>
      <c r="G99" s="87"/>
      <c r="H99" s="87"/>
      <c r="I99" s="87"/>
      <c r="J99" s="87"/>
      <c r="K99" s="87">
        <v>12.3</v>
      </c>
      <c r="L99" s="87">
        <v>20.9</v>
      </c>
      <c r="M99" s="87">
        <v>35.700000000000003</v>
      </c>
      <c r="N99" s="87">
        <v>35.700000000000003</v>
      </c>
      <c r="O99" s="87">
        <v>34.700000000000003</v>
      </c>
      <c r="P99" s="87">
        <v>29.8</v>
      </c>
      <c r="Q99" s="87">
        <v>35.700000000000003</v>
      </c>
      <c r="R99" s="87">
        <v>33.299999999999997</v>
      </c>
      <c r="S99" s="87">
        <v>42</v>
      </c>
      <c r="T99" s="87">
        <v>44</v>
      </c>
      <c r="U99" s="87">
        <v>44</v>
      </c>
      <c r="V99" s="87">
        <v>45</v>
      </c>
      <c r="W99" s="87">
        <v>40</v>
      </c>
      <c r="X99" s="87">
        <v>30</v>
      </c>
      <c r="Y99" s="87">
        <v>37</v>
      </c>
      <c r="Z99" s="87">
        <v>37</v>
      </c>
      <c r="AA99" s="87">
        <v>34</v>
      </c>
      <c r="AB99" s="87">
        <v>23</v>
      </c>
      <c r="AC99" s="87">
        <v>24.5</v>
      </c>
      <c r="AD99" s="87">
        <v>22.4</v>
      </c>
      <c r="AE99" s="87">
        <v>18.399999999999999</v>
      </c>
      <c r="AF99" s="87">
        <v>18.399999999999999</v>
      </c>
      <c r="AG99" s="151">
        <v>75</v>
      </c>
      <c r="AH99" s="54">
        <f t="shared" ref="AH99:AH105" si="24">IF(ABS(MAX(C99:AF99))&gt;ABS(MIN(C99:AF99)),MAX(C99:AF99),MIN(C99:AF99))</f>
        <v>45</v>
      </c>
      <c r="AI99" s="89">
        <f t="shared" ref="AI99:AI105" si="25">INDEX($C$9:$AF$9,1,MATCH(AH99,C99:AF99,0))</f>
        <v>0.70833333333333304</v>
      </c>
    </row>
    <row r="100" spans="1:37" x14ac:dyDescent="0.25">
      <c r="A100" s="163" t="s">
        <v>75</v>
      </c>
      <c r="B100" s="90"/>
      <c r="C100" s="90"/>
      <c r="D100" s="90"/>
      <c r="E100" s="90"/>
      <c r="F100" s="90"/>
      <c r="G100" s="90"/>
      <c r="H100" s="90"/>
      <c r="I100" s="90"/>
      <c r="J100" s="90"/>
      <c r="K100" s="90">
        <f>-42.5-40</f>
        <v>-82.5</v>
      </c>
      <c r="L100" s="90">
        <f>-40-38</f>
        <v>-78</v>
      </c>
      <c r="M100" s="90">
        <v>-38.799999999999997</v>
      </c>
      <c r="N100" s="90">
        <v>-73.599999999999994</v>
      </c>
      <c r="O100" s="90">
        <v>-69.8</v>
      </c>
      <c r="P100" s="90">
        <v>-57.9</v>
      </c>
      <c r="Q100" s="90">
        <v>-71.5</v>
      </c>
      <c r="R100" s="90">
        <v>-71</v>
      </c>
      <c r="S100" s="90">
        <v>-76</v>
      </c>
      <c r="T100" s="90">
        <v>-87</v>
      </c>
      <c r="U100" s="90">
        <v>-80</v>
      </c>
      <c r="V100" s="90">
        <v>-85</v>
      </c>
      <c r="W100" s="90">
        <v>-83</v>
      </c>
      <c r="X100" s="90">
        <v>-71</v>
      </c>
      <c r="Y100" s="90">
        <v>-67</v>
      </c>
      <c r="Z100" s="90">
        <v>-30</v>
      </c>
      <c r="AA100" s="90">
        <v>-59</v>
      </c>
      <c r="AB100" s="90">
        <v>-90</v>
      </c>
      <c r="AC100" s="90">
        <v>-101</v>
      </c>
      <c r="AD100" s="90">
        <v>-120</v>
      </c>
      <c r="AE100" s="90">
        <v>-135</v>
      </c>
      <c r="AF100" s="90">
        <v>-141</v>
      </c>
      <c r="AG100" s="151">
        <v>240</v>
      </c>
      <c r="AH100" s="54">
        <f t="shared" si="24"/>
        <v>-141</v>
      </c>
      <c r="AI100" s="89">
        <f t="shared" si="25"/>
        <v>0.95833333333333304</v>
      </c>
    </row>
    <row r="101" spans="1:37" x14ac:dyDescent="0.25">
      <c r="A101" s="163" t="s">
        <v>76</v>
      </c>
      <c r="B101" s="90"/>
      <c r="C101" s="90"/>
      <c r="D101" s="90"/>
      <c r="E101" s="90"/>
      <c r="F101" s="90"/>
      <c r="G101" s="90"/>
      <c r="H101" s="90"/>
      <c r="I101" s="90"/>
      <c r="J101" s="90"/>
      <c r="K101" s="90">
        <v>17.3</v>
      </c>
      <c r="L101" s="90">
        <v>11.4</v>
      </c>
      <c r="M101" s="90">
        <v>11.1</v>
      </c>
      <c r="N101" s="90">
        <v>10.5</v>
      </c>
      <c r="O101" s="90">
        <v>12.6</v>
      </c>
      <c r="P101" s="90">
        <v>13.6</v>
      </c>
      <c r="Q101" s="90">
        <v>11.4</v>
      </c>
      <c r="R101" s="90">
        <v>7.5</v>
      </c>
      <c r="S101" s="90">
        <v>9</v>
      </c>
      <c r="T101" s="90">
        <v>11.4</v>
      </c>
      <c r="U101" s="90">
        <v>12.4</v>
      </c>
      <c r="V101" s="90">
        <v>9</v>
      </c>
      <c r="W101" s="90">
        <v>8</v>
      </c>
      <c r="X101" s="90">
        <v>11</v>
      </c>
      <c r="Y101" s="90">
        <v>12</v>
      </c>
      <c r="Z101" s="90">
        <v>16</v>
      </c>
      <c r="AA101" s="90">
        <v>21</v>
      </c>
      <c r="AB101" s="90">
        <v>18</v>
      </c>
      <c r="AC101" s="90">
        <v>6</v>
      </c>
      <c r="AD101" s="90">
        <v>3.3</v>
      </c>
      <c r="AE101" s="90">
        <v>-1.9</v>
      </c>
      <c r="AF101" s="90">
        <v>-2.6</v>
      </c>
      <c r="AG101" s="151">
        <v>60</v>
      </c>
      <c r="AH101" s="54">
        <f t="shared" si="24"/>
        <v>21</v>
      </c>
      <c r="AI101" s="89">
        <f t="shared" si="25"/>
        <v>0.8125</v>
      </c>
    </row>
    <row r="102" spans="1:37" x14ac:dyDescent="0.25">
      <c r="A102" s="164" t="s">
        <v>77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>
        <v>43.9</v>
      </c>
      <c r="M102" s="91">
        <v>0</v>
      </c>
      <c r="N102" s="91">
        <v>0</v>
      </c>
      <c r="O102" s="91">
        <v>0</v>
      </c>
      <c r="P102" s="91">
        <v>0</v>
      </c>
      <c r="Q102" s="91">
        <v>0</v>
      </c>
      <c r="R102" s="91">
        <v>0</v>
      </c>
      <c r="S102" s="91">
        <v>0</v>
      </c>
      <c r="T102" s="91">
        <v>0</v>
      </c>
      <c r="U102" s="91">
        <v>0</v>
      </c>
      <c r="V102" s="91">
        <v>0</v>
      </c>
      <c r="W102" s="91">
        <v>0</v>
      </c>
      <c r="X102" s="91">
        <v>0</v>
      </c>
      <c r="Y102" s="91">
        <v>0</v>
      </c>
      <c r="Z102" s="91">
        <v>0</v>
      </c>
      <c r="AA102" s="91">
        <v>32</v>
      </c>
      <c r="AB102" s="91">
        <v>27</v>
      </c>
      <c r="AC102" s="91">
        <v>62.9</v>
      </c>
      <c r="AD102" s="91">
        <v>53.4</v>
      </c>
      <c r="AE102" s="91">
        <v>37.200000000000003</v>
      </c>
      <c r="AF102" s="91">
        <v>0</v>
      </c>
      <c r="AG102" s="152">
        <v>120</v>
      </c>
      <c r="AH102" s="54">
        <f t="shared" si="24"/>
        <v>62.9</v>
      </c>
      <c r="AI102" s="89">
        <f t="shared" si="25"/>
        <v>0.85416666666666663</v>
      </c>
    </row>
    <row r="103" spans="1:37" x14ac:dyDescent="0.25">
      <c r="A103" s="164" t="s">
        <v>78</v>
      </c>
      <c r="B103" s="91"/>
      <c r="C103" s="91"/>
      <c r="D103" s="91">
        <v>47</v>
      </c>
      <c r="E103" s="91">
        <v>30.3</v>
      </c>
      <c r="F103" s="91">
        <v>37.6</v>
      </c>
      <c r="G103" s="91">
        <v>39.1</v>
      </c>
      <c r="H103" s="91"/>
      <c r="I103" s="91"/>
      <c r="J103" s="91"/>
      <c r="K103" s="91">
        <v>26.5</v>
      </c>
      <c r="L103" s="91">
        <v>29.7</v>
      </c>
      <c r="M103" s="91">
        <v>54.9</v>
      </c>
      <c r="N103" s="91">
        <v>58.8</v>
      </c>
      <c r="O103" s="91">
        <v>68.2</v>
      </c>
      <c r="P103" s="91">
        <v>85.4</v>
      </c>
      <c r="Q103" s="91">
        <v>89.1</v>
      </c>
      <c r="R103" s="91">
        <v>85</v>
      </c>
      <c r="S103" s="91">
        <v>68</v>
      </c>
      <c r="T103" s="91">
        <v>60</v>
      </c>
      <c r="U103" s="91">
        <v>52</v>
      </c>
      <c r="V103" s="91">
        <v>41</v>
      </c>
      <c r="W103" s="91">
        <v>50</v>
      </c>
      <c r="X103" s="91">
        <v>59</v>
      </c>
      <c r="Y103" s="91">
        <v>62</v>
      </c>
      <c r="Z103" s="91">
        <v>91</v>
      </c>
      <c r="AA103" s="91">
        <v>75</v>
      </c>
      <c r="AB103" s="91">
        <v>80</v>
      </c>
      <c r="AC103" s="91">
        <v>62</v>
      </c>
      <c r="AD103" s="91">
        <v>56.1</v>
      </c>
      <c r="AE103" s="91">
        <v>50.4</v>
      </c>
      <c r="AF103" s="91">
        <v>32.9</v>
      </c>
      <c r="AG103" s="152"/>
      <c r="AH103" s="54">
        <f t="shared" si="24"/>
        <v>91</v>
      </c>
      <c r="AI103" s="89">
        <f t="shared" si="25"/>
        <v>0.79166666666666663</v>
      </c>
    </row>
    <row r="104" spans="1:37" x14ac:dyDescent="0.25">
      <c r="A104" s="164" t="s">
        <v>105</v>
      </c>
      <c r="B104" s="91"/>
      <c r="C104" s="91"/>
      <c r="D104" s="91">
        <v>89</v>
      </c>
      <c r="E104" s="91">
        <v>53.2</v>
      </c>
      <c r="F104" s="91">
        <v>57</v>
      </c>
      <c r="G104" s="91">
        <v>67.099999999999994</v>
      </c>
      <c r="H104" s="91"/>
      <c r="I104" s="91"/>
      <c r="J104" s="91"/>
      <c r="K104" s="91">
        <v>25</v>
      </c>
      <c r="L104" s="91">
        <v>13.3</v>
      </c>
      <c r="M104" s="91">
        <v>-19.600000000000001</v>
      </c>
      <c r="N104" s="91">
        <v>0</v>
      </c>
      <c r="O104" s="91">
        <v>-9.8000000000000007</v>
      </c>
      <c r="P104" s="91">
        <v>23.2</v>
      </c>
      <c r="Q104" s="91">
        <v>7.1</v>
      </c>
      <c r="R104" s="91">
        <v>17</v>
      </c>
      <c r="S104" s="91">
        <v>16</v>
      </c>
      <c r="T104" s="91">
        <v>28</v>
      </c>
      <c r="U104" s="91">
        <v>23.4</v>
      </c>
      <c r="V104" s="91">
        <v>-50</v>
      </c>
      <c r="W104" s="91">
        <v>-24</v>
      </c>
      <c r="X104" s="91">
        <v>-12</v>
      </c>
      <c r="Y104" s="91">
        <v>-11</v>
      </c>
      <c r="Z104" s="91">
        <v>-3</v>
      </c>
      <c r="AA104" s="91">
        <v>8</v>
      </c>
      <c r="AB104" s="91">
        <v>32</v>
      </c>
      <c r="AC104" s="91">
        <v>37.299999999999997</v>
      </c>
      <c r="AD104" s="91">
        <v>36.1</v>
      </c>
      <c r="AE104" s="91">
        <v>49.8</v>
      </c>
      <c r="AF104" s="91">
        <v>35</v>
      </c>
      <c r="AG104" s="153"/>
      <c r="AH104" s="54">
        <f t="shared" si="24"/>
        <v>89</v>
      </c>
      <c r="AI104" s="89">
        <f t="shared" si="25"/>
        <v>8.3333333333333301E-2</v>
      </c>
    </row>
    <row r="105" spans="1:37" ht="15.75" thickBot="1" x14ac:dyDescent="0.3">
      <c r="A105" s="171" t="s">
        <v>106</v>
      </c>
      <c r="B105" s="82"/>
      <c r="C105" s="82"/>
      <c r="D105" s="82"/>
      <c r="E105" s="82"/>
      <c r="F105" s="82" t="s">
        <v>243</v>
      </c>
      <c r="G105" s="82"/>
      <c r="H105" s="82"/>
      <c r="I105" s="82"/>
      <c r="J105" s="82"/>
      <c r="K105" s="82">
        <v>67.099999999999994</v>
      </c>
      <c r="L105" s="82">
        <v>64</v>
      </c>
      <c r="M105" s="82">
        <v>57.3</v>
      </c>
      <c r="N105" s="82">
        <v>80.400000000000006</v>
      </c>
      <c r="O105" s="82">
        <v>92.7</v>
      </c>
      <c r="P105" s="82">
        <v>91.4</v>
      </c>
      <c r="Q105" s="82">
        <v>94.5</v>
      </c>
      <c r="R105" s="82">
        <v>104</v>
      </c>
      <c r="S105" s="82">
        <v>92</v>
      </c>
      <c r="T105" s="82">
        <v>106</v>
      </c>
      <c r="U105" s="82">
        <v>110</v>
      </c>
      <c r="V105" s="82">
        <v>104</v>
      </c>
      <c r="W105" s="82">
        <v>98</v>
      </c>
      <c r="X105" s="82">
        <v>102</v>
      </c>
      <c r="Y105" s="82">
        <v>96</v>
      </c>
      <c r="Z105" s="82">
        <v>90</v>
      </c>
      <c r="AA105" s="82">
        <v>82</v>
      </c>
      <c r="AB105" s="82">
        <v>86</v>
      </c>
      <c r="AC105" s="82">
        <v>92.9</v>
      </c>
      <c r="AD105" s="82">
        <v>95.4</v>
      </c>
      <c r="AE105" s="82">
        <v>99.7</v>
      </c>
      <c r="AF105" s="82">
        <v>103.8</v>
      </c>
      <c r="AG105" s="153"/>
      <c r="AH105" s="54">
        <f t="shared" si="24"/>
        <v>110</v>
      </c>
      <c r="AI105" s="89">
        <f t="shared" si="25"/>
        <v>0.66666666666666696</v>
      </c>
    </row>
    <row r="106" spans="1:37" ht="15.75" thickBot="1" x14ac:dyDescent="0.3">
      <c r="A106" s="92" t="s">
        <v>79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154"/>
      <c r="AH106" s="94"/>
      <c r="AI106" s="55"/>
      <c r="AK106" s="56"/>
    </row>
    <row r="107" spans="1:37" x14ac:dyDescent="0.25">
      <c r="A107" s="162" t="s">
        <v>133</v>
      </c>
      <c r="B107" s="95"/>
      <c r="C107" s="53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6">
        <v>9.94</v>
      </c>
      <c r="AH107" s="54"/>
      <c r="AI107" s="55"/>
      <c r="AK107" s="56"/>
    </row>
    <row r="108" spans="1:37" x14ac:dyDescent="0.25">
      <c r="A108" s="163" t="s">
        <v>134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/>
      <c r="AH108" s="54"/>
      <c r="AI108" s="55"/>
      <c r="AK108" s="56"/>
    </row>
    <row r="109" spans="1:37" x14ac:dyDescent="0.25">
      <c r="A109" s="163" t="s">
        <v>135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136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137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138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139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140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141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142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143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144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145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146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147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148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149</v>
      </c>
      <c r="B123" s="97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9">
        <v>9.9</v>
      </c>
      <c r="AH123" s="54"/>
      <c r="AI123" s="55"/>
      <c r="AK123" s="56"/>
    </row>
    <row r="124" spans="1:37" x14ac:dyDescent="0.25">
      <c r="A124" s="164" t="s">
        <v>80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100">
        <v>9.6579999999999995</v>
      </c>
      <c r="AH124" s="54"/>
      <c r="AI124" s="55"/>
      <c r="AK124" s="56"/>
    </row>
    <row r="125" spans="1:37" x14ac:dyDescent="0.25">
      <c r="A125" s="164" t="s">
        <v>150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</v>
      </c>
      <c r="AH125" s="54"/>
      <c r="AI125" s="55"/>
      <c r="AK125" s="56"/>
    </row>
    <row r="126" spans="1:37" x14ac:dyDescent="0.25">
      <c r="A126" s="164" t="s">
        <v>151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9.51</v>
      </c>
      <c r="AH126" s="54"/>
      <c r="AI126" s="55"/>
      <c r="AK126" s="56"/>
    </row>
    <row r="127" spans="1:37" x14ac:dyDescent="0.25">
      <c r="A127" s="164" t="s">
        <v>152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9.4</v>
      </c>
      <c r="AH127" s="54"/>
      <c r="AI127" s="55"/>
      <c r="AK127" s="56"/>
    </row>
    <row r="128" spans="1:37" x14ac:dyDescent="0.25">
      <c r="A128" s="164" t="s">
        <v>153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8.8000000000000007</v>
      </c>
      <c r="AH128" s="54"/>
      <c r="AI128" s="55"/>
      <c r="AK128" s="56"/>
    </row>
    <row r="129" spans="1:37" x14ac:dyDescent="0.25">
      <c r="A129" s="164" t="s">
        <v>154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8.5</v>
      </c>
      <c r="AH129" s="54"/>
      <c r="AI129" s="55"/>
      <c r="AK129" s="56"/>
    </row>
    <row r="130" spans="1:37" x14ac:dyDescent="0.25">
      <c r="A130" s="164" t="s">
        <v>155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156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8.4</v>
      </c>
      <c r="AH131" s="54"/>
      <c r="AI131" s="55"/>
      <c r="AK131" s="56"/>
    </row>
    <row r="132" spans="1:37" ht="13.5" customHeight="1" x14ac:dyDescent="0.25">
      <c r="A132" s="164" t="s">
        <v>157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</v>
      </c>
      <c r="AH132" s="54"/>
      <c r="AI132" s="55"/>
      <c r="AK132" s="56"/>
    </row>
    <row r="133" spans="1:37" x14ac:dyDescent="0.25">
      <c r="A133" s="164" t="s">
        <v>158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159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160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7.8</v>
      </c>
      <c r="AH135" s="54"/>
      <c r="AI135" s="55"/>
      <c r="AK135" s="56"/>
    </row>
    <row r="136" spans="1:37" x14ac:dyDescent="0.25">
      <c r="A136" s="164" t="s">
        <v>161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7.6</v>
      </c>
      <c r="AH136" s="54"/>
      <c r="AI136" s="55"/>
      <c r="AK136" s="56"/>
    </row>
    <row r="137" spans="1:37" x14ac:dyDescent="0.25">
      <c r="A137" s="164" t="s">
        <v>162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7.5</v>
      </c>
      <c r="AH137" s="54"/>
      <c r="AI137" s="55"/>
      <c r="AK137" s="56"/>
    </row>
    <row r="138" spans="1:37" x14ac:dyDescent="0.25">
      <c r="A138" s="164" t="s">
        <v>163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164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</v>
      </c>
      <c r="AH139" s="54"/>
      <c r="AI139" s="55"/>
      <c r="AK139" s="56"/>
    </row>
    <row r="140" spans="1:37" x14ac:dyDescent="0.25">
      <c r="A140" s="164" t="s">
        <v>165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166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167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168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6.6</v>
      </c>
      <c r="AH143" s="54"/>
      <c r="AI143" s="55"/>
      <c r="AK143" s="56"/>
    </row>
    <row r="144" spans="1:37" x14ac:dyDescent="0.25">
      <c r="A144" s="164" t="s">
        <v>169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170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6.4</v>
      </c>
      <c r="AH145" s="54"/>
      <c r="AI145" s="55"/>
      <c r="AK145" s="56"/>
    </row>
    <row r="146" spans="1:37" x14ac:dyDescent="0.25">
      <c r="A146" s="164" t="s">
        <v>171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</v>
      </c>
      <c r="AH146" s="54"/>
      <c r="AI146" s="55"/>
      <c r="AK146" s="56"/>
    </row>
    <row r="147" spans="1:37" x14ac:dyDescent="0.25">
      <c r="A147" s="164" t="s">
        <v>172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5.0999999999999996</v>
      </c>
      <c r="AH147" s="54"/>
      <c r="AI147" s="55"/>
      <c r="AK147" s="56"/>
    </row>
    <row r="148" spans="1:37" x14ac:dyDescent="0.25">
      <c r="A148" s="164" t="s">
        <v>173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</v>
      </c>
      <c r="AH148" s="54"/>
      <c r="AI148" s="55"/>
      <c r="AK148" s="56"/>
    </row>
    <row r="149" spans="1:37" x14ac:dyDescent="0.25">
      <c r="A149" s="163" t="s">
        <v>174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9">
        <v>5</v>
      </c>
      <c r="AH149" s="54"/>
      <c r="AI149" s="55"/>
      <c r="AK149" s="56"/>
    </row>
    <row r="150" spans="1:37" x14ac:dyDescent="0.25">
      <c r="A150" s="164" t="s">
        <v>175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100">
        <v>5</v>
      </c>
      <c r="AH150" s="54"/>
      <c r="AI150" s="55"/>
      <c r="AK150" s="56"/>
    </row>
    <row r="151" spans="1:37" x14ac:dyDescent="0.25">
      <c r="A151" s="164" t="s">
        <v>176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177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178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179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180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4.9930000000000003</v>
      </c>
      <c r="AH155" s="54"/>
      <c r="AI155" s="55"/>
      <c r="AK155" s="56"/>
    </row>
    <row r="156" spans="1:37" x14ac:dyDescent="0.25">
      <c r="A156" s="164" t="s">
        <v>181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4.9800000000000004</v>
      </c>
      <c r="AH156" s="54"/>
      <c r="AI156" s="55"/>
      <c r="AK156" s="56"/>
    </row>
    <row r="157" spans="1:37" x14ac:dyDescent="0.25">
      <c r="A157" s="164" t="s">
        <v>182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4.95</v>
      </c>
      <c r="AH157" s="54"/>
      <c r="AI157" s="55"/>
      <c r="AK157" s="56"/>
    </row>
    <row r="158" spans="1:37" x14ac:dyDescent="0.25">
      <c r="A158" s="164" t="s">
        <v>81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183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4.8</v>
      </c>
      <c r="AH159" s="54"/>
      <c r="AI159" s="55"/>
      <c r="AK159" s="56"/>
    </row>
    <row r="160" spans="1:37" x14ac:dyDescent="0.25">
      <c r="A160" s="164" t="s">
        <v>184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185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186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4.5</v>
      </c>
      <c r="AH162" s="54"/>
      <c r="AI162" s="55"/>
      <c r="AK162" s="56"/>
    </row>
    <row r="163" spans="1:37" x14ac:dyDescent="0.25">
      <c r="A163" s="164" t="s">
        <v>187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188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4.4550000000000001</v>
      </c>
      <c r="AH164" s="54"/>
      <c r="AI164" s="55"/>
      <c r="AK164" s="56"/>
    </row>
    <row r="165" spans="1:37" x14ac:dyDescent="0.25">
      <c r="A165" s="164" t="s">
        <v>189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4.41</v>
      </c>
      <c r="AH165" s="54"/>
      <c r="AI165" s="55"/>
      <c r="AK165" s="56"/>
    </row>
    <row r="166" spans="1:37" x14ac:dyDescent="0.25">
      <c r="A166" s="164" t="s">
        <v>190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4.4000000000000004</v>
      </c>
      <c r="AH166" s="54"/>
      <c r="AI166" s="55"/>
      <c r="AK166" s="56"/>
    </row>
    <row r="167" spans="1:37" x14ac:dyDescent="0.25">
      <c r="A167" s="164" t="s">
        <v>191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4.3600000000000003</v>
      </c>
      <c r="AH167" s="54"/>
      <c r="AI167" s="55"/>
      <c r="AK167" s="56"/>
    </row>
    <row r="168" spans="1:37" x14ac:dyDescent="0.25">
      <c r="A168" s="164" t="s">
        <v>192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4.2</v>
      </c>
      <c r="AH168" s="54"/>
      <c r="AI168" s="55"/>
      <c r="AK168" s="56"/>
    </row>
    <row r="169" spans="1:37" x14ac:dyDescent="0.25">
      <c r="A169" s="164" t="s">
        <v>193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</v>
      </c>
      <c r="AH169" s="54"/>
      <c r="AI169" s="55"/>
      <c r="AK169" s="56"/>
    </row>
    <row r="170" spans="1:37" x14ac:dyDescent="0.25">
      <c r="A170" s="164" t="s">
        <v>194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195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196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197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198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199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200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201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3.75</v>
      </c>
      <c r="AH177" s="54"/>
      <c r="AI177" s="55"/>
      <c r="AK177" s="56"/>
    </row>
    <row r="178" spans="1:37" x14ac:dyDescent="0.25">
      <c r="A178" s="164" t="s">
        <v>202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3.52</v>
      </c>
      <c r="AH178" s="54"/>
      <c r="AI178" s="55"/>
      <c r="AK178" s="56"/>
    </row>
    <row r="179" spans="1:37" x14ac:dyDescent="0.25">
      <c r="A179" s="164" t="s">
        <v>203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3.33</v>
      </c>
      <c r="AH179" s="54"/>
      <c r="AI179" s="55"/>
      <c r="AK179" s="56"/>
    </row>
    <row r="180" spans="1:37" x14ac:dyDescent="0.25">
      <c r="A180" s="164" t="s">
        <v>204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3.2</v>
      </c>
      <c r="AH180" s="54"/>
      <c r="AI180" s="55"/>
      <c r="AK180" s="56"/>
    </row>
    <row r="181" spans="1:37" x14ac:dyDescent="0.25">
      <c r="A181" s="164" t="s">
        <v>205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</v>
      </c>
      <c r="AH181" s="54"/>
      <c r="AI181" s="55"/>
      <c r="AK181" s="56"/>
    </row>
    <row r="182" spans="1:37" x14ac:dyDescent="0.25">
      <c r="A182" s="164" t="s">
        <v>206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207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208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209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210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211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212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213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2.83</v>
      </c>
      <c r="AH189" s="54"/>
      <c r="AI189" s="55"/>
      <c r="AK189" s="56"/>
    </row>
    <row r="190" spans="1:37" x14ac:dyDescent="0.25">
      <c r="A190" s="164" t="s">
        <v>214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2.5</v>
      </c>
      <c r="AH190" s="54"/>
      <c r="AI190" s="55"/>
      <c r="AK190" s="56"/>
    </row>
    <row r="191" spans="1:37" x14ac:dyDescent="0.25">
      <c r="A191" s="164" t="s">
        <v>215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216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2.4</v>
      </c>
      <c r="AH192" s="54"/>
      <c r="AI192" s="55"/>
      <c r="AK192" s="56"/>
    </row>
    <row r="193" spans="1:37" x14ac:dyDescent="0.25">
      <c r="A193" s="164" t="s">
        <v>217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218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2.2000000000000002</v>
      </c>
      <c r="AH194" s="54"/>
      <c r="AI194" s="55"/>
      <c r="AK194" s="56"/>
    </row>
    <row r="195" spans="1:37" x14ac:dyDescent="0.25">
      <c r="A195" s="164" t="s">
        <v>219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</v>
      </c>
      <c r="AH195" s="54"/>
      <c r="AI195" s="55"/>
      <c r="AK195" s="56"/>
    </row>
    <row r="196" spans="1:37" x14ac:dyDescent="0.25">
      <c r="A196" s="164" t="s">
        <v>220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221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222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1.8</v>
      </c>
      <c r="AH198" s="54"/>
      <c r="AI198" s="55"/>
      <c r="AK198" s="56"/>
    </row>
    <row r="199" spans="1:37" x14ac:dyDescent="0.25">
      <c r="A199" s="164" t="s">
        <v>223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224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1.65</v>
      </c>
      <c r="AH200" s="54"/>
      <c r="AI200" s="55"/>
      <c r="AK200" s="56"/>
    </row>
    <row r="201" spans="1:37" x14ac:dyDescent="0.25">
      <c r="A201" s="164" t="s">
        <v>225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1.5</v>
      </c>
      <c r="AH201" s="54"/>
      <c r="AI201" s="55"/>
      <c r="AK201" s="56"/>
    </row>
    <row r="202" spans="1:37" x14ac:dyDescent="0.25">
      <c r="A202" s="164" t="s">
        <v>226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0.998</v>
      </c>
      <c r="AH202" s="54"/>
      <c r="AI202" s="55"/>
      <c r="AK202" s="56"/>
    </row>
    <row r="203" spans="1:37" x14ac:dyDescent="0.25">
      <c r="A203" s="164" t="s">
        <v>227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0.997</v>
      </c>
      <c r="AH203" s="54"/>
      <c r="AI203" s="55"/>
      <c r="AK203" s="56"/>
    </row>
    <row r="204" spans="1:37" x14ac:dyDescent="0.25">
      <c r="A204" s="164" t="s">
        <v>228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229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0.996</v>
      </c>
      <c r="AH205" s="54"/>
      <c r="AI205" s="55"/>
      <c r="AK205" s="56"/>
    </row>
    <row r="206" spans="1:37" x14ac:dyDescent="0.25">
      <c r="A206" s="164" t="s">
        <v>230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231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232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0.995</v>
      </c>
      <c r="AH208" s="54"/>
      <c r="AI208" s="55"/>
      <c r="AK208" s="56"/>
    </row>
    <row r="209" spans="1:37" x14ac:dyDescent="0.25">
      <c r="A209" s="164" t="s">
        <v>233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0.99299999999999999</v>
      </c>
      <c r="AH209" s="54"/>
      <c r="AI209" s="55"/>
      <c r="AK209" s="56"/>
    </row>
    <row r="210" spans="1:37" x14ac:dyDescent="0.25">
      <c r="A210" s="164" t="s">
        <v>234</v>
      </c>
      <c r="B210" s="97"/>
      <c r="C210" s="53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</v>
      </c>
      <c r="AH210" s="54"/>
      <c r="AI210" s="55"/>
      <c r="AK210" s="56"/>
    </row>
    <row r="211" spans="1:37" ht="15.75" thickBot="1" x14ac:dyDescent="0.3">
      <c r="A211" s="164" t="s">
        <v>235</v>
      </c>
      <c r="B211" s="102"/>
      <c r="C211" s="166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0">
        <v>0.97899999999999998</v>
      </c>
      <c r="AH211" s="54"/>
      <c r="AI211" s="55"/>
      <c r="AK211" s="56"/>
    </row>
    <row r="212" spans="1:37" ht="15.75" thickBot="1" x14ac:dyDescent="0.3">
      <c r="A212" s="165" t="s">
        <v>82</v>
      </c>
      <c r="B212" s="167">
        <f>SUM(B107:B211)</f>
        <v>0</v>
      </c>
      <c r="C212" s="103">
        <f t="shared" ref="C212:AG212" si="26">SUM(C107:C211)</f>
        <v>0</v>
      </c>
      <c r="D212" s="103">
        <f t="shared" si="26"/>
        <v>0</v>
      </c>
      <c r="E212" s="103">
        <f t="shared" si="26"/>
        <v>0</v>
      </c>
      <c r="F212" s="103">
        <f t="shared" si="26"/>
        <v>0</v>
      </c>
      <c r="G212" s="103">
        <f t="shared" si="26"/>
        <v>0</v>
      </c>
      <c r="H212" s="103">
        <f t="shared" si="26"/>
        <v>0</v>
      </c>
      <c r="I212" s="103">
        <f t="shared" si="26"/>
        <v>0</v>
      </c>
      <c r="J212" s="103">
        <f t="shared" si="26"/>
        <v>0</v>
      </c>
      <c r="K212" s="103">
        <f t="shared" si="26"/>
        <v>0</v>
      </c>
      <c r="L212" s="103">
        <f t="shared" si="26"/>
        <v>0</v>
      </c>
      <c r="M212" s="103">
        <f t="shared" si="26"/>
        <v>0</v>
      </c>
      <c r="N212" s="103">
        <f t="shared" si="26"/>
        <v>0</v>
      </c>
      <c r="O212" s="103">
        <f t="shared" si="26"/>
        <v>0</v>
      </c>
      <c r="P212" s="103">
        <f t="shared" si="26"/>
        <v>0</v>
      </c>
      <c r="Q212" s="103">
        <f t="shared" si="26"/>
        <v>0</v>
      </c>
      <c r="R212" s="103">
        <f t="shared" si="26"/>
        <v>0</v>
      </c>
      <c r="S212" s="103">
        <f t="shared" si="26"/>
        <v>0</v>
      </c>
      <c r="T212" s="103">
        <f t="shared" si="26"/>
        <v>0</v>
      </c>
      <c r="U212" s="103">
        <f t="shared" si="26"/>
        <v>0</v>
      </c>
      <c r="V212" s="103">
        <f t="shared" si="26"/>
        <v>0</v>
      </c>
      <c r="W212" s="103">
        <f t="shared" si="26"/>
        <v>0</v>
      </c>
      <c r="X212" s="103">
        <f t="shared" si="26"/>
        <v>0</v>
      </c>
      <c r="Y212" s="103">
        <f t="shared" si="26"/>
        <v>0</v>
      </c>
      <c r="Z212" s="103">
        <f t="shared" si="26"/>
        <v>0</v>
      </c>
      <c r="AA212" s="103">
        <f t="shared" si="26"/>
        <v>0</v>
      </c>
      <c r="AB212" s="103">
        <f t="shared" si="26"/>
        <v>0</v>
      </c>
      <c r="AC212" s="103">
        <f t="shared" si="26"/>
        <v>0</v>
      </c>
      <c r="AD212" s="103">
        <f t="shared" si="26"/>
        <v>0</v>
      </c>
      <c r="AE212" s="103">
        <f t="shared" si="26"/>
        <v>0</v>
      </c>
      <c r="AF212" s="168">
        <f t="shared" si="26"/>
        <v>0</v>
      </c>
      <c r="AG212" s="169">
        <f t="shared" si="26"/>
        <v>412.72299999999984</v>
      </c>
      <c r="AH212" s="54"/>
      <c r="AI212" s="55"/>
      <c r="AK212" s="56"/>
    </row>
    <row r="213" spans="1:37" ht="15.75" thickBot="1" x14ac:dyDescent="0.3">
      <c r="A213" s="28" t="s">
        <v>35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149"/>
      <c r="AH213" s="54"/>
      <c r="AI213" s="55"/>
      <c r="AK213" s="56"/>
    </row>
    <row r="214" spans="1:37" x14ac:dyDescent="0.25">
      <c r="A214" s="170" t="s">
        <v>83</v>
      </c>
      <c r="B214" s="101">
        <f t="shared" ref="B214:B219" si="27">AF214</f>
        <v>0</v>
      </c>
      <c r="C214" s="101">
        <v>0.3</v>
      </c>
      <c r="D214" s="101">
        <f t="shared" ref="D214:P219" si="28">C214</f>
        <v>0.3</v>
      </c>
      <c r="E214" s="101">
        <f t="shared" si="28"/>
        <v>0.3</v>
      </c>
      <c r="F214" s="101">
        <f t="shared" si="28"/>
        <v>0.3</v>
      </c>
      <c r="G214" s="101">
        <f t="shared" si="28"/>
        <v>0.3</v>
      </c>
      <c r="H214" s="101">
        <f t="shared" si="28"/>
        <v>0.3</v>
      </c>
      <c r="I214" s="101">
        <f t="shared" si="28"/>
        <v>0.3</v>
      </c>
      <c r="J214" s="101">
        <f t="shared" si="28"/>
        <v>0.3</v>
      </c>
      <c r="K214" s="101">
        <f t="shared" si="28"/>
        <v>0.3</v>
      </c>
      <c r="L214" s="101">
        <f t="shared" si="28"/>
        <v>0.3</v>
      </c>
      <c r="M214" s="101">
        <f t="shared" si="28"/>
        <v>0.3</v>
      </c>
      <c r="N214" s="101">
        <f t="shared" si="28"/>
        <v>0.3</v>
      </c>
      <c r="O214" s="101">
        <f t="shared" si="28"/>
        <v>0.3</v>
      </c>
      <c r="P214" s="101">
        <f t="shared" si="28"/>
        <v>0.3</v>
      </c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55">
        <v>2.4</v>
      </c>
      <c r="AH214" s="54"/>
      <c r="AI214" s="55"/>
      <c r="AK214" s="56"/>
    </row>
    <row r="215" spans="1:37" x14ac:dyDescent="0.25">
      <c r="A215" s="163" t="s">
        <v>84</v>
      </c>
      <c r="B215" s="97">
        <f t="shared" si="27"/>
        <v>0</v>
      </c>
      <c r="C215" s="97">
        <v>0.4</v>
      </c>
      <c r="D215" s="97">
        <f t="shared" si="28"/>
        <v>0.4</v>
      </c>
      <c r="E215" s="97">
        <f t="shared" si="28"/>
        <v>0.4</v>
      </c>
      <c r="F215" s="97">
        <f t="shared" si="28"/>
        <v>0.4</v>
      </c>
      <c r="G215" s="97">
        <f t="shared" si="28"/>
        <v>0.4</v>
      </c>
      <c r="H215" s="97">
        <f t="shared" si="28"/>
        <v>0.4</v>
      </c>
      <c r="I215" s="97">
        <f t="shared" si="28"/>
        <v>0.4</v>
      </c>
      <c r="J215" s="97">
        <f t="shared" si="28"/>
        <v>0.4</v>
      </c>
      <c r="K215" s="97">
        <f t="shared" si="28"/>
        <v>0.4</v>
      </c>
      <c r="L215" s="97">
        <f t="shared" si="28"/>
        <v>0.4</v>
      </c>
      <c r="M215" s="97">
        <f t="shared" si="28"/>
        <v>0.4</v>
      </c>
      <c r="N215" s="97">
        <f t="shared" si="28"/>
        <v>0.4</v>
      </c>
      <c r="O215" s="97">
        <f t="shared" si="28"/>
        <v>0.4</v>
      </c>
      <c r="P215" s="97">
        <f t="shared" si="28"/>
        <v>0.4</v>
      </c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56">
        <v>2</v>
      </c>
      <c r="AH215" s="54"/>
      <c r="AI215" s="55"/>
      <c r="AK215" s="56"/>
    </row>
    <row r="216" spans="1:37" x14ac:dyDescent="0.25">
      <c r="A216" s="163" t="s">
        <v>85</v>
      </c>
      <c r="B216" s="97">
        <f t="shared" si="27"/>
        <v>0</v>
      </c>
      <c r="C216" s="97">
        <v>1.5</v>
      </c>
      <c r="D216" s="97">
        <f t="shared" si="28"/>
        <v>1.5</v>
      </c>
      <c r="E216" s="97">
        <f t="shared" si="28"/>
        <v>1.5</v>
      </c>
      <c r="F216" s="97">
        <f t="shared" si="28"/>
        <v>1.5</v>
      </c>
      <c r="G216" s="97">
        <f t="shared" si="28"/>
        <v>1.5</v>
      </c>
      <c r="H216" s="97">
        <f t="shared" si="28"/>
        <v>1.5</v>
      </c>
      <c r="I216" s="97">
        <f t="shared" si="28"/>
        <v>1.5</v>
      </c>
      <c r="J216" s="97">
        <f t="shared" si="28"/>
        <v>1.5</v>
      </c>
      <c r="K216" s="97">
        <f t="shared" si="28"/>
        <v>1.5</v>
      </c>
      <c r="L216" s="97">
        <f t="shared" si="28"/>
        <v>1.5</v>
      </c>
      <c r="M216" s="97">
        <f t="shared" si="28"/>
        <v>1.5</v>
      </c>
      <c r="N216" s="97">
        <f t="shared" si="28"/>
        <v>1.5</v>
      </c>
      <c r="O216" s="97">
        <f t="shared" si="28"/>
        <v>1.5</v>
      </c>
      <c r="P216" s="97">
        <f t="shared" si="28"/>
        <v>1.5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1.5</v>
      </c>
      <c r="AH216" s="54"/>
      <c r="AI216" s="55"/>
      <c r="AK216" s="56"/>
    </row>
    <row r="217" spans="1:37" x14ac:dyDescent="0.25">
      <c r="A217" s="163" t="s">
        <v>86</v>
      </c>
      <c r="B217" s="97">
        <f t="shared" si="27"/>
        <v>0</v>
      </c>
      <c r="C217" s="97">
        <v>0.3</v>
      </c>
      <c r="D217" s="97">
        <f t="shared" si="28"/>
        <v>0.3</v>
      </c>
      <c r="E217" s="97">
        <f t="shared" si="28"/>
        <v>0.3</v>
      </c>
      <c r="F217" s="97">
        <f t="shared" si="28"/>
        <v>0.3</v>
      </c>
      <c r="G217" s="97">
        <f t="shared" si="28"/>
        <v>0.3</v>
      </c>
      <c r="H217" s="97">
        <f t="shared" si="28"/>
        <v>0.3</v>
      </c>
      <c r="I217" s="97">
        <f t="shared" si="28"/>
        <v>0.3</v>
      </c>
      <c r="J217" s="97">
        <f t="shared" si="28"/>
        <v>0.3</v>
      </c>
      <c r="K217" s="97">
        <f t="shared" si="28"/>
        <v>0.3</v>
      </c>
      <c r="L217" s="97">
        <f t="shared" si="28"/>
        <v>0.3</v>
      </c>
      <c r="M217" s="97">
        <f t="shared" si="28"/>
        <v>0.3</v>
      </c>
      <c r="N217" s="97">
        <f t="shared" si="28"/>
        <v>0.3</v>
      </c>
      <c r="O217" s="97">
        <f t="shared" si="28"/>
        <v>0.3</v>
      </c>
      <c r="P217" s="97">
        <f t="shared" si="28"/>
        <v>0.3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</v>
      </c>
      <c r="AH217" s="54"/>
      <c r="AI217" s="55"/>
      <c r="AK217" s="56"/>
    </row>
    <row r="218" spans="1:37" x14ac:dyDescent="0.25">
      <c r="A218" s="163" t="s">
        <v>87</v>
      </c>
      <c r="B218" s="97">
        <f t="shared" si="27"/>
        <v>0</v>
      </c>
      <c r="C218" s="97">
        <v>0.4</v>
      </c>
      <c r="D218" s="97">
        <f t="shared" si="28"/>
        <v>0.4</v>
      </c>
      <c r="E218" s="97">
        <f t="shared" si="28"/>
        <v>0.4</v>
      </c>
      <c r="F218" s="97">
        <f t="shared" si="28"/>
        <v>0.4</v>
      </c>
      <c r="G218" s="97">
        <f t="shared" si="28"/>
        <v>0.4</v>
      </c>
      <c r="H218" s="97">
        <f t="shared" si="28"/>
        <v>0.4</v>
      </c>
      <c r="I218" s="97">
        <f t="shared" si="28"/>
        <v>0.4</v>
      </c>
      <c r="J218" s="97">
        <f t="shared" si="28"/>
        <v>0.4</v>
      </c>
      <c r="K218" s="97">
        <f t="shared" si="28"/>
        <v>0.4</v>
      </c>
      <c r="L218" s="97">
        <f t="shared" si="28"/>
        <v>0.4</v>
      </c>
      <c r="M218" s="97">
        <f t="shared" si="28"/>
        <v>0.4</v>
      </c>
      <c r="N218" s="97">
        <f t="shared" si="28"/>
        <v>0.4</v>
      </c>
      <c r="O218" s="97">
        <f t="shared" si="28"/>
        <v>0.4</v>
      </c>
      <c r="P218" s="97">
        <f t="shared" si="28"/>
        <v>0.4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ht="15.75" thickBot="1" x14ac:dyDescent="0.3">
      <c r="A219" s="164" t="s">
        <v>88</v>
      </c>
      <c r="B219" s="102">
        <f t="shared" si="27"/>
        <v>0</v>
      </c>
      <c r="C219" s="102">
        <v>0.64</v>
      </c>
      <c r="D219" s="102">
        <f t="shared" si="28"/>
        <v>0.64</v>
      </c>
      <c r="E219" s="102">
        <f t="shared" si="28"/>
        <v>0.64</v>
      </c>
      <c r="F219" s="102">
        <f t="shared" si="28"/>
        <v>0.64</v>
      </c>
      <c r="G219" s="102">
        <f t="shared" si="28"/>
        <v>0.64</v>
      </c>
      <c r="H219" s="102">
        <f t="shared" si="28"/>
        <v>0.64</v>
      </c>
      <c r="I219" s="102">
        <f t="shared" si="28"/>
        <v>0.64</v>
      </c>
      <c r="J219" s="102">
        <f t="shared" si="28"/>
        <v>0.64</v>
      </c>
      <c r="K219" s="102">
        <f t="shared" si="28"/>
        <v>0.64</v>
      </c>
      <c r="L219" s="102">
        <f t="shared" si="28"/>
        <v>0.64</v>
      </c>
      <c r="M219" s="102">
        <f t="shared" si="28"/>
        <v>0.64</v>
      </c>
      <c r="N219" s="102">
        <f t="shared" si="28"/>
        <v>0.64</v>
      </c>
      <c r="O219" s="102">
        <f t="shared" si="28"/>
        <v>0.64</v>
      </c>
      <c r="P219" s="102">
        <f t="shared" si="28"/>
        <v>0.64</v>
      </c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57">
        <v>0.66</v>
      </c>
      <c r="AH219" s="54"/>
      <c r="AI219" s="55"/>
    </row>
    <row r="220" spans="1:37" ht="15.75" thickBot="1" x14ac:dyDescent="0.3">
      <c r="A220" s="173" t="s">
        <v>35</v>
      </c>
      <c r="B220" s="103">
        <f>SUM(B214:B219)</f>
        <v>0</v>
      </c>
      <c r="C220" s="103">
        <f>SUM(C214:C219)</f>
        <v>3.54</v>
      </c>
      <c r="D220" s="103">
        <f t="shared" ref="D220:L220" si="29">SUM(D214:D219)</f>
        <v>3.54</v>
      </c>
      <c r="E220" s="103">
        <f t="shared" si="29"/>
        <v>3.54</v>
      </c>
      <c r="F220" s="103">
        <f t="shared" si="29"/>
        <v>3.54</v>
      </c>
      <c r="G220" s="103">
        <f t="shared" si="29"/>
        <v>3.54</v>
      </c>
      <c r="H220" s="103">
        <f t="shared" si="29"/>
        <v>3.54</v>
      </c>
      <c r="I220" s="103">
        <f t="shared" si="29"/>
        <v>3.54</v>
      </c>
      <c r="J220" s="103">
        <f t="shared" si="29"/>
        <v>3.54</v>
      </c>
      <c r="K220" s="103">
        <f t="shared" si="29"/>
        <v>3.54</v>
      </c>
      <c r="L220" s="103">
        <f t="shared" si="29"/>
        <v>3.54</v>
      </c>
      <c r="M220" s="103">
        <f>SUM(M214:M219)</f>
        <v>3.54</v>
      </c>
      <c r="N220" s="103">
        <f t="shared" ref="N220:S220" si="30">SUM(N214:N219)</f>
        <v>3.54</v>
      </c>
      <c r="O220" s="103">
        <f t="shared" si="30"/>
        <v>3.54</v>
      </c>
      <c r="P220" s="103">
        <f t="shared" si="30"/>
        <v>3.54</v>
      </c>
      <c r="Q220" s="103">
        <f t="shared" si="30"/>
        <v>0</v>
      </c>
      <c r="R220" s="103">
        <f t="shared" si="30"/>
        <v>0</v>
      </c>
      <c r="S220" s="103">
        <f t="shared" si="30"/>
        <v>0</v>
      </c>
      <c r="T220" s="103">
        <f>SUM(T214:T219)</f>
        <v>0</v>
      </c>
      <c r="U220" s="103">
        <f t="shared" ref="U220:AG220" si="31">SUM(U214:U219)</f>
        <v>0</v>
      </c>
      <c r="V220" s="103">
        <f t="shared" si="31"/>
        <v>0</v>
      </c>
      <c r="W220" s="103">
        <f t="shared" si="31"/>
        <v>0</v>
      </c>
      <c r="X220" s="103">
        <f t="shared" si="31"/>
        <v>0</v>
      </c>
      <c r="Y220" s="103">
        <f t="shared" si="31"/>
        <v>0</v>
      </c>
      <c r="Z220" s="103">
        <f t="shared" si="31"/>
        <v>0</v>
      </c>
      <c r="AA220" s="103">
        <f t="shared" si="31"/>
        <v>0</v>
      </c>
      <c r="AB220" s="103">
        <f t="shared" si="31"/>
        <v>0</v>
      </c>
      <c r="AC220" s="103">
        <f t="shared" si="31"/>
        <v>0</v>
      </c>
      <c r="AD220" s="103">
        <f t="shared" si="31"/>
        <v>0</v>
      </c>
      <c r="AE220" s="103">
        <f t="shared" si="31"/>
        <v>0</v>
      </c>
      <c r="AF220" s="103">
        <f t="shared" si="31"/>
        <v>0</v>
      </c>
      <c r="AG220" s="158">
        <f t="shared" si="31"/>
        <v>8.56</v>
      </c>
      <c r="AH220" s="54"/>
      <c r="AI220" s="55"/>
    </row>
    <row r="221" spans="1:37" ht="15.75" thickBot="1" x14ac:dyDescent="0.3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84"/>
      <c r="AH221" s="47"/>
    </row>
    <row r="222" spans="1:37" x14ac:dyDescent="0.25">
      <c r="A222" s="79" t="s">
        <v>89</v>
      </c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5"/>
      <c r="AG222" s="47"/>
      <c r="AH222" s="54"/>
      <c r="AI222" s="55"/>
    </row>
    <row r="223" spans="1:37" x14ac:dyDescent="0.25">
      <c r="A223" s="106" t="s">
        <v>90</v>
      </c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8"/>
      <c r="AG223" s="109"/>
      <c r="AH223" s="54"/>
      <c r="AI223" s="55"/>
    </row>
    <row r="224" spans="1:37" x14ac:dyDescent="0.25">
      <c r="A224" s="81" t="s">
        <v>91</v>
      </c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1"/>
      <c r="AG224" s="109"/>
      <c r="AH224" s="54"/>
      <c r="AI224" s="55"/>
    </row>
    <row r="225" spans="1:50" x14ac:dyDescent="0.25">
      <c r="A225" s="81" t="s">
        <v>92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ht="15.75" thickBot="1" x14ac:dyDescent="0.3">
      <c r="A226" s="112" t="s">
        <v>93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4"/>
      <c r="AG226" s="109"/>
      <c r="AH226" s="54"/>
      <c r="AI226" s="55"/>
    </row>
    <row r="227" spans="1:50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50" x14ac:dyDescent="0.25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50" x14ac:dyDescent="0.25">
      <c r="A229" s="115" t="s">
        <v>94</v>
      </c>
      <c r="B229" s="116">
        <f>MAX(G79:N79)</f>
        <v>1805.24</v>
      </c>
      <c r="C229" s="117">
        <f>INDEX(G9:N9,1,MATCH(MAX(G79:N79),G79:N79,0))</f>
        <v>0.27083333333333331</v>
      </c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50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118" t="str">
        <f ca="1">MID(CELL("filename",C7),FIND("]",CELL("filename",C7))+1,600)</f>
        <v>10</v>
      </c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50" x14ac:dyDescent="0.25">
      <c r="A231" s="208" t="s">
        <v>95</v>
      </c>
      <c r="B231" s="208"/>
      <c r="C231" s="47"/>
      <c r="D231" s="118" t="str">
        <f ca="1">"Pie Chart of Daily Peak Demand(Inclusive of Export) of Nepal ("&amp;A4&amp;" "&amp;B4&amp;")"</f>
        <v>Pie Chart of Daily Peak Demand(Inclusive of Export) of Nepal (Nepali Date: 2079/02/10)</v>
      </c>
      <c r="E231" s="47"/>
      <c r="F231" s="47"/>
      <c r="G231" s="118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118" t="str">
        <f ca="1">"Daily Load Curve(Excluding of Export) of Nepal ("&amp;A4&amp;" "&amp;B4&amp;")"</f>
        <v>Daily Load Curve(Excluding of Export) of Nepal (Nepali Date: 2079/02/10)</v>
      </c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50" ht="12.75" customHeight="1" thickBot="1" x14ac:dyDescent="0.3">
      <c r="A232" s="119" t="s">
        <v>7</v>
      </c>
      <c r="B232" s="120"/>
      <c r="C232" s="47"/>
      <c r="D232" s="121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50" ht="15.75" thickTop="1" x14ac:dyDescent="0.25">
      <c r="A233" s="119" t="s">
        <v>96</v>
      </c>
      <c r="B233" s="120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122" t="s">
        <v>97</v>
      </c>
      <c r="T233" s="123">
        <v>0</v>
      </c>
      <c r="U233" s="124">
        <v>4.1666666666666664E-2</v>
      </c>
      <c r="V233" s="125">
        <v>8.3333333333333301E-2</v>
      </c>
      <c r="W233" s="125">
        <v>0.125</v>
      </c>
      <c r="X233" s="125">
        <v>0.16666666666666699</v>
      </c>
      <c r="Y233" s="125">
        <v>0.20833333333333301</v>
      </c>
      <c r="Z233" s="125">
        <v>0.22916666666666666</v>
      </c>
      <c r="AA233" s="125">
        <v>0.25</v>
      </c>
      <c r="AB233" s="125">
        <v>0.27083333333333331</v>
      </c>
      <c r="AC233" s="125">
        <v>0.29166666666666669</v>
      </c>
      <c r="AD233" s="125">
        <v>0.3125</v>
      </c>
      <c r="AE233" s="126">
        <v>0.33333333333333331</v>
      </c>
      <c r="AF233" s="126">
        <v>0.375</v>
      </c>
      <c r="AG233" s="126">
        <v>0.41666666666666702</v>
      </c>
      <c r="AH233" s="126">
        <v>0.45833333333333298</v>
      </c>
      <c r="AI233" s="126">
        <v>0.5</v>
      </c>
      <c r="AJ233" s="126">
        <v>0.54166666666666696</v>
      </c>
      <c r="AK233" s="126">
        <v>0.58333333333333304</v>
      </c>
      <c r="AL233" s="126">
        <v>0.625</v>
      </c>
      <c r="AM233" s="126">
        <v>0.66666666666666696</v>
      </c>
      <c r="AN233" s="126">
        <v>0.70833333333333304</v>
      </c>
      <c r="AO233" s="126">
        <v>0.72916666666666663</v>
      </c>
      <c r="AP233" s="126">
        <v>0.75</v>
      </c>
      <c r="AQ233" s="126">
        <v>0.77083333333333337</v>
      </c>
      <c r="AR233" s="126">
        <v>0.79166666666666663</v>
      </c>
      <c r="AS233" s="126">
        <v>0.8125</v>
      </c>
      <c r="AT233" s="125">
        <v>0.83333333333333337</v>
      </c>
      <c r="AU233" s="125">
        <v>0.85416666666666663</v>
      </c>
      <c r="AV233" s="125">
        <v>0.875</v>
      </c>
      <c r="AW233" s="125">
        <v>0.91666666666666696</v>
      </c>
      <c r="AX233" s="125">
        <v>0.95833333333333304</v>
      </c>
    </row>
    <row r="234" spans="1:50" x14ac:dyDescent="0.25">
      <c r="A234" s="119" t="s">
        <v>98</v>
      </c>
      <c r="B234" s="120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 t="s">
        <v>99</v>
      </c>
      <c r="T234" s="127">
        <f t="shared" ref="T234:AX234" si="32">B79</f>
        <v>1779.1399999999999</v>
      </c>
      <c r="U234" s="127">
        <f t="shared" si="32"/>
        <v>1779.1399999999999</v>
      </c>
      <c r="V234" s="127">
        <f t="shared" si="32"/>
        <v>1756.1399999999999</v>
      </c>
      <c r="W234" s="127">
        <f t="shared" si="32"/>
        <v>1779.54</v>
      </c>
      <c r="X234" s="127">
        <f t="shared" si="32"/>
        <v>1797.6</v>
      </c>
      <c r="Y234" s="127">
        <f t="shared" si="32"/>
        <v>1764.33</v>
      </c>
      <c r="Z234" s="127">
        <f t="shared" si="32"/>
        <v>3.54</v>
      </c>
      <c r="AA234" s="127">
        <f t="shared" si="32"/>
        <v>3.54</v>
      </c>
      <c r="AB234" s="127">
        <f t="shared" si="32"/>
        <v>1805.24</v>
      </c>
      <c r="AC234" s="127">
        <f t="shared" si="32"/>
        <v>1790.54</v>
      </c>
      <c r="AD234" s="127">
        <f t="shared" si="32"/>
        <v>1779.84</v>
      </c>
      <c r="AE234" s="127">
        <f t="shared" si="32"/>
        <v>1779.34</v>
      </c>
      <c r="AF234" s="127">
        <f t="shared" si="32"/>
        <v>1782.74</v>
      </c>
      <c r="AG234" s="127">
        <f t="shared" si="32"/>
        <v>1796.6399999999999</v>
      </c>
      <c r="AH234" s="127">
        <f t="shared" si="32"/>
        <v>1797.5400000000002</v>
      </c>
      <c r="AI234" s="127">
        <f t="shared" si="32"/>
        <v>1816.44</v>
      </c>
      <c r="AJ234" s="127">
        <f t="shared" si="32"/>
        <v>1817.8400000000001</v>
      </c>
      <c r="AK234" s="127">
        <f t="shared" si="32"/>
        <v>1830.24</v>
      </c>
      <c r="AL234" s="127">
        <f t="shared" si="32"/>
        <v>1838.54</v>
      </c>
      <c r="AM234" s="127">
        <f t="shared" si="32"/>
        <v>1844.54</v>
      </c>
      <c r="AN234" s="127">
        <f t="shared" si="32"/>
        <v>1834.54</v>
      </c>
      <c r="AO234" s="127">
        <f t="shared" si="32"/>
        <v>1814.54</v>
      </c>
      <c r="AP234" s="127">
        <f t="shared" si="32"/>
        <v>1807.54</v>
      </c>
      <c r="AQ234" s="127">
        <f t="shared" si="32"/>
        <v>1807.54</v>
      </c>
      <c r="AR234" s="127">
        <f t="shared" si="32"/>
        <v>1811.54</v>
      </c>
      <c r="AS234" s="127">
        <f t="shared" si="32"/>
        <v>1864.44</v>
      </c>
      <c r="AT234" s="127">
        <f t="shared" si="32"/>
        <v>1865.54</v>
      </c>
      <c r="AU234" s="127">
        <f t="shared" si="32"/>
        <v>1851.24</v>
      </c>
      <c r="AV234" s="127">
        <f t="shared" si="32"/>
        <v>1849.94</v>
      </c>
      <c r="AW234" s="127">
        <f t="shared" si="32"/>
        <v>1831.24</v>
      </c>
      <c r="AX234" s="127">
        <f t="shared" si="32"/>
        <v>1785.44</v>
      </c>
    </row>
    <row r="235" spans="1:50" x14ac:dyDescent="0.25">
      <c r="A235" s="119" t="s">
        <v>100</v>
      </c>
      <c r="B235" s="120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</row>
    <row r="236" spans="1:50" x14ac:dyDescent="0.25">
      <c r="A236" s="119" t="s">
        <v>101</v>
      </c>
      <c r="B236" s="120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</row>
    <row r="237" spans="1:50" x14ac:dyDescent="0.25">
      <c r="A237" s="119" t="s">
        <v>102</v>
      </c>
      <c r="B237" s="120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50" x14ac:dyDescent="0.25">
      <c r="A238" s="119" t="s">
        <v>103</v>
      </c>
      <c r="B238" s="128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50" x14ac:dyDescent="0.25">
      <c r="A239" s="119" t="s">
        <v>104</v>
      </c>
      <c r="B239" s="120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50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1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1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1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1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1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</row>
    <row r="246" spans="1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J246"/>
    </row>
    <row r="247" spans="1:36" x14ac:dyDescent="0.25"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J247"/>
    </row>
    <row r="248" spans="1:36" x14ac:dyDescent="0.25"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J248"/>
    </row>
    <row r="249" spans="1:36" x14ac:dyDescent="0.25"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J249"/>
    </row>
    <row r="250" spans="1:36" x14ac:dyDescent="0.25"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J250"/>
    </row>
    <row r="251" spans="1:36" x14ac:dyDescent="0.25"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J251"/>
    </row>
    <row r="252" spans="1:36" x14ac:dyDescent="0.25"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J252"/>
    </row>
    <row r="253" spans="1:36" x14ac:dyDescent="0.25"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J253"/>
    </row>
    <row r="254" spans="1:36" x14ac:dyDescent="0.25"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J254"/>
    </row>
    <row r="255" spans="1:36" x14ac:dyDescent="0.25">
      <c r="A255" s="129" t="s">
        <v>89</v>
      </c>
      <c r="B255" s="130">
        <f t="shared" ref="B255:AE255" si="33">C219</f>
        <v>0.64</v>
      </c>
      <c r="C255" s="130">
        <f t="shared" si="33"/>
        <v>0.64</v>
      </c>
      <c r="D255" s="130">
        <f t="shared" si="33"/>
        <v>0.64</v>
      </c>
      <c r="E255" s="130">
        <f t="shared" si="33"/>
        <v>0.64</v>
      </c>
      <c r="F255" s="130">
        <f t="shared" si="33"/>
        <v>0.64</v>
      </c>
      <c r="G255" s="130">
        <f t="shared" si="33"/>
        <v>0.64</v>
      </c>
      <c r="H255" s="130">
        <f t="shared" si="33"/>
        <v>0.64</v>
      </c>
      <c r="I255" s="130">
        <f t="shared" si="33"/>
        <v>0.64</v>
      </c>
      <c r="J255" s="130">
        <f t="shared" si="33"/>
        <v>0.64</v>
      </c>
      <c r="K255" s="130">
        <f t="shared" si="33"/>
        <v>0.64</v>
      </c>
      <c r="L255" s="130">
        <f t="shared" si="33"/>
        <v>0.64</v>
      </c>
      <c r="M255" s="130">
        <f t="shared" si="33"/>
        <v>0.64</v>
      </c>
      <c r="N255" s="130">
        <f t="shared" si="33"/>
        <v>0.64</v>
      </c>
      <c r="O255" s="130">
        <f t="shared" si="33"/>
        <v>0.64</v>
      </c>
      <c r="P255" s="130">
        <f t="shared" si="33"/>
        <v>0</v>
      </c>
      <c r="Q255" s="130">
        <f t="shared" si="33"/>
        <v>0</v>
      </c>
      <c r="R255" s="130">
        <f t="shared" si="33"/>
        <v>0</v>
      </c>
      <c r="S255" s="130">
        <f t="shared" si="33"/>
        <v>0</v>
      </c>
      <c r="T255" s="130">
        <f t="shared" si="33"/>
        <v>0</v>
      </c>
      <c r="U255" s="130">
        <f t="shared" si="33"/>
        <v>0</v>
      </c>
      <c r="V255" s="130">
        <f t="shared" si="33"/>
        <v>0</v>
      </c>
      <c r="W255" s="130">
        <f t="shared" si="33"/>
        <v>0</v>
      </c>
      <c r="X255" s="130">
        <f t="shared" si="33"/>
        <v>0</v>
      </c>
      <c r="Y255" s="130">
        <f t="shared" si="33"/>
        <v>0</v>
      </c>
      <c r="Z255" s="130">
        <f t="shared" si="33"/>
        <v>0</v>
      </c>
      <c r="AA255" s="130">
        <f t="shared" si="33"/>
        <v>0</v>
      </c>
      <c r="AB255" s="130">
        <f t="shared" si="33"/>
        <v>0</v>
      </c>
      <c r="AC255" s="130">
        <f t="shared" si="33"/>
        <v>0</v>
      </c>
      <c r="AD255" s="130">
        <f t="shared" si="33"/>
        <v>0</v>
      </c>
      <c r="AE255" s="130">
        <f t="shared" si="33"/>
        <v>0</v>
      </c>
      <c r="AF255" s="130">
        <f>B219</f>
        <v>0</v>
      </c>
      <c r="AG255" s="47"/>
      <c r="AH255" s="47"/>
      <c r="AJ255"/>
    </row>
    <row r="256" spans="1:36" x14ac:dyDescent="0.25">
      <c r="A256" s="88" t="str">
        <f>A223</f>
        <v>KGA</v>
      </c>
      <c r="B256" s="88" t="str">
        <f>IF(B223&lt;100,"",B223-520)</f>
        <v/>
      </c>
      <c r="C256" s="88" t="str">
        <f t="shared" ref="C256:AF256" si="34">IF(C223&lt;100,"",C223-520)</f>
        <v/>
      </c>
      <c r="D256" s="88" t="str">
        <f t="shared" si="34"/>
        <v/>
      </c>
      <c r="E256" s="88" t="str">
        <f t="shared" si="34"/>
        <v/>
      </c>
      <c r="F256" s="88" t="str">
        <f t="shared" si="34"/>
        <v/>
      </c>
      <c r="G256" s="88" t="str">
        <f t="shared" si="34"/>
        <v/>
      </c>
      <c r="H256" s="88" t="str">
        <f t="shared" si="34"/>
        <v/>
      </c>
      <c r="I256" s="88" t="str">
        <f t="shared" si="34"/>
        <v/>
      </c>
      <c r="J256" s="88" t="str">
        <f t="shared" si="34"/>
        <v/>
      </c>
      <c r="K256" s="88" t="str">
        <f t="shared" si="34"/>
        <v/>
      </c>
      <c r="L256" s="88" t="str">
        <f t="shared" si="34"/>
        <v/>
      </c>
      <c r="M256" s="88" t="str">
        <f t="shared" si="34"/>
        <v/>
      </c>
      <c r="N256" s="88" t="str">
        <f t="shared" si="34"/>
        <v/>
      </c>
      <c r="O256" s="88" t="str">
        <f t="shared" si="34"/>
        <v/>
      </c>
      <c r="P256" s="88" t="str">
        <f t="shared" si="34"/>
        <v/>
      </c>
      <c r="Q256" s="88" t="str">
        <f t="shared" si="34"/>
        <v/>
      </c>
      <c r="R256" s="88" t="str">
        <f t="shared" si="34"/>
        <v/>
      </c>
      <c r="S256" s="88" t="str">
        <f t="shared" si="34"/>
        <v/>
      </c>
      <c r="T256" s="88" t="str">
        <f t="shared" si="34"/>
        <v/>
      </c>
      <c r="U256" s="88" t="str">
        <f t="shared" si="34"/>
        <v/>
      </c>
      <c r="V256" s="88" t="str">
        <f t="shared" si="34"/>
        <v/>
      </c>
      <c r="W256" s="88" t="str">
        <f t="shared" si="34"/>
        <v/>
      </c>
      <c r="X256" s="88" t="str">
        <f t="shared" si="34"/>
        <v/>
      </c>
      <c r="Y256" s="88" t="str">
        <f t="shared" si="34"/>
        <v/>
      </c>
      <c r="Z256" s="88" t="str">
        <f t="shared" si="34"/>
        <v/>
      </c>
      <c r="AA256" s="88" t="str">
        <f t="shared" si="34"/>
        <v/>
      </c>
      <c r="AB256" s="88" t="str">
        <f t="shared" si="34"/>
        <v/>
      </c>
      <c r="AC256" s="88" t="str">
        <f t="shared" si="34"/>
        <v/>
      </c>
      <c r="AD256" s="88" t="str">
        <f t="shared" si="34"/>
        <v/>
      </c>
      <c r="AE256" s="88" t="str">
        <f t="shared" si="34"/>
        <v/>
      </c>
      <c r="AF256" s="88" t="str">
        <f t="shared" si="34"/>
        <v/>
      </c>
      <c r="AG256" s="47"/>
      <c r="AH256" s="47"/>
      <c r="AJ256"/>
    </row>
    <row r="257" spans="1:36" x14ac:dyDescent="0.25">
      <c r="A257" s="88" t="str">
        <f>A224</f>
        <v>MMRS</v>
      </c>
      <c r="B257" s="88" t="str">
        <f t="shared" ref="B257:AF257" si="35">IF(B224&lt;100,"",B224-620)</f>
        <v/>
      </c>
      <c r="C257" s="88" t="str">
        <f t="shared" si="35"/>
        <v/>
      </c>
      <c r="D257" s="88" t="str">
        <f t="shared" si="35"/>
        <v/>
      </c>
      <c r="E257" s="88" t="str">
        <f t="shared" si="35"/>
        <v/>
      </c>
      <c r="F257" s="88" t="str">
        <f t="shared" si="35"/>
        <v/>
      </c>
      <c r="G257" s="88" t="str">
        <f t="shared" si="35"/>
        <v/>
      </c>
      <c r="H257" s="88" t="str">
        <f t="shared" si="35"/>
        <v/>
      </c>
      <c r="I257" s="88" t="str">
        <f t="shared" si="35"/>
        <v/>
      </c>
      <c r="J257" s="88" t="str">
        <f t="shared" si="35"/>
        <v/>
      </c>
      <c r="K257" s="88" t="str">
        <f t="shared" si="35"/>
        <v/>
      </c>
      <c r="L257" s="88" t="str">
        <f t="shared" si="35"/>
        <v/>
      </c>
      <c r="M257" s="88" t="str">
        <f t="shared" si="35"/>
        <v/>
      </c>
      <c r="N257" s="88" t="str">
        <f t="shared" si="35"/>
        <v/>
      </c>
      <c r="O257" s="88" t="str">
        <f t="shared" si="35"/>
        <v/>
      </c>
      <c r="P257" s="88" t="str">
        <f t="shared" si="35"/>
        <v/>
      </c>
      <c r="Q257" s="88" t="str">
        <f t="shared" si="35"/>
        <v/>
      </c>
      <c r="R257" s="88" t="str">
        <f t="shared" si="35"/>
        <v/>
      </c>
      <c r="S257" s="88" t="str">
        <f t="shared" si="35"/>
        <v/>
      </c>
      <c r="T257" s="88" t="str">
        <f t="shared" si="35"/>
        <v/>
      </c>
      <c r="U257" s="88" t="str">
        <f t="shared" si="35"/>
        <v/>
      </c>
      <c r="V257" s="88" t="str">
        <f t="shared" si="35"/>
        <v/>
      </c>
      <c r="W257" s="88" t="str">
        <f t="shared" si="35"/>
        <v/>
      </c>
      <c r="X257" s="88" t="str">
        <f t="shared" si="35"/>
        <v/>
      </c>
      <c r="Y257" s="88" t="str">
        <f t="shared" si="35"/>
        <v/>
      </c>
      <c r="Z257" s="88" t="str">
        <f t="shared" si="35"/>
        <v/>
      </c>
      <c r="AA257" s="88" t="str">
        <f t="shared" si="35"/>
        <v/>
      </c>
      <c r="AB257" s="88" t="str">
        <f t="shared" si="35"/>
        <v/>
      </c>
      <c r="AC257" s="88" t="str">
        <f t="shared" si="35"/>
        <v/>
      </c>
      <c r="AD257" s="88" t="str">
        <f t="shared" si="35"/>
        <v/>
      </c>
      <c r="AE257" s="88" t="str">
        <f t="shared" si="35"/>
        <v/>
      </c>
      <c r="AF257" s="88" t="str">
        <f t="shared" si="35"/>
        <v/>
      </c>
      <c r="AG257" s="47"/>
      <c r="AH257" s="47"/>
      <c r="AJ257"/>
    </row>
    <row r="258" spans="1:36" x14ac:dyDescent="0.25">
      <c r="A258" s="88" t="str">
        <f>A225</f>
        <v>MRS</v>
      </c>
      <c r="B258" s="88" t="str">
        <f t="shared" ref="B258:AF258" si="36">IF(B225&lt;100,"",B225-330)</f>
        <v/>
      </c>
      <c r="C258" s="88" t="str">
        <f t="shared" si="36"/>
        <v/>
      </c>
      <c r="D258" s="88" t="str">
        <f t="shared" si="36"/>
        <v/>
      </c>
      <c r="E258" s="88" t="str">
        <f t="shared" si="36"/>
        <v/>
      </c>
      <c r="F258" s="88" t="str">
        <f t="shared" si="36"/>
        <v/>
      </c>
      <c r="G258" s="88" t="str">
        <f t="shared" si="36"/>
        <v/>
      </c>
      <c r="H258" s="88" t="str">
        <f t="shared" si="36"/>
        <v/>
      </c>
      <c r="I258" s="88" t="str">
        <f t="shared" si="36"/>
        <v/>
      </c>
      <c r="J258" s="88" t="str">
        <f t="shared" si="36"/>
        <v/>
      </c>
      <c r="K258" s="88" t="str">
        <f t="shared" si="36"/>
        <v/>
      </c>
      <c r="L258" s="88" t="str">
        <f t="shared" si="36"/>
        <v/>
      </c>
      <c r="M258" s="88" t="str">
        <f t="shared" si="36"/>
        <v/>
      </c>
      <c r="N258" s="88" t="str">
        <f t="shared" si="36"/>
        <v/>
      </c>
      <c r="O258" s="88" t="str">
        <f t="shared" si="36"/>
        <v/>
      </c>
      <c r="P258" s="88" t="str">
        <f t="shared" si="36"/>
        <v/>
      </c>
      <c r="Q258" s="88" t="str">
        <f t="shared" si="36"/>
        <v/>
      </c>
      <c r="R258" s="88" t="str">
        <f t="shared" si="36"/>
        <v/>
      </c>
      <c r="S258" s="88" t="str">
        <f t="shared" si="36"/>
        <v/>
      </c>
      <c r="T258" s="88" t="str">
        <f t="shared" si="36"/>
        <v/>
      </c>
      <c r="U258" s="88" t="str">
        <f t="shared" si="36"/>
        <v/>
      </c>
      <c r="V258" s="88" t="str">
        <f t="shared" si="36"/>
        <v/>
      </c>
      <c r="W258" s="88" t="str">
        <f t="shared" si="36"/>
        <v/>
      </c>
      <c r="X258" s="88" t="str">
        <f t="shared" si="36"/>
        <v/>
      </c>
      <c r="Y258" s="88" t="str">
        <f t="shared" si="36"/>
        <v/>
      </c>
      <c r="Z258" s="88" t="str">
        <f t="shared" si="36"/>
        <v/>
      </c>
      <c r="AA258" s="88" t="str">
        <f t="shared" si="36"/>
        <v/>
      </c>
      <c r="AB258" s="88" t="str">
        <f t="shared" si="36"/>
        <v/>
      </c>
      <c r="AC258" s="88" t="str">
        <f t="shared" si="36"/>
        <v/>
      </c>
      <c r="AD258" s="88" t="str">
        <f t="shared" si="36"/>
        <v/>
      </c>
      <c r="AE258" s="88" t="str">
        <f t="shared" si="36"/>
        <v/>
      </c>
      <c r="AF258" s="88" t="str">
        <f t="shared" si="36"/>
        <v/>
      </c>
      <c r="AG258" s="47"/>
      <c r="AH258" s="47"/>
      <c r="AJ258"/>
    </row>
    <row r="259" spans="1:36" x14ac:dyDescent="0.25">
      <c r="A259" s="88" t="str">
        <f>A226</f>
        <v>KL 1</v>
      </c>
      <c r="B259" s="88" t="str">
        <f>IF(B226&lt;100,"",B226-1500)</f>
        <v/>
      </c>
      <c r="C259" s="88" t="str">
        <f t="shared" ref="C259:AF259" si="37">IF(C226&lt;100,"",C226-1500)</f>
        <v/>
      </c>
      <c r="D259" s="88" t="str">
        <f t="shared" si="37"/>
        <v/>
      </c>
      <c r="E259" s="88" t="str">
        <f t="shared" si="37"/>
        <v/>
      </c>
      <c r="F259" s="88" t="str">
        <f t="shared" si="37"/>
        <v/>
      </c>
      <c r="G259" s="88" t="str">
        <f t="shared" si="37"/>
        <v/>
      </c>
      <c r="H259" s="88" t="str">
        <f t="shared" si="37"/>
        <v/>
      </c>
      <c r="I259" s="88" t="str">
        <f t="shared" si="37"/>
        <v/>
      </c>
      <c r="J259" s="88" t="str">
        <f t="shared" si="37"/>
        <v/>
      </c>
      <c r="K259" s="88" t="str">
        <f t="shared" si="37"/>
        <v/>
      </c>
      <c r="L259" s="88" t="str">
        <f t="shared" si="37"/>
        <v/>
      </c>
      <c r="M259" s="88" t="str">
        <f t="shared" si="37"/>
        <v/>
      </c>
      <c r="N259" s="88" t="str">
        <f t="shared" si="37"/>
        <v/>
      </c>
      <c r="O259" s="88" t="str">
        <f t="shared" si="37"/>
        <v/>
      </c>
      <c r="P259" s="88" t="str">
        <f t="shared" si="37"/>
        <v/>
      </c>
      <c r="Q259" s="88" t="str">
        <f t="shared" si="37"/>
        <v/>
      </c>
      <c r="R259" s="88" t="str">
        <f t="shared" si="37"/>
        <v/>
      </c>
      <c r="S259" s="88" t="str">
        <f t="shared" si="37"/>
        <v/>
      </c>
      <c r="T259" s="88" t="str">
        <f t="shared" si="37"/>
        <v/>
      </c>
      <c r="U259" s="88" t="str">
        <f t="shared" si="37"/>
        <v/>
      </c>
      <c r="V259" s="88" t="str">
        <f t="shared" si="37"/>
        <v/>
      </c>
      <c r="W259" s="88" t="str">
        <f t="shared" si="37"/>
        <v/>
      </c>
      <c r="X259" s="88" t="str">
        <f t="shared" si="37"/>
        <v/>
      </c>
      <c r="Y259" s="88" t="str">
        <f t="shared" si="37"/>
        <v/>
      </c>
      <c r="Z259" s="88" t="str">
        <f t="shared" si="37"/>
        <v/>
      </c>
      <c r="AA259" s="88" t="str">
        <f t="shared" si="37"/>
        <v/>
      </c>
      <c r="AB259" s="88" t="str">
        <f t="shared" si="37"/>
        <v/>
      </c>
      <c r="AC259" s="88" t="str">
        <f t="shared" si="37"/>
        <v/>
      </c>
      <c r="AD259" s="88" t="str">
        <f t="shared" si="37"/>
        <v/>
      </c>
      <c r="AE259" s="88" t="str">
        <f t="shared" si="37"/>
        <v/>
      </c>
      <c r="AF259" s="88" t="str">
        <f t="shared" si="37"/>
        <v/>
      </c>
      <c r="AG259" s="47"/>
      <c r="AH259" s="47"/>
      <c r="AJ259"/>
    </row>
    <row r="260" spans="1:36" x14ac:dyDescent="0.25"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J260"/>
    </row>
    <row r="261" spans="1:36" x14ac:dyDescent="0.25"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J261"/>
    </row>
    <row r="262" spans="1:36" x14ac:dyDescent="0.25"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J262"/>
    </row>
    <row r="263" spans="1:36" x14ac:dyDescent="0.25"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J263"/>
    </row>
    <row r="264" spans="1:36" x14ac:dyDescent="0.25"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J264"/>
    </row>
    <row r="265" spans="1:36" x14ac:dyDescent="0.25"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J265"/>
    </row>
    <row r="266" spans="1:36" x14ac:dyDescent="0.25"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J266"/>
    </row>
    <row r="490" spans="36:38" x14ac:dyDescent="0.25">
      <c r="AK490" s="1"/>
    </row>
    <row r="491" spans="36:38" x14ac:dyDescent="0.25">
      <c r="AK491" s="1"/>
      <c r="AL491" s="1"/>
    </row>
    <row r="492" spans="36:38" x14ac:dyDescent="0.25">
      <c r="AJ492"/>
    </row>
  </sheetData>
  <mergeCells count="48">
    <mergeCell ref="A231:B23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28">
      <iconSet iconSet="3TrafficLights2" reverse="1">
        <cfvo type="percent" val="0"/>
        <cfvo type="num" val="1"/>
        <cfvo type="num" val="1"/>
      </iconSet>
    </cfRule>
  </conditionalFormatting>
  <conditionalFormatting sqref="D214:AF220 B214:B220 B212:AF212 U233:AF233 C99:AF105 B9:AF10 AB11:AF11">
    <cfRule type="expression" dxfId="5117" priority="224">
      <formula>B$9&gt;=20/24</formula>
    </cfRule>
    <cfRule type="expression" dxfId="5116" priority="225">
      <formula>AND(B$9&gt;=14/24,B$9&lt;20/24)</formula>
    </cfRule>
    <cfRule type="expression" dxfId="5115" priority="226">
      <formula>AND(B$9&gt;=8/24,B$9&lt;14/24)</formula>
    </cfRule>
    <cfRule type="expression" dxfId="5114" priority="227">
      <formula>B$9&lt;8/24</formula>
    </cfRule>
  </conditionalFormatting>
  <conditionalFormatting sqref="AL4:AL6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AB37:AF37">
    <cfRule type="expression" dxfId="5113" priority="219">
      <formula>AB$9&gt;=20/24</formula>
    </cfRule>
    <cfRule type="expression" dxfId="5112" priority="220">
      <formula>AND(AB$9&gt;=14/24,AB$9&lt;20/24)</formula>
    </cfRule>
    <cfRule type="expression" dxfId="5111" priority="221">
      <formula>AND(AB$9&gt;=8/24,AB$9&lt;14/24)</formula>
    </cfRule>
    <cfRule type="expression" dxfId="5110" priority="222">
      <formula>AB$9&lt;8/24</formula>
    </cfRule>
  </conditionalFormatting>
  <conditionalFormatting sqref="AG55 O12:R16 B12:E16 F12:G14 J11:R11 F16:N16 AB37:AF37 S11:AF16 B35:AF35">
    <cfRule type="expression" dxfId="5109" priority="218">
      <formula>B11&gt;$AG11</formula>
    </cfRule>
  </conditionalFormatting>
  <conditionalFormatting sqref="A89:A102 A11:A14 A49:A76 A85:A87 A190:A220 A16:A30 A36:A47 A106:A177 A32:A33 A81:A83 A78:A79">
    <cfRule type="expression" dxfId="5108" priority="217">
      <formula>$AH11=0</formula>
    </cfRule>
  </conditionalFormatting>
  <conditionalFormatting sqref="A103">
    <cfRule type="expression" dxfId="5107" priority="216">
      <formula>$AH103=0</formula>
    </cfRule>
  </conditionalFormatting>
  <conditionalFormatting sqref="AL3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5106" priority="214">
      <formula>$AH35=0</formula>
    </cfRule>
  </conditionalFormatting>
  <conditionalFormatting sqref="A88">
    <cfRule type="expression" dxfId="5105" priority="213">
      <formula>$AH88=0</formula>
    </cfRule>
  </conditionalFormatting>
  <conditionalFormatting sqref="A15">
    <cfRule type="expression" dxfId="5104" priority="212">
      <formula>$AH15=0</formula>
    </cfRule>
  </conditionalFormatting>
  <conditionalFormatting sqref="A184:A189">
    <cfRule type="expression" dxfId="5103" priority="211">
      <formula>$AH184=0</formula>
    </cfRule>
  </conditionalFormatting>
  <conditionalFormatting sqref="A178:A183">
    <cfRule type="expression" dxfId="5102" priority="210">
      <formula>$AH178=0</formula>
    </cfRule>
  </conditionalFormatting>
  <conditionalFormatting sqref="A48">
    <cfRule type="expression" dxfId="5101" priority="209">
      <formula>$AH48=0</formula>
    </cfRule>
  </conditionalFormatting>
  <conditionalFormatting sqref="A84">
    <cfRule type="expression" dxfId="5100" priority="208">
      <formula>$AH84=0</formula>
    </cfRule>
  </conditionalFormatting>
  <conditionalFormatting sqref="C89:AF89">
    <cfRule type="expression" dxfId="5099" priority="204">
      <formula>C$9&gt;=20/24</formula>
    </cfRule>
    <cfRule type="expression" dxfId="5098" priority="205">
      <formula>AND(C$9&gt;=14/24,C$9&lt;20/24)</formula>
    </cfRule>
    <cfRule type="expression" dxfId="5097" priority="206">
      <formula>AND(C$9&gt;=8/24,C$9&lt;14/24)</formula>
    </cfRule>
    <cfRule type="expression" dxfId="5096" priority="207">
      <formula>C$9&lt;8/24</formula>
    </cfRule>
  </conditionalFormatting>
  <conditionalFormatting sqref="AL34">
    <cfRule type="iconSet" priority="20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095" priority="230">
      <formula>C$9&gt;=20/24</formula>
    </cfRule>
    <cfRule type="expression" dxfId="5094" priority="231">
      <formula>AND(C$9&gt;=14/24,C$9&lt;20/24)</formula>
    </cfRule>
    <cfRule type="expression" dxfId="5093" priority="232">
      <formula>AND(C$9&gt;=8/24,C$9&lt;14/24)</formula>
    </cfRule>
    <cfRule type="expression" dxfId="5092" priority="233">
      <formula>C$9&lt;8/24</formula>
    </cfRule>
  </conditionalFormatting>
  <conditionalFormatting sqref="A221">
    <cfRule type="expression" dxfId="5091" priority="234">
      <formula>$AH221=0</formula>
    </cfRule>
  </conditionalFormatting>
  <conditionalFormatting sqref="AG233">
    <cfRule type="expression" dxfId="5090" priority="235">
      <formula>B$9&gt;=20/24</formula>
    </cfRule>
    <cfRule type="expression" dxfId="5089" priority="236">
      <formula>AND(B$9&gt;=14/24,B$9&lt;20/24)</formula>
    </cfRule>
    <cfRule type="expression" dxfId="5088" priority="237">
      <formula>AND(B$9&gt;=8/24,B$9&lt;14/24)</formula>
    </cfRule>
    <cfRule type="expression" dxfId="5087" priority="238">
      <formula>B$9&lt;8/24</formula>
    </cfRule>
  </conditionalFormatting>
  <conditionalFormatting sqref="S8">
    <cfRule type="expression" dxfId="5086" priority="199">
      <formula>U$9&gt;=20/24</formula>
    </cfRule>
    <cfRule type="expression" dxfId="5085" priority="200">
      <formula>AND(U$9&gt;=14/24,U$9&lt;20/24)</formula>
    </cfRule>
    <cfRule type="expression" dxfId="5084" priority="201">
      <formula>AND(U$9&gt;=8/24,U$9&lt;14/24)</formula>
    </cfRule>
    <cfRule type="expression" dxfId="5083" priority="202">
      <formula>U$9&lt;8/24</formula>
    </cfRule>
  </conditionalFormatting>
  <conditionalFormatting sqref="AB8">
    <cfRule type="expression" dxfId="5082" priority="195">
      <formula>AD$9&gt;=20/24</formula>
    </cfRule>
    <cfRule type="expression" dxfId="5081" priority="196">
      <formula>AND(AD$9&gt;=14/24,AD$9&lt;20/24)</formula>
    </cfRule>
    <cfRule type="expression" dxfId="5080" priority="197">
      <formula>AND(AD$9&gt;=8/24,AD$9&lt;14/24)</formula>
    </cfRule>
    <cfRule type="expression" dxfId="5079" priority="198">
      <formula>AD$9&lt;8/24</formula>
    </cfRule>
  </conditionalFormatting>
  <conditionalFormatting sqref="AH233:AX233">
    <cfRule type="expression" dxfId="5078" priority="239">
      <formula>AG$9&gt;=20/24</formula>
    </cfRule>
    <cfRule type="expression" dxfId="5077" priority="240">
      <formula>AND(AG$9&gt;=14/24,AG$9&lt;20/24)</formula>
    </cfRule>
    <cfRule type="expression" dxfId="5076" priority="241">
      <formula>AND(AG$9&gt;=8/24,AG$9&lt;14/24)</formula>
    </cfRule>
    <cfRule type="expression" dxfId="5075" priority="242">
      <formula>AG$9&lt;8/24</formula>
    </cfRule>
  </conditionalFormatting>
  <conditionalFormatting sqref="T233">
    <cfRule type="expression" dxfId="5074" priority="243">
      <formula>AX$9&gt;=20/24</formula>
    </cfRule>
    <cfRule type="expression" dxfId="5073" priority="244">
      <formula>AND(AX$9&gt;=14/24,AX$9&lt;20/24)</formula>
    </cfRule>
    <cfRule type="expression" dxfId="5072" priority="245">
      <formula>AND(AX$9&gt;=8/24,AX$9&lt;14/24)</formula>
    </cfRule>
    <cfRule type="expression" dxfId="5071" priority="246">
      <formula>AX$9&lt;8/24</formula>
    </cfRule>
  </conditionalFormatting>
  <conditionalFormatting sqref="A104:A105">
    <cfRule type="expression" dxfId="5070" priority="194">
      <formula>$AH104=0</formula>
    </cfRule>
  </conditionalFormatting>
  <conditionalFormatting sqref="H11:I11 G44:L45 B61:AF61 AB44:AF45 AB36:AF36">
    <cfRule type="expression" dxfId="5069" priority="190">
      <formula>B$9&gt;=20/24</formula>
    </cfRule>
    <cfRule type="expression" dxfId="5068" priority="191">
      <formula>AND(B$9&gt;=14/24,B$9&lt;20/24)</formula>
    </cfRule>
    <cfRule type="expression" dxfId="5067" priority="192">
      <formula>AND(B$9&gt;=8/24,B$9&lt;14/24)</formula>
    </cfRule>
    <cfRule type="expression" dxfId="5066" priority="193">
      <formula>B$9&lt;8/24</formula>
    </cfRule>
  </conditionalFormatting>
  <conditionalFormatting sqref="G43:L43 S43:AF43">
    <cfRule type="expression" dxfId="5065" priority="186">
      <formula>G$9&gt;=20/24</formula>
    </cfRule>
    <cfRule type="expression" dxfId="5064" priority="187">
      <formula>AND(G$9&gt;=14/24,G$9&lt;20/24)</formula>
    </cfRule>
    <cfRule type="expression" dxfId="5063" priority="188">
      <formula>AND(G$9&gt;=8/24,G$9&lt;14/24)</formula>
    </cfRule>
    <cfRule type="expression" dxfId="5062" priority="189">
      <formula>G$9&lt;8/24</formula>
    </cfRule>
  </conditionalFormatting>
  <conditionalFormatting sqref="H11:I11 G43:L45 S43:AA43 AB43:AF45 AB36:AF36">
    <cfRule type="expression" dxfId="5061" priority="185">
      <formula>G11&gt;$AG11</formula>
    </cfRule>
  </conditionalFormatting>
  <conditionalFormatting sqref="M11:R11 C86:AF86 M37:R37 K62:X63 B62:J67 H12:R14 Q64:S64 K64:P67 H36:R36 R65:S71 B71:Q71 Q65:Q67 T64:X71 S11:AA14 S36:AA37 Y62:AF71 C73:AF76 C90:AF96 AB12:AF14 M16:AF16 R28:AF30 R32:AF32 M18:AF22 C57:AF59 M24:AF26">
    <cfRule type="expression" dxfId="5060" priority="181">
      <formula>B$9&gt;=20/24</formula>
    </cfRule>
    <cfRule type="expression" dxfId="5059" priority="182">
      <formula>AND(B$9&gt;=14/24,B$9&lt;20/24)</formula>
    </cfRule>
    <cfRule type="expression" dxfId="5058" priority="183">
      <formula>AND(B$9&gt;=8/24,B$9&lt;14/24)</formula>
    </cfRule>
    <cfRule type="expression" dxfId="5057" priority="184">
      <formula>B$9&lt;8/24</formula>
    </cfRule>
  </conditionalFormatting>
  <conditionalFormatting sqref="R33:AF33">
    <cfRule type="expression" dxfId="5056" priority="177">
      <formula>R$9&gt;=20/24</formula>
    </cfRule>
    <cfRule type="expression" dxfId="5055" priority="178">
      <formula>AND(R$9&gt;=14/24,R$9&lt;20/24)</formula>
    </cfRule>
    <cfRule type="expression" dxfId="5054" priority="179">
      <formula>AND(R$9&gt;=8/24,R$9&lt;14/24)</formula>
    </cfRule>
    <cfRule type="expression" dxfId="5053" priority="180">
      <formula>R$9&lt;8/24</formula>
    </cfRule>
  </conditionalFormatting>
  <conditionalFormatting sqref="C55:AF55 E37:R37 F15:G15 H12:N15 H46:L48 M24:Q27 H36:R36 M11:AA11 S36:AA37 AB46:AF47 R32:AF33 M18:AF22 C57:AF59 R24:AF30">
    <cfRule type="expression" dxfId="5052" priority="176">
      <formula>C11&gt;$AG11</formula>
    </cfRule>
  </conditionalFormatting>
  <conditionalFormatting sqref="R35:AF35">
    <cfRule type="expression" dxfId="5051" priority="172">
      <formula>R$9&gt;=20/24</formula>
    </cfRule>
    <cfRule type="expression" dxfId="5050" priority="173">
      <formula>AND(R$9&gt;=14/24,R$9&lt;20/24)</formula>
    </cfRule>
    <cfRule type="expression" dxfId="5049" priority="174">
      <formula>AND(R$9&gt;=8/24,R$9&lt;14/24)</formula>
    </cfRule>
    <cfRule type="expression" dxfId="5048" priority="175">
      <formula>R$9&lt;8/24</formula>
    </cfRule>
  </conditionalFormatting>
  <conditionalFormatting sqref="F15:AF15">
    <cfRule type="expression" dxfId="5047" priority="168">
      <formula>F$9&gt;=20/24</formula>
    </cfRule>
    <cfRule type="expression" dxfId="5046" priority="169">
      <formula>AND(F$9&gt;=14/24,F$9&lt;20/24)</formula>
    </cfRule>
    <cfRule type="expression" dxfId="5045" priority="170">
      <formula>AND(F$9&gt;=8/24,F$9&lt;14/24)</formula>
    </cfRule>
    <cfRule type="expression" dxfId="5044" priority="171">
      <formula>F$9&lt;8/24</formula>
    </cfRule>
  </conditionalFormatting>
  <conditionalFormatting sqref="R34:AF34">
    <cfRule type="expression" dxfId="5043" priority="164">
      <formula>R$9&gt;=20/24</formula>
    </cfRule>
    <cfRule type="expression" dxfId="5042" priority="165">
      <formula>AND(R$9&gt;=14/24,R$9&lt;20/24)</formula>
    </cfRule>
    <cfRule type="expression" dxfId="5041" priority="166">
      <formula>AND(R$9&gt;=8/24,R$9&lt;14/24)</formula>
    </cfRule>
    <cfRule type="expression" dxfId="5040" priority="167">
      <formula>R$9&lt;8/24</formula>
    </cfRule>
  </conditionalFormatting>
  <conditionalFormatting sqref="R34:AF34">
    <cfRule type="expression" dxfId="5039" priority="163">
      <formula>R34&gt;$AG34</formula>
    </cfRule>
  </conditionalFormatting>
  <conditionalFormatting sqref="AB48:AF54">
    <cfRule type="expression" dxfId="5038" priority="155">
      <formula>AB$9&gt;=20/24</formula>
    </cfRule>
    <cfRule type="expression" dxfId="5037" priority="156">
      <formula>AND(AB$9&gt;=14/24,AB$9&lt;20/24)</formula>
    </cfRule>
    <cfRule type="expression" dxfId="5036" priority="157">
      <formula>AND(AB$9&gt;=8/24,AB$9&lt;14/24)</formula>
    </cfRule>
    <cfRule type="expression" dxfId="5035" priority="158">
      <formula>AB$9&lt;8/24</formula>
    </cfRule>
  </conditionalFormatting>
  <conditionalFormatting sqref="AB48:AF54">
    <cfRule type="expression" dxfId="5034" priority="154">
      <formula>AB48&gt;$AG48</formula>
    </cfRule>
  </conditionalFormatting>
  <conditionalFormatting sqref="M43:R54 S44:AA54">
    <cfRule type="expression" dxfId="5033" priority="150">
      <formula>M$9&gt;=20/24</formula>
    </cfRule>
    <cfRule type="expression" dxfId="5032" priority="151">
      <formula>AND(M$9&gt;=14/24,M$9&lt;20/24)</formula>
    </cfRule>
    <cfRule type="expression" dxfId="5031" priority="152">
      <formula>AND(M$9&gt;=8/24,M$9&lt;14/24)</formula>
    </cfRule>
    <cfRule type="expression" dxfId="5030" priority="153">
      <formula>M$9&lt;8/24</formula>
    </cfRule>
  </conditionalFormatting>
  <conditionalFormatting sqref="M43:R54 S44:AA54">
    <cfRule type="expression" dxfId="5029" priority="149">
      <formula>M43&gt;$AG43</formula>
    </cfRule>
  </conditionalFormatting>
  <conditionalFormatting sqref="M27:AF27">
    <cfRule type="expression" dxfId="5028" priority="145">
      <formula>M$9&gt;=20/24</formula>
    </cfRule>
    <cfRule type="expression" dxfId="5027" priority="146">
      <formula>AND(M$9&gt;=14/24,M$9&lt;20/24)</formula>
    </cfRule>
    <cfRule type="expression" dxfId="5026" priority="147">
      <formula>AND(M$9&gt;=8/24,M$9&lt;14/24)</formula>
    </cfRule>
    <cfRule type="expression" dxfId="5025" priority="148">
      <formula>M$9&lt;8/24</formula>
    </cfRule>
  </conditionalFormatting>
  <conditionalFormatting sqref="H16:L30 M28:Q30 H32:Q32 M17:AF17 M23:AF23">
    <cfRule type="expression" dxfId="5024" priority="141">
      <formula>H$9&gt;=20/24</formula>
    </cfRule>
    <cfRule type="expression" dxfId="5023" priority="142">
      <formula>AND(H$9&gt;=14/24,H$9&lt;20/24)</formula>
    </cfRule>
    <cfRule type="expression" dxfId="5022" priority="143">
      <formula>AND(H$9&gt;=8/24,H$9&lt;14/24)</formula>
    </cfRule>
    <cfRule type="expression" dxfId="5021" priority="144">
      <formula>H$9&lt;8/24</formula>
    </cfRule>
  </conditionalFormatting>
  <conditionalFormatting sqref="H33:Q33">
    <cfRule type="expression" dxfId="5020" priority="137">
      <formula>H$9&gt;=20/24</formula>
    </cfRule>
    <cfRule type="expression" dxfId="5019" priority="138">
      <formula>AND(H$9&gt;=14/24,H$9&lt;20/24)</formula>
    </cfRule>
    <cfRule type="expression" dxfId="5018" priority="139">
      <formula>AND(H$9&gt;=8/24,H$9&lt;14/24)</formula>
    </cfRule>
    <cfRule type="expression" dxfId="5017" priority="140">
      <formula>H$9&lt;8/24</formula>
    </cfRule>
  </conditionalFormatting>
  <conditionalFormatting sqref="H17:L30 M28:Q30 H32:Q33 M17:AF17 M23:AF23">
    <cfRule type="expression" dxfId="5016" priority="136">
      <formula>H17&gt;$AG17</formula>
    </cfRule>
  </conditionalFormatting>
  <conditionalFormatting sqref="H35:Q35">
    <cfRule type="expression" dxfId="5015" priority="132">
      <formula>H$9&gt;=20/24</formula>
    </cfRule>
    <cfRule type="expression" dxfId="5014" priority="133">
      <formula>AND(H$9&gt;=14/24,H$9&lt;20/24)</formula>
    </cfRule>
    <cfRule type="expression" dxfId="5013" priority="134">
      <formula>AND(H$9&gt;=8/24,H$9&lt;14/24)</formula>
    </cfRule>
    <cfRule type="expression" dxfId="5012" priority="135">
      <formula>H$9&lt;8/24</formula>
    </cfRule>
  </conditionalFormatting>
  <conditionalFormatting sqref="H34:Q34">
    <cfRule type="expression" dxfId="5011" priority="124">
      <formula>H$9&gt;=20/24</formula>
    </cfRule>
    <cfRule type="expression" dxfId="5010" priority="125">
      <formula>AND(H$9&gt;=14/24,H$9&lt;20/24)</formula>
    </cfRule>
    <cfRule type="expression" dxfId="5009" priority="126">
      <formula>AND(H$9&gt;=8/24,H$9&lt;14/24)</formula>
    </cfRule>
    <cfRule type="expression" dxfId="5008" priority="127">
      <formula>H$9&lt;8/24</formula>
    </cfRule>
  </conditionalFormatting>
  <conditionalFormatting sqref="H34:Q34">
    <cfRule type="expression" dxfId="5007" priority="123">
      <formula>H34&gt;$AG34</formula>
    </cfRule>
  </conditionalFormatting>
  <conditionalFormatting sqref="B68:Q70">
    <cfRule type="expression" dxfId="5006" priority="110">
      <formula>B$9&gt;=20/24</formula>
    </cfRule>
    <cfRule type="expression" dxfId="5005" priority="111">
      <formula>AND(B$9&gt;=14/24,B$9&lt;20/24)</formula>
    </cfRule>
    <cfRule type="expression" dxfId="5004" priority="112">
      <formula>AND(B$9&gt;=8/24,B$9&lt;14/24)</formula>
    </cfRule>
    <cfRule type="expression" dxfId="5003" priority="113">
      <formula>B$9&lt;8/24</formula>
    </cfRule>
  </conditionalFormatting>
  <conditionalFormatting sqref="H49:L54">
    <cfRule type="expression" dxfId="5002" priority="105">
      <formula>H$9&gt;=20/24</formula>
    </cfRule>
    <cfRule type="expression" dxfId="5001" priority="106">
      <formula>AND(H$9&gt;=14/24,H$9&lt;20/24)</formula>
    </cfRule>
    <cfRule type="expression" dxfId="5000" priority="107">
      <formula>AND(H$9&gt;=8/24,H$9&lt;14/24)</formula>
    </cfRule>
    <cfRule type="expression" dxfId="4999" priority="108">
      <formula>H$9&lt;8/24</formula>
    </cfRule>
  </conditionalFormatting>
  <conditionalFormatting sqref="H49:L54">
    <cfRule type="expression" dxfId="4998" priority="104">
      <formula>H49&gt;$AG49</formula>
    </cfRule>
  </conditionalFormatting>
  <conditionalFormatting sqref="B99:B105 B78:AF78 B87:AF87 B11:G11">
    <cfRule type="expression" dxfId="4997" priority="91">
      <formula>B$9&gt;=20/24</formula>
    </cfRule>
    <cfRule type="expression" dxfId="4996" priority="92">
      <formula>AND(B$9&gt;=14/24,B$9&lt;20/24)</formula>
    </cfRule>
    <cfRule type="expression" dxfId="4995" priority="93">
      <formula>AND(B$9&gt;=8/24,B$9&lt;14/24)</formula>
    </cfRule>
    <cfRule type="expression" dxfId="4994" priority="94">
      <formula>B$9&lt;8/24</formula>
    </cfRule>
  </conditionalFormatting>
  <conditionalFormatting sqref="B37:D37">
    <cfRule type="expression" dxfId="4993" priority="87">
      <formula>B$9&gt;=20/24</formula>
    </cfRule>
    <cfRule type="expression" dxfId="4992" priority="88">
      <formula>AND(B$9&gt;=14/24,B$9&lt;20/24)</formula>
    </cfRule>
    <cfRule type="expression" dxfId="4991" priority="89">
      <formula>AND(B$9&gt;=8/24,B$9&lt;14/24)</formula>
    </cfRule>
    <cfRule type="expression" dxfId="4990" priority="90">
      <formula>B$9&lt;8/24</formula>
    </cfRule>
  </conditionalFormatting>
  <conditionalFormatting sqref="B37:D37 B11:G11">
    <cfRule type="expression" dxfId="4989" priority="86">
      <formula>B11&gt;$AG11</formula>
    </cfRule>
  </conditionalFormatting>
  <conditionalFormatting sqref="B89">
    <cfRule type="expression" dxfId="4988" priority="82">
      <formula>B$9&gt;=20/24</formula>
    </cfRule>
    <cfRule type="expression" dxfId="4987" priority="83">
      <formula>AND(B$9&gt;=14/24,B$9&lt;20/24)</formula>
    </cfRule>
    <cfRule type="expression" dxfId="4986" priority="84">
      <formula>AND(B$9&gt;=8/24,B$9&lt;14/24)</formula>
    </cfRule>
    <cfRule type="expression" dxfId="4985" priority="85">
      <formula>B$9&lt;8/24</formula>
    </cfRule>
  </conditionalFormatting>
  <conditionalFormatting sqref="B44:F45 B36:G36">
    <cfRule type="expression" dxfId="4984" priority="78">
      <formula>B$9&gt;=20/24</formula>
    </cfRule>
    <cfRule type="expression" dxfId="4983" priority="79">
      <formula>AND(B$9&gt;=14/24,B$9&lt;20/24)</formula>
    </cfRule>
    <cfRule type="expression" dxfId="4982" priority="80">
      <formula>AND(B$9&gt;=8/24,B$9&lt;14/24)</formula>
    </cfRule>
    <cfRule type="expression" dxfId="4981" priority="81">
      <formula>B$9&lt;8/24</formula>
    </cfRule>
  </conditionalFormatting>
  <conditionalFormatting sqref="B43:F43">
    <cfRule type="expression" dxfId="4980" priority="74">
      <formula>B$9&gt;=20/24</formula>
    </cfRule>
    <cfRule type="expression" dxfId="4979" priority="75">
      <formula>AND(B$9&gt;=14/24,B$9&lt;20/24)</formula>
    </cfRule>
    <cfRule type="expression" dxfId="4978" priority="76">
      <formula>AND(B$9&gt;=8/24,B$9&lt;14/24)</formula>
    </cfRule>
    <cfRule type="expression" dxfId="4977" priority="77">
      <formula>B$9&lt;8/24</formula>
    </cfRule>
  </conditionalFormatting>
  <conditionalFormatting sqref="B43:F45 B36:G36">
    <cfRule type="expression" dxfId="4976" priority="73">
      <formula>B36&gt;$AG36</formula>
    </cfRule>
  </conditionalFormatting>
  <conditionalFormatting sqref="B90:B96 B57:B60 B73:B77 B79:AF79 B86 C60:AG60 C77:AG77 B88:AF88 B16:G16 B28:G30 B18:G22 B24:G26 B32:G32 B12:G14">
    <cfRule type="expression" dxfId="4975" priority="69">
      <formula>B$9&gt;=20/24</formula>
    </cfRule>
    <cfRule type="expression" dxfId="4974" priority="70">
      <formula>AND(B$9&gt;=14/24,B$9&lt;20/24)</formula>
    </cfRule>
    <cfRule type="expression" dxfId="4973" priority="71">
      <formula>AND(B$9&gt;=8/24,B$9&lt;14/24)</formula>
    </cfRule>
    <cfRule type="expression" dxfId="4972" priority="72">
      <formula>B$9&lt;8/24</formula>
    </cfRule>
  </conditionalFormatting>
  <conditionalFormatting sqref="B33:G33">
    <cfRule type="expression" dxfId="4971" priority="65">
      <formula>B$9&gt;=20/24</formula>
    </cfRule>
    <cfRule type="expression" dxfId="4970" priority="66">
      <formula>AND(B$9&gt;=14/24,B$9&lt;20/24)</formula>
    </cfRule>
    <cfRule type="expression" dxfId="4969" priority="67">
      <formula>AND(B$9&gt;=8/24,B$9&lt;14/24)</formula>
    </cfRule>
    <cfRule type="expression" dxfId="4968" priority="68">
      <formula>B$9&lt;8/24</formula>
    </cfRule>
  </conditionalFormatting>
  <conditionalFormatting sqref="B55:B60 B38:AG38 C56:AG56 C60:AG60 B18:G22 B24:G30 B32:G33 B46:G47">
    <cfRule type="expression" dxfId="4967" priority="64">
      <formula>B18&gt;$AG18</formula>
    </cfRule>
  </conditionalFormatting>
  <conditionalFormatting sqref="B35:G35">
    <cfRule type="expression" dxfId="4966" priority="60">
      <formula>B$9&gt;=20/24</formula>
    </cfRule>
    <cfRule type="expression" dxfId="4965" priority="61">
      <formula>AND(B$9&gt;=14/24,B$9&lt;20/24)</formula>
    </cfRule>
    <cfRule type="expression" dxfId="4964" priority="62">
      <formula>AND(B$9&gt;=8/24,B$9&lt;14/24)</formula>
    </cfRule>
    <cfRule type="expression" dxfId="4963" priority="63">
      <formula>B$9&lt;8/24</formula>
    </cfRule>
  </conditionalFormatting>
  <conditionalFormatting sqref="B15:E15">
    <cfRule type="expression" dxfId="4962" priority="56">
      <formula>B$9&gt;=20/24</formula>
    </cfRule>
    <cfRule type="expression" dxfId="4961" priority="57">
      <formula>AND(B$9&gt;=14/24,B$9&lt;20/24)</formula>
    </cfRule>
    <cfRule type="expression" dxfId="4960" priority="58">
      <formula>AND(B$9&gt;=8/24,B$9&lt;14/24)</formula>
    </cfRule>
    <cfRule type="expression" dxfId="4959" priority="59">
      <formula>B$9&lt;8/24</formula>
    </cfRule>
  </conditionalFormatting>
  <conditionalFormatting sqref="B34:G34">
    <cfRule type="expression" dxfId="4958" priority="52">
      <formula>B$9&gt;=20/24</formula>
    </cfRule>
    <cfRule type="expression" dxfId="4957" priority="53">
      <formula>AND(B$9&gt;=14/24,B$9&lt;20/24)</formula>
    </cfRule>
    <cfRule type="expression" dxfId="4956" priority="54">
      <formula>AND(B$9&gt;=8/24,B$9&lt;14/24)</formula>
    </cfRule>
    <cfRule type="expression" dxfId="4955" priority="55">
      <formula>B$9&lt;8/24</formula>
    </cfRule>
  </conditionalFormatting>
  <conditionalFormatting sqref="B34:G34">
    <cfRule type="expression" dxfId="4954" priority="51">
      <formula>B34&gt;$AG34</formula>
    </cfRule>
  </conditionalFormatting>
  <conditionalFormatting sqref="B48:G54">
    <cfRule type="expression" dxfId="4953" priority="47">
      <formula>B$9&gt;=20/24</formula>
    </cfRule>
    <cfRule type="expression" dxfId="4952" priority="48">
      <formula>AND(B$9&gt;=14/24,B$9&lt;20/24)</formula>
    </cfRule>
    <cfRule type="expression" dxfId="4951" priority="49">
      <formula>AND(B$9&gt;=8/24,B$9&lt;14/24)</formula>
    </cfRule>
    <cfRule type="expression" dxfId="4950" priority="50">
      <formula>B$9&lt;8/24</formula>
    </cfRule>
  </conditionalFormatting>
  <conditionalFormatting sqref="B48:G54">
    <cfRule type="expression" dxfId="4949" priority="46">
      <formula>B48&gt;$AG48</formula>
    </cfRule>
  </conditionalFormatting>
  <conditionalFormatting sqref="B27:G27">
    <cfRule type="expression" dxfId="4948" priority="42">
      <formula>B$9&gt;=20/24</formula>
    </cfRule>
    <cfRule type="expression" dxfId="4947" priority="43">
      <formula>AND(B$9&gt;=14/24,B$9&lt;20/24)</formula>
    </cfRule>
    <cfRule type="expression" dxfId="4946" priority="44">
      <formula>AND(B$9&gt;=8/24,B$9&lt;14/24)</formula>
    </cfRule>
    <cfRule type="expression" dxfId="4945" priority="45">
      <formula>B$9&lt;8/24</formula>
    </cfRule>
  </conditionalFormatting>
  <conditionalFormatting sqref="B17:G17 B23:G23">
    <cfRule type="expression" dxfId="4944" priority="38">
      <formula>B$9&gt;=20/24</formula>
    </cfRule>
    <cfRule type="expression" dxfId="4943" priority="39">
      <formula>AND(B$9&gt;=14/24,B$9&lt;20/24)</formula>
    </cfRule>
    <cfRule type="expression" dxfId="4942" priority="40">
      <formula>AND(B$9&gt;=8/24,B$9&lt;14/24)</formula>
    </cfRule>
    <cfRule type="expression" dxfId="4941" priority="41">
      <formula>B$9&lt;8/24</formula>
    </cfRule>
  </conditionalFormatting>
  <conditionalFormatting sqref="B17:G17 B23:G23">
    <cfRule type="expression" dxfId="4940" priority="37">
      <formula>B17&gt;$AG17</formula>
    </cfRule>
  </conditionalFormatting>
  <conditionalFormatting sqref="A34">
    <cfRule type="expression" dxfId="4939" priority="36">
      <formula>$AH34=0</formula>
    </cfRule>
  </conditionalFormatting>
  <conditionalFormatting sqref="B72:AF72">
    <cfRule type="expression" dxfId="4938" priority="32">
      <formula>B$9&gt;=20/24</formula>
    </cfRule>
    <cfRule type="expression" dxfId="4937" priority="33">
      <formula>AND(B$9&gt;=14/24,B$9&lt;20/24)</formula>
    </cfRule>
    <cfRule type="expression" dxfId="4936" priority="34">
      <formula>AND(B$9&gt;=8/24,B$9&lt;14/24)</formula>
    </cfRule>
    <cfRule type="expression" dxfId="4935" priority="35">
      <formula>B$9&lt;8/24</formula>
    </cfRule>
  </conditionalFormatting>
  <conditionalFormatting sqref="B81:AF85">
    <cfRule type="expression" dxfId="4934" priority="28">
      <formula>B$9&gt;=20/24</formula>
    </cfRule>
    <cfRule type="expression" dxfId="4933" priority="29">
      <formula>AND(B$9&gt;=14/24,B$9&lt;20/24)</formula>
    </cfRule>
    <cfRule type="expression" dxfId="4932" priority="30">
      <formula>AND(B$9&gt;=8/24,B$9&lt;14/24)</formula>
    </cfRule>
    <cfRule type="expression" dxfId="4931" priority="31">
      <formula>B$9&lt;8/24</formula>
    </cfRule>
  </conditionalFormatting>
  <conditionalFormatting sqref="AL35 AL7:AL30 AL32">
    <cfRule type="iconSet" priority="247">
      <iconSet iconSet="3TrafficLights2" reverse="1">
        <cfvo type="percent" val="0"/>
        <cfvo type="num" val="1"/>
        <cfvo type="num" val="1"/>
      </iconSet>
    </cfRule>
  </conditionalFormatting>
  <conditionalFormatting sqref="H39:AF41">
    <cfRule type="expression" dxfId="4930" priority="24">
      <formula>H$9&gt;=20/24</formula>
    </cfRule>
    <cfRule type="expression" dxfId="4929" priority="25">
      <formula>AND(H$9&gt;=14/24,H$9&lt;20/24)</formula>
    </cfRule>
    <cfRule type="expression" dxfId="4928" priority="26">
      <formula>AND(H$9&gt;=8/24,H$9&lt;14/24)</formula>
    </cfRule>
    <cfRule type="expression" dxfId="4927" priority="27">
      <formula>H$9&lt;8/24</formula>
    </cfRule>
  </conditionalFormatting>
  <conditionalFormatting sqref="H39:AF41">
    <cfRule type="expression" dxfId="4926" priority="23">
      <formula>H39&gt;$AG39</formula>
    </cfRule>
  </conditionalFormatting>
  <conditionalFormatting sqref="B39:B42 C42:AG42 C39:G41">
    <cfRule type="expression" dxfId="4925" priority="19">
      <formula>B$9&gt;=20/24</formula>
    </cfRule>
    <cfRule type="expression" dxfId="4924" priority="20">
      <formula>AND(B$9&gt;=14/24,B$9&lt;20/24)</formula>
    </cfRule>
    <cfRule type="expression" dxfId="4923" priority="21">
      <formula>AND(B$9&gt;=8/24,B$9&lt;14/24)</formula>
    </cfRule>
    <cfRule type="expression" dxfId="4922" priority="22">
      <formula>B$9&lt;8/24</formula>
    </cfRule>
  </conditionalFormatting>
  <conditionalFormatting sqref="B39:B42 C42:AG42 C39:G41">
    <cfRule type="expression" dxfId="4921" priority="18">
      <formula>B39&gt;$AG39</formula>
    </cfRule>
  </conditionalFormatting>
  <conditionalFormatting sqref="C97:AF97">
    <cfRule type="expression" dxfId="4920" priority="14">
      <formula>C$9&gt;=20/24</formula>
    </cfRule>
    <cfRule type="expression" dxfId="4919" priority="15">
      <formula>AND(C$9&gt;=14/24,C$9&lt;20/24)</formula>
    </cfRule>
    <cfRule type="expression" dxfId="4918" priority="16">
      <formula>AND(C$9&gt;=8/24,C$9&lt;14/24)</formula>
    </cfRule>
    <cfRule type="expression" dxfId="4917" priority="17">
      <formula>C$9&lt;8/24</formula>
    </cfRule>
  </conditionalFormatting>
  <conditionalFormatting sqref="B97">
    <cfRule type="expression" dxfId="4916" priority="10">
      <formula>B$9&gt;=20/24</formula>
    </cfRule>
    <cfRule type="expression" dxfId="4915" priority="11">
      <formula>AND(B$9&gt;=14/24,B$9&lt;20/24)</formula>
    </cfRule>
    <cfRule type="expression" dxfId="4914" priority="12">
      <formula>AND(B$9&gt;=8/24,B$9&lt;14/24)</formula>
    </cfRule>
    <cfRule type="expression" dxfId="4913" priority="13">
      <formula>B$9&lt;8/24</formula>
    </cfRule>
  </conditionalFormatting>
  <conditionalFormatting sqref="AL31">
    <cfRule type="iconSet" priority="9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4912" priority="3">
      <formula>$AH31=0</formula>
    </cfRule>
  </conditionalFormatting>
  <conditionalFormatting sqref="A80">
    <cfRule type="expression" dxfId="4911" priority="1">
      <formula>$AH80=0</formula>
    </cfRule>
  </conditionalFormatting>
  <conditionalFormatting sqref="A77">
    <cfRule type="expression" dxfId="4910" priority="2">
      <formula>$AH77=0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24900283-CBFD-44CC-8AEF-22996082181E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" id="{8975A0C1-D9A2-4426-9A6F-F720CC7D57AE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" id="{5AD3A7DE-2129-4CB7-B455-05E8414E23B0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" id="{329E3ADD-53CB-4514-933A-944262E647DB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4" id="{B809AB57-818A-4214-B1D3-CAE50C327ECD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2"/>
  <sheetViews>
    <sheetView zoomScale="90" zoomScaleNormal="90" workbookViewId="0">
      <pane xSplit="1" ySplit="10" topLeftCell="B90" activePane="bottomRight" state="frozen"/>
      <selection activeCell="AF88" sqref="AF88"/>
      <selection pane="topRight" activeCell="AF88" sqref="AF88"/>
      <selection pane="bottomLeft" activeCell="AF88" sqref="AF88"/>
      <selection pane="bottomRight" activeCell="E110" sqref="E110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2079/02/11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("&amp;ROUND(B237,0)&amp;" MW)"&amp;"    IPP   = "&amp;ROUND(B232,0)&amp;" MW     NEA RoR = "&amp;ROUND(B233,0)&amp;" MWImport   = "&amp;ROUND(B235,0)&amp;" MW      KL1+KL2+K3 = "&amp;ROUND(B234,0) &amp;" MW    EXPORT = "&amp;ROUND(B236,0)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21</v>
      </c>
      <c r="C5" s="32">
        <f t="shared" si="0"/>
        <v>20</v>
      </c>
      <c r="D5" s="32">
        <f t="shared" si="0"/>
        <v>9.5</v>
      </c>
      <c r="E5" s="32">
        <f t="shared" si="0"/>
        <v>8.1999999999999993</v>
      </c>
      <c r="F5" s="32">
        <f t="shared" si="0"/>
        <v>8.1999999999999993</v>
      </c>
      <c r="G5" s="32">
        <f t="shared" si="0"/>
        <v>8.1999999999999993</v>
      </c>
      <c r="H5" s="32">
        <f t="shared" si="0"/>
        <v>8.1999999999999993</v>
      </c>
      <c r="I5" s="32">
        <f t="shared" si="0"/>
        <v>8.1999999999999993</v>
      </c>
      <c r="J5" s="32">
        <f t="shared" si="0"/>
        <v>7.1</v>
      </c>
      <c r="K5" s="32">
        <f t="shared" si="0"/>
        <v>8.4</v>
      </c>
      <c r="L5" s="32">
        <f t="shared" si="0"/>
        <v>13</v>
      </c>
      <c r="M5" s="32">
        <f t="shared" si="0"/>
        <v>19.899999999999999</v>
      </c>
      <c r="N5" s="32">
        <f t="shared" si="0"/>
        <v>30.3</v>
      </c>
      <c r="O5" s="32">
        <f t="shared" si="0"/>
        <v>30.8</v>
      </c>
      <c r="P5" s="32">
        <f t="shared" si="0"/>
        <v>27.6</v>
      </c>
      <c r="Q5" s="32">
        <f t="shared" si="0"/>
        <v>31.8</v>
      </c>
      <c r="R5" s="32">
        <f t="shared" si="0"/>
        <v>33</v>
      </c>
      <c r="S5" s="32">
        <f t="shared" si="0"/>
        <v>37</v>
      </c>
      <c r="T5" s="32">
        <f t="shared" si="0"/>
        <v>37</v>
      </c>
      <c r="U5" s="32">
        <f t="shared" si="0"/>
        <v>37</v>
      </c>
      <c r="V5" s="32">
        <f t="shared" si="0"/>
        <v>39</v>
      </c>
      <c r="W5" s="32">
        <f t="shared" si="0"/>
        <v>39</v>
      </c>
      <c r="X5" s="32">
        <f t="shared" si="0"/>
        <v>30</v>
      </c>
      <c r="Y5" s="32">
        <f t="shared" si="0"/>
        <v>32</v>
      </c>
      <c r="Z5" s="32">
        <f t="shared" si="0"/>
        <v>40</v>
      </c>
      <c r="AA5" s="32">
        <f t="shared" si="0"/>
        <v>37.299999999999997</v>
      </c>
      <c r="AB5" s="32">
        <f t="shared" si="0"/>
        <v>17.600000000000001</v>
      </c>
      <c r="AC5" s="32">
        <f t="shared" si="0"/>
        <v>39.299999999999997</v>
      </c>
      <c r="AD5" s="32">
        <f t="shared" si="0"/>
        <v>16</v>
      </c>
      <c r="AE5" s="32">
        <f t="shared" si="0"/>
        <v>18</v>
      </c>
      <c r="AF5" s="32">
        <f>B72</f>
        <v>34.5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"&amp;ROUND(B237,0)&amp;"MW at "&amp;TRUNC(B238*24,0)&amp;":"&amp;ROUND((B238*24-TRUNC(B238*24,0))*60,0)&amp;"hr at "&amp;ROUND(B239,1)&amp;"Hz     "&amp;A229&amp;" "&amp;ROUND(B229,0)&amp;"MW at "&amp;TRUNC(C229*24,0)&amp;":"&amp;ROUND((C229*24-TRUNC(C229*24,0))*6,0)&amp;"0hr"</f>
        <v>Evening Peak 0MW at 0:0hr at 0Hz     Morning Peak 1748MW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Load=1668</v>
      </c>
      <c r="B7" s="37">
        <f>B79</f>
        <v>1783.54</v>
      </c>
      <c r="C7" s="37">
        <f t="shared" ref="C7:AF7" si="1">C79</f>
        <v>1770.04</v>
      </c>
      <c r="D7" s="37">
        <f t="shared" si="1"/>
        <v>1740.94</v>
      </c>
      <c r="E7" s="37">
        <f t="shared" si="1"/>
        <v>1715.44</v>
      </c>
      <c r="F7" s="37">
        <f t="shared" si="1"/>
        <v>1713.64</v>
      </c>
      <c r="G7" s="37">
        <f t="shared" si="1"/>
        <v>1713.64</v>
      </c>
      <c r="H7" s="37">
        <f t="shared" si="1"/>
        <v>1713.64</v>
      </c>
      <c r="I7" s="37">
        <f t="shared" si="1"/>
        <v>1690.34</v>
      </c>
      <c r="J7" s="37">
        <f t="shared" si="1"/>
        <v>1694.04</v>
      </c>
      <c r="K7" s="37">
        <f t="shared" si="1"/>
        <v>1704.6399999999999</v>
      </c>
      <c r="L7" s="37">
        <f t="shared" si="1"/>
        <v>1725.94</v>
      </c>
      <c r="M7" s="37">
        <f t="shared" si="1"/>
        <v>1748.34</v>
      </c>
      <c r="N7" s="37">
        <f t="shared" si="1"/>
        <v>1745.14</v>
      </c>
      <c r="O7" s="37">
        <f t="shared" si="1"/>
        <v>1765.04</v>
      </c>
      <c r="P7" s="37">
        <f t="shared" si="1"/>
        <v>1702.34</v>
      </c>
      <c r="Q7" s="37">
        <f t="shared" si="1"/>
        <v>1735.0399999999997</v>
      </c>
      <c r="R7" s="37">
        <f t="shared" si="1"/>
        <v>1727.54</v>
      </c>
      <c r="S7" s="37">
        <f t="shared" si="1"/>
        <v>1716.04</v>
      </c>
      <c r="T7" s="37">
        <f t="shared" si="1"/>
        <v>1750.14</v>
      </c>
      <c r="U7" s="37">
        <f t="shared" si="1"/>
        <v>1750.14</v>
      </c>
      <c r="V7" s="37">
        <f t="shared" si="1"/>
        <v>1782.24</v>
      </c>
      <c r="W7" s="37">
        <f t="shared" si="1"/>
        <v>1784.24</v>
      </c>
      <c r="X7" s="37">
        <f t="shared" si="1"/>
        <v>1784.24</v>
      </c>
      <c r="Y7" s="37">
        <f t="shared" si="1"/>
        <v>1775.24</v>
      </c>
      <c r="Z7" s="37">
        <f t="shared" si="1"/>
        <v>1777.24</v>
      </c>
      <c r="AA7" s="37">
        <f t="shared" si="1"/>
        <v>1802.14</v>
      </c>
      <c r="AB7" s="37">
        <f t="shared" si="1"/>
        <v>1815.74</v>
      </c>
      <c r="AC7" s="37">
        <f t="shared" si="1"/>
        <v>1781.34</v>
      </c>
      <c r="AD7" s="37">
        <f t="shared" si="1"/>
        <v>1818.04</v>
      </c>
      <c r="AE7" s="37">
        <f t="shared" si="1"/>
        <v>1778.1399999999999</v>
      </c>
      <c r="AF7" s="37">
        <f t="shared" si="1"/>
        <v>1668.3400000000001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0">
        <v>53.8</v>
      </c>
      <c r="C11" s="50">
        <v>53.8</v>
      </c>
      <c r="D11" s="50">
        <v>53.8</v>
      </c>
      <c r="E11" s="50">
        <v>53.8</v>
      </c>
      <c r="F11" s="50">
        <v>53.8</v>
      </c>
      <c r="G11" s="50">
        <v>53.8</v>
      </c>
      <c r="H11" s="50">
        <v>53.8</v>
      </c>
      <c r="I11" s="50">
        <v>53.8</v>
      </c>
      <c r="J11" s="50">
        <v>53.8</v>
      </c>
      <c r="K11" s="50">
        <v>53.8</v>
      </c>
      <c r="L11" s="50">
        <v>53.8</v>
      </c>
      <c r="M11" s="50">
        <v>53.8</v>
      </c>
      <c r="N11" s="50">
        <v>53.8</v>
      </c>
      <c r="O11" s="50">
        <v>53.8</v>
      </c>
      <c r="P11" s="50">
        <v>53.8</v>
      </c>
      <c r="Q11" s="50">
        <v>53.9</v>
      </c>
      <c r="R11" s="50">
        <v>53.9</v>
      </c>
      <c r="S11" s="50">
        <v>53.9</v>
      </c>
      <c r="T11" s="50">
        <v>53.9</v>
      </c>
      <c r="U11" s="50">
        <v>53.9</v>
      </c>
      <c r="V11" s="50">
        <v>53.9</v>
      </c>
      <c r="W11" s="50">
        <v>53.9</v>
      </c>
      <c r="X11" s="50">
        <v>53.9</v>
      </c>
      <c r="Y11" s="50">
        <v>53.9</v>
      </c>
      <c r="Z11" s="50">
        <v>53.9</v>
      </c>
      <c r="AA11" s="50">
        <v>53.9</v>
      </c>
      <c r="AB11" s="52">
        <v>53.9</v>
      </c>
      <c r="AC11" s="52">
        <v>53.8</v>
      </c>
      <c r="AD11" s="52">
        <v>54</v>
      </c>
      <c r="AE11" s="52">
        <v>54</v>
      </c>
      <c r="AF11" s="52">
        <v>54</v>
      </c>
      <c r="AG11" s="133">
        <v>52.4</v>
      </c>
      <c r="AH11" s="54">
        <f>MAX(B11:AF11)</f>
        <v>54</v>
      </c>
      <c r="AI11" s="55">
        <f>MIN(B11:AF11)</f>
        <v>53.8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50.5</v>
      </c>
      <c r="C12" s="50">
        <v>50.5</v>
      </c>
      <c r="D12" s="50">
        <v>50.5</v>
      </c>
      <c r="E12" s="50">
        <v>50.5</v>
      </c>
      <c r="F12" s="50">
        <v>50.5</v>
      </c>
      <c r="G12" s="50">
        <v>50.5</v>
      </c>
      <c r="H12" s="50">
        <v>50.5</v>
      </c>
      <c r="I12" s="50">
        <v>50.5</v>
      </c>
      <c r="J12" s="50">
        <v>50.5</v>
      </c>
      <c r="K12" s="50">
        <v>50.5</v>
      </c>
      <c r="L12" s="50">
        <v>50.5</v>
      </c>
      <c r="M12" s="50">
        <v>50.5</v>
      </c>
      <c r="N12" s="50">
        <v>50.5</v>
      </c>
      <c r="O12" s="50">
        <v>50.5</v>
      </c>
      <c r="P12" s="50">
        <v>50.5</v>
      </c>
      <c r="Q12" s="50">
        <v>50.5</v>
      </c>
      <c r="R12" s="50">
        <v>50.5</v>
      </c>
      <c r="S12" s="50">
        <v>50.5</v>
      </c>
      <c r="T12" s="50">
        <v>50.5</v>
      </c>
      <c r="U12" s="50">
        <v>50.5</v>
      </c>
      <c r="V12" s="50">
        <v>50.5</v>
      </c>
      <c r="W12" s="50">
        <v>50.5</v>
      </c>
      <c r="X12" s="50">
        <v>50.5</v>
      </c>
      <c r="Y12" s="50">
        <v>50.5</v>
      </c>
      <c r="Z12" s="50">
        <v>50.5</v>
      </c>
      <c r="AA12" s="50">
        <v>50.5</v>
      </c>
      <c r="AB12" s="50">
        <v>50.5</v>
      </c>
      <c r="AC12" s="50">
        <v>50.4</v>
      </c>
      <c r="AD12" s="50">
        <v>50.4</v>
      </c>
      <c r="AE12" s="50">
        <v>50.4</v>
      </c>
      <c r="AF12" s="50">
        <v>50.4</v>
      </c>
      <c r="AG12" s="134">
        <v>50</v>
      </c>
      <c r="AH12" s="54">
        <f t="shared" ref="AH12:AH79" si="2">MAX(B12:AF12)</f>
        <v>50.5</v>
      </c>
      <c r="AI12" s="55">
        <f t="shared" ref="AI12:AI79" si="3">MIN(B12:AF12)</f>
        <v>50.4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45.7</v>
      </c>
      <c r="C13" s="50">
        <v>45.7</v>
      </c>
      <c r="D13" s="50">
        <v>45.7</v>
      </c>
      <c r="E13" s="50">
        <v>45.7</v>
      </c>
      <c r="F13" s="50">
        <v>45.7</v>
      </c>
      <c r="G13" s="50">
        <v>45.7</v>
      </c>
      <c r="H13" s="50">
        <v>45.7</v>
      </c>
      <c r="I13" s="50">
        <v>45.7</v>
      </c>
      <c r="J13" s="50">
        <v>45.7</v>
      </c>
      <c r="K13" s="50">
        <v>45.7</v>
      </c>
      <c r="L13" s="50">
        <v>45.7</v>
      </c>
      <c r="M13" s="50">
        <v>45.7</v>
      </c>
      <c r="N13" s="50">
        <v>45.7</v>
      </c>
      <c r="O13" s="50">
        <v>45.7</v>
      </c>
      <c r="P13" s="50">
        <v>45.7</v>
      </c>
      <c r="Q13" s="50">
        <v>45.9</v>
      </c>
      <c r="R13" s="50">
        <v>45.9</v>
      </c>
      <c r="S13" s="50">
        <v>45.9</v>
      </c>
      <c r="T13" s="50">
        <v>45.9</v>
      </c>
      <c r="U13" s="50">
        <v>45.9</v>
      </c>
      <c r="V13" s="50">
        <v>45.9</v>
      </c>
      <c r="W13" s="50">
        <v>45.9</v>
      </c>
      <c r="X13" s="50">
        <v>45.9</v>
      </c>
      <c r="Y13" s="50">
        <v>45.9</v>
      </c>
      <c r="Z13" s="50">
        <v>45.9</v>
      </c>
      <c r="AA13" s="50">
        <v>45.9</v>
      </c>
      <c r="AB13" s="50">
        <v>45.8</v>
      </c>
      <c r="AC13" s="50">
        <v>45.8</v>
      </c>
      <c r="AD13" s="50">
        <v>45.8</v>
      </c>
      <c r="AE13" s="50">
        <v>45.8</v>
      </c>
      <c r="AF13" s="50">
        <v>45.9</v>
      </c>
      <c r="AG13" s="134">
        <v>45</v>
      </c>
      <c r="AH13" s="54">
        <f t="shared" si="2"/>
        <v>45.9</v>
      </c>
      <c r="AI13" s="55">
        <f t="shared" si="3"/>
        <v>45.7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26</v>
      </c>
      <c r="C14" s="50">
        <v>26</v>
      </c>
      <c r="D14" s="50">
        <v>26</v>
      </c>
      <c r="E14" s="50">
        <v>26</v>
      </c>
      <c r="F14" s="50">
        <v>26</v>
      </c>
      <c r="G14" s="50">
        <v>26</v>
      </c>
      <c r="H14" s="50">
        <v>26</v>
      </c>
      <c r="I14" s="50">
        <v>26</v>
      </c>
      <c r="J14" s="50">
        <v>26</v>
      </c>
      <c r="K14" s="50">
        <v>26</v>
      </c>
      <c r="L14" s="50">
        <v>26</v>
      </c>
      <c r="M14" s="50">
        <v>26</v>
      </c>
      <c r="N14" s="50">
        <v>26</v>
      </c>
      <c r="O14" s="50">
        <v>26</v>
      </c>
      <c r="P14" s="50">
        <v>26</v>
      </c>
      <c r="Q14" s="50">
        <v>26</v>
      </c>
      <c r="R14" s="50">
        <v>26</v>
      </c>
      <c r="S14" s="50">
        <v>26</v>
      </c>
      <c r="T14" s="50">
        <v>26</v>
      </c>
      <c r="U14" s="50">
        <v>26</v>
      </c>
      <c r="V14" s="50">
        <v>26</v>
      </c>
      <c r="W14" s="50">
        <v>26</v>
      </c>
      <c r="X14" s="50">
        <v>26</v>
      </c>
      <c r="Y14" s="50">
        <v>26</v>
      </c>
      <c r="Z14" s="50">
        <v>26</v>
      </c>
      <c r="AA14" s="50">
        <v>26</v>
      </c>
      <c r="AB14" s="50">
        <v>28</v>
      </c>
      <c r="AC14" s="50">
        <v>28</v>
      </c>
      <c r="AD14" s="50">
        <v>28</v>
      </c>
      <c r="AE14" s="50">
        <v>28</v>
      </c>
      <c r="AF14" s="50">
        <v>0</v>
      </c>
      <c r="AG14" s="134">
        <v>42</v>
      </c>
      <c r="AH14" s="54">
        <f t="shared" si="2"/>
        <v>28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10</v>
      </c>
      <c r="C15" s="50">
        <v>10</v>
      </c>
      <c r="D15" s="50">
        <v>5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20</v>
      </c>
      <c r="R15" s="50">
        <v>20</v>
      </c>
      <c r="S15" s="50">
        <v>10</v>
      </c>
      <c r="T15" s="50">
        <v>30</v>
      </c>
      <c r="U15" s="50">
        <v>30</v>
      </c>
      <c r="V15" s="50">
        <v>10</v>
      </c>
      <c r="W15" s="50">
        <v>10</v>
      </c>
      <c r="X15" s="50">
        <v>10</v>
      </c>
      <c r="Y15" s="50">
        <v>10</v>
      </c>
      <c r="Z15" s="50">
        <v>10</v>
      </c>
      <c r="AA15" s="50">
        <v>30</v>
      </c>
      <c r="AB15" s="50">
        <v>30</v>
      </c>
      <c r="AC15" s="50">
        <v>15</v>
      </c>
      <c r="AD15" s="50">
        <v>30</v>
      </c>
      <c r="AE15" s="50">
        <v>15</v>
      </c>
      <c r="AF15" s="50">
        <v>0</v>
      </c>
      <c r="AG15" s="135">
        <v>30</v>
      </c>
      <c r="AH15" s="54">
        <f t="shared" si="2"/>
        <v>30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26.1</v>
      </c>
      <c r="C16" s="50">
        <v>26.1</v>
      </c>
      <c r="D16" s="50">
        <v>26.1</v>
      </c>
      <c r="E16" s="50">
        <v>26.1</v>
      </c>
      <c r="F16" s="50">
        <v>26.1</v>
      </c>
      <c r="G16" s="50">
        <v>26.1</v>
      </c>
      <c r="H16" s="50">
        <v>26.1</v>
      </c>
      <c r="I16" s="50">
        <v>26.1</v>
      </c>
      <c r="J16" s="50">
        <v>26.1</v>
      </c>
      <c r="K16" s="50">
        <v>26.1</v>
      </c>
      <c r="L16" s="50">
        <v>26.1</v>
      </c>
      <c r="M16" s="50">
        <v>26.1</v>
      </c>
      <c r="N16" s="50">
        <v>26.1</v>
      </c>
      <c r="O16" s="50">
        <v>26.1</v>
      </c>
      <c r="P16" s="50">
        <v>26.1</v>
      </c>
      <c r="Q16" s="50">
        <v>26.1</v>
      </c>
      <c r="R16" s="50">
        <v>26.1</v>
      </c>
      <c r="S16" s="50">
        <v>26.1</v>
      </c>
      <c r="T16" s="50">
        <v>26.1</v>
      </c>
      <c r="U16" s="50">
        <v>26.1</v>
      </c>
      <c r="V16" s="50">
        <v>26.1</v>
      </c>
      <c r="W16" s="50">
        <v>26.1</v>
      </c>
      <c r="X16" s="50">
        <v>26.1</v>
      </c>
      <c r="Y16" s="50">
        <v>26.1</v>
      </c>
      <c r="Z16" s="50">
        <v>26.1</v>
      </c>
      <c r="AA16" s="50">
        <v>15</v>
      </c>
      <c r="AB16" s="50">
        <v>26.1</v>
      </c>
      <c r="AC16" s="50">
        <v>26.1</v>
      </c>
      <c r="AD16" s="50">
        <v>26.1</v>
      </c>
      <c r="AE16" s="50">
        <v>26.1</v>
      </c>
      <c r="AF16" s="50">
        <v>2</v>
      </c>
      <c r="AG16" s="134">
        <v>25</v>
      </c>
      <c r="AH16" s="54">
        <f t="shared" si="2"/>
        <v>26.1</v>
      </c>
      <c r="AI16" s="55">
        <f t="shared" si="3"/>
        <v>2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25</v>
      </c>
      <c r="D18" s="50">
        <v>25</v>
      </c>
      <c r="E18" s="50">
        <v>25</v>
      </c>
      <c r="F18" s="50">
        <v>25</v>
      </c>
      <c r="G18" s="50">
        <v>25</v>
      </c>
      <c r="H18" s="50">
        <v>25</v>
      </c>
      <c r="I18" s="50">
        <v>25</v>
      </c>
      <c r="J18" s="50">
        <v>25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25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24</v>
      </c>
      <c r="C19" s="50">
        <v>24</v>
      </c>
      <c r="D19" s="50">
        <v>24</v>
      </c>
      <c r="E19" s="50">
        <v>24</v>
      </c>
      <c r="F19" s="50">
        <v>24</v>
      </c>
      <c r="G19" s="50">
        <v>24</v>
      </c>
      <c r="H19" s="50">
        <v>24</v>
      </c>
      <c r="I19" s="50">
        <v>24</v>
      </c>
      <c r="J19" s="50">
        <v>24</v>
      </c>
      <c r="K19" s="50">
        <v>24</v>
      </c>
      <c r="L19" s="50">
        <v>24</v>
      </c>
      <c r="M19" s="50">
        <v>24</v>
      </c>
      <c r="N19" s="50">
        <v>24</v>
      </c>
      <c r="O19" s="50">
        <v>24</v>
      </c>
      <c r="P19" s="50">
        <v>24</v>
      </c>
      <c r="Q19" s="50">
        <v>31.2</v>
      </c>
      <c r="R19" s="50">
        <v>31.2</v>
      </c>
      <c r="S19" s="50">
        <v>25</v>
      </c>
      <c r="T19" s="50">
        <v>33.1</v>
      </c>
      <c r="U19" s="50">
        <v>33.1</v>
      </c>
      <c r="V19" s="50">
        <v>25.2</v>
      </c>
      <c r="W19" s="50">
        <v>25.2</v>
      </c>
      <c r="X19" s="50">
        <v>25.2</v>
      </c>
      <c r="Y19" s="50">
        <v>25.2</v>
      </c>
      <c r="Z19" s="50">
        <v>25.2</v>
      </c>
      <c r="AA19" s="50">
        <v>33.200000000000003</v>
      </c>
      <c r="AB19" s="50">
        <v>26.3</v>
      </c>
      <c r="AC19" s="50">
        <v>26.3</v>
      </c>
      <c r="AD19" s="50">
        <v>26.3</v>
      </c>
      <c r="AE19" s="50">
        <v>30.4</v>
      </c>
      <c r="AF19" s="50">
        <v>30.4</v>
      </c>
      <c r="AG19" s="134">
        <v>24.2</v>
      </c>
      <c r="AH19" s="54">
        <f t="shared" si="2"/>
        <v>33.200000000000003</v>
      </c>
      <c r="AI19" s="55">
        <f t="shared" si="3"/>
        <v>24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23.6</v>
      </c>
      <c r="C20" s="50">
        <v>23.6</v>
      </c>
      <c r="D20" s="50">
        <v>23.6</v>
      </c>
      <c r="E20" s="50">
        <v>23.6</v>
      </c>
      <c r="F20" s="50">
        <v>23.6</v>
      </c>
      <c r="G20" s="50">
        <v>23.6</v>
      </c>
      <c r="H20" s="50">
        <v>23.6</v>
      </c>
      <c r="I20" s="50">
        <v>23.6</v>
      </c>
      <c r="J20" s="50">
        <v>23.6</v>
      </c>
      <c r="K20" s="50">
        <v>23.6</v>
      </c>
      <c r="L20" s="50">
        <v>23.6</v>
      </c>
      <c r="M20" s="50">
        <v>23.6</v>
      </c>
      <c r="N20" s="50">
        <v>23.6</v>
      </c>
      <c r="O20" s="50">
        <v>23.6</v>
      </c>
      <c r="P20" s="50">
        <v>23.6</v>
      </c>
      <c r="Q20" s="50">
        <v>23.7</v>
      </c>
      <c r="R20" s="50">
        <v>23.9</v>
      </c>
      <c r="S20" s="50">
        <v>23.9</v>
      </c>
      <c r="T20" s="50">
        <v>23.9</v>
      </c>
      <c r="U20" s="50">
        <v>23.9</v>
      </c>
      <c r="V20" s="50">
        <v>23.9</v>
      </c>
      <c r="W20" s="50">
        <v>23.9</v>
      </c>
      <c r="X20" s="50">
        <v>23.9</v>
      </c>
      <c r="Y20" s="50">
        <v>23.9</v>
      </c>
      <c r="Z20" s="50">
        <v>23.9</v>
      </c>
      <c r="AA20" s="50">
        <v>23.9</v>
      </c>
      <c r="AB20" s="50">
        <v>24.3</v>
      </c>
      <c r="AC20" s="50">
        <v>24.3</v>
      </c>
      <c r="AD20" s="50">
        <v>24.4</v>
      </c>
      <c r="AE20" s="50">
        <v>24.4</v>
      </c>
      <c r="AF20" s="50">
        <v>24.2</v>
      </c>
      <c r="AG20" s="134">
        <v>23.5</v>
      </c>
      <c r="AH20" s="54">
        <f t="shared" si="2"/>
        <v>24.4</v>
      </c>
      <c r="AI20" s="55">
        <f t="shared" si="3"/>
        <v>23.6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20.6</v>
      </c>
      <c r="C21" s="50">
        <v>20.6</v>
      </c>
      <c r="D21" s="50">
        <v>20.6</v>
      </c>
      <c r="E21" s="50">
        <v>20.6</v>
      </c>
      <c r="F21" s="50">
        <v>20.6</v>
      </c>
      <c r="G21" s="50">
        <v>20.6</v>
      </c>
      <c r="H21" s="50">
        <v>20.6</v>
      </c>
      <c r="I21" s="50">
        <v>20.6</v>
      </c>
      <c r="J21" s="50">
        <v>20.6</v>
      </c>
      <c r="K21" s="50">
        <v>20.6</v>
      </c>
      <c r="L21" s="50">
        <v>20.6</v>
      </c>
      <c r="M21" s="50">
        <v>20.6</v>
      </c>
      <c r="N21" s="50">
        <v>20.6</v>
      </c>
      <c r="O21" s="50">
        <v>20.6</v>
      </c>
      <c r="P21" s="50">
        <v>20.6</v>
      </c>
      <c r="Q21" s="50">
        <v>20.6</v>
      </c>
      <c r="R21" s="50">
        <v>20.6</v>
      </c>
      <c r="S21" s="50">
        <v>20.6</v>
      </c>
      <c r="T21" s="50">
        <v>20.6</v>
      </c>
      <c r="U21" s="50">
        <v>20.6</v>
      </c>
      <c r="V21" s="50">
        <v>20.6</v>
      </c>
      <c r="W21" s="50">
        <v>20.6</v>
      </c>
      <c r="X21" s="50">
        <v>20.6</v>
      </c>
      <c r="Y21" s="50">
        <v>20.6</v>
      </c>
      <c r="Z21" s="50">
        <v>20.6</v>
      </c>
      <c r="AA21" s="50">
        <v>20.6</v>
      </c>
      <c r="AB21" s="50">
        <v>20.6</v>
      </c>
      <c r="AC21" s="50">
        <v>20.6</v>
      </c>
      <c r="AD21" s="50">
        <v>20.6</v>
      </c>
      <c r="AE21" s="50">
        <v>20.6</v>
      </c>
      <c r="AF21" s="50">
        <v>20.6</v>
      </c>
      <c r="AG21" s="134">
        <v>22.2</v>
      </c>
      <c r="AH21" s="54">
        <f t="shared" si="2"/>
        <v>20.6</v>
      </c>
      <c r="AI21" s="55">
        <f t="shared" si="3"/>
        <v>20.6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134">
        <v>22.1</v>
      </c>
      <c r="AH22" s="54">
        <f t="shared" si="2"/>
        <v>22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22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22</v>
      </c>
      <c r="AI24" s="55">
        <f t="shared" si="3"/>
        <v>22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10</v>
      </c>
      <c r="C25" s="50">
        <v>10</v>
      </c>
      <c r="D25" s="50">
        <v>10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5</v>
      </c>
      <c r="R25" s="50">
        <v>5</v>
      </c>
      <c r="S25" s="50">
        <v>5</v>
      </c>
      <c r="T25" s="50">
        <v>5</v>
      </c>
      <c r="U25" s="50">
        <v>5</v>
      </c>
      <c r="V25" s="50">
        <v>5</v>
      </c>
      <c r="W25" s="50">
        <v>5</v>
      </c>
      <c r="X25" s="50">
        <v>5</v>
      </c>
      <c r="Y25" s="50">
        <v>5</v>
      </c>
      <c r="Z25" s="50">
        <v>5</v>
      </c>
      <c r="AA25" s="50">
        <v>5</v>
      </c>
      <c r="AB25" s="50">
        <v>10</v>
      </c>
      <c r="AC25" s="50">
        <v>10</v>
      </c>
      <c r="AD25" s="50">
        <v>10</v>
      </c>
      <c r="AE25" s="50">
        <v>5</v>
      </c>
      <c r="AF25" s="50">
        <v>0</v>
      </c>
      <c r="AG25" s="134">
        <v>20</v>
      </c>
      <c r="AH25" s="54">
        <f t="shared" si="2"/>
        <v>10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14.9</v>
      </c>
      <c r="C26" s="50">
        <v>14.9</v>
      </c>
      <c r="D26" s="50">
        <v>14.9</v>
      </c>
      <c r="E26" s="50">
        <v>14.9</v>
      </c>
      <c r="F26" s="50">
        <v>14.9</v>
      </c>
      <c r="G26" s="50">
        <v>14.9</v>
      </c>
      <c r="H26" s="50">
        <v>14.9</v>
      </c>
      <c r="I26" s="50">
        <v>14.9</v>
      </c>
      <c r="J26" s="50">
        <v>14.9</v>
      </c>
      <c r="K26" s="50">
        <v>14.9</v>
      </c>
      <c r="L26" s="50">
        <v>14.9</v>
      </c>
      <c r="M26" s="50">
        <v>14.9</v>
      </c>
      <c r="N26" s="50">
        <v>14.9</v>
      </c>
      <c r="O26" s="50">
        <v>14.9</v>
      </c>
      <c r="P26" s="50">
        <v>14.9</v>
      </c>
      <c r="Q26" s="50">
        <v>14.9</v>
      </c>
      <c r="R26" s="50">
        <v>14.9</v>
      </c>
      <c r="S26" s="50">
        <v>14.9</v>
      </c>
      <c r="T26" s="50">
        <v>14.9</v>
      </c>
      <c r="U26" s="50">
        <v>14.9</v>
      </c>
      <c r="V26" s="50">
        <v>14.9</v>
      </c>
      <c r="W26" s="50">
        <v>14.9</v>
      </c>
      <c r="X26" s="50">
        <v>14.9</v>
      </c>
      <c r="Y26" s="50">
        <v>14.9</v>
      </c>
      <c r="Z26" s="50">
        <v>14.9</v>
      </c>
      <c r="AA26" s="50">
        <v>14.9</v>
      </c>
      <c r="AB26" s="50">
        <v>14.9</v>
      </c>
      <c r="AC26" s="50">
        <v>14.9</v>
      </c>
      <c r="AD26" s="50">
        <v>14.9</v>
      </c>
      <c r="AE26" s="50">
        <v>14.9</v>
      </c>
      <c r="AF26" s="50">
        <v>14.9</v>
      </c>
      <c r="AG26" s="134">
        <v>14.9</v>
      </c>
      <c r="AH26" s="54">
        <f t="shared" si="2"/>
        <v>14.9</v>
      </c>
      <c r="AI26" s="55">
        <f t="shared" si="3"/>
        <v>14.9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10</v>
      </c>
      <c r="C27" s="50">
        <v>10</v>
      </c>
      <c r="D27" s="50">
        <v>10</v>
      </c>
      <c r="E27" s="50">
        <v>10</v>
      </c>
      <c r="F27" s="50">
        <v>10</v>
      </c>
      <c r="G27" s="50">
        <v>10</v>
      </c>
      <c r="H27" s="50">
        <v>10</v>
      </c>
      <c r="I27" s="50">
        <v>10</v>
      </c>
      <c r="J27" s="50">
        <v>10</v>
      </c>
      <c r="K27" s="50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0</v>
      </c>
      <c r="AG27" s="134">
        <v>13.6</v>
      </c>
      <c r="AH27" s="54">
        <f t="shared" si="2"/>
        <v>10</v>
      </c>
      <c r="AI27" s="55">
        <f t="shared" si="3"/>
        <v>0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12</v>
      </c>
      <c r="C28" s="50">
        <v>12</v>
      </c>
      <c r="D28" s="50">
        <v>12</v>
      </c>
      <c r="E28" s="50">
        <v>12</v>
      </c>
      <c r="F28" s="50">
        <v>12</v>
      </c>
      <c r="G28" s="50">
        <v>12</v>
      </c>
      <c r="H28" s="50">
        <v>12</v>
      </c>
      <c r="I28" s="50">
        <v>12</v>
      </c>
      <c r="J28" s="50">
        <v>12</v>
      </c>
      <c r="K28" s="50">
        <v>12</v>
      </c>
      <c r="L28" s="50">
        <v>12</v>
      </c>
      <c r="M28" s="50">
        <v>12</v>
      </c>
      <c r="N28" s="50">
        <v>12</v>
      </c>
      <c r="O28" s="50">
        <v>12</v>
      </c>
      <c r="P28" s="50">
        <v>12</v>
      </c>
      <c r="Q28" s="50">
        <v>12</v>
      </c>
      <c r="R28" s="50">
        <v>12</v>
      </c>
      <c r="S28" s="50">
        <v>12</v>
      </c>
      <c r="T28" s="50">
        <v>12</v>
      </c>
      <c r="U28" s="50">
        <v>12</v>
      </c>
      <c r="V28" s="50">
        <v>12</v>
      </c>
      <c r="W28" s="50">
        <v>12</v>
      </c>
      <c r="X28" s="50">
        <v>12</v>
      </c>
      <c r="Y28" s="50">
        <v>12</v>
      </c>
      <c r="Z28" s="50">
        <v>12</v>
      </c>
      <c r="AA28" s="50">
        <v>12</v>
      </c>
      <c r="AB28" s="50">
        <v>12</v>
      </c>
      <c r="AC28" s="50">
        <v>12</v>
      </c>
      <c r="AD28" s="50">
        <v>12</v>
      </c>
      <c r="AE28" s="50">
        <v>12</v>
      </c>
      <c r="AF28" s="50">
        <v>5</v>
      </c>
      <c r="AG28" s="134">
        <v>13</v>
      </c>
      <c r="AH28" s="54">
        <f t="shared" si="2"/>
        <v>12</v>
      </c>
      <c r="AI28" s="55">
        <f t="shared" si="3"/>
        <v>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12</v>
      </c>
      <c r="C29" s="50">
        <v>12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12</v>
      </c>
      <c r="K29" s="50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134">
        <v>12</v>
      </c>
      <c r="AH29" s="54">
        <f t="shared" si="2"/>
        <v>12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7</v>
      </c>
      <c r="C30" s="50">
        <v>7</v>
      </c>
      <c r="D30" s="50">
        <v>7</v>
      </c>
      <c r="E30" s="50">
        <v>7</v>
      </c>
      <c r="F30" s="50">
        <v>7</v>
      </c>
      <c r="G30" s="50">
        <v>7</v>
      </c>
      <c r="H30" s="50">
        <v>7</v>
      </c>
      <c r="I30" s="50">
        <v>7</v>
      </c>
      <c r="J30" s="50">
        <v>7</v>
      </c>
      <c r="K30" s="50">
        <v>7</v>
      </c>
      <c r="L30" s="50">
        <v>7</v>
      </c>
      <c r="M30" s="50">
        <v>7</v>
      </c>
      <c r="N30" s="50">
        <v>7</v>
      </c>
      <c r="O30" s="50">
        <v>7</v>
      </c>
      <c r="P30" s="50">
        <v>7</v>
      </c>
      <c r="Q30" s="50">
        <v>7</v>
      </c>
      <c r="R30" s="50">
        <v>7</v>
      </c>
      <c r="S30" s="50">
        <v>7</v>
      </c>
      <c r="T30" s="50">
        <v>7</v>
      </c>
      <c r="U30" s="50">
        <v>7</v>
      </c>
      <c r="V30" s="50">
        <v>7</v>
      </c>
      <c r="W30" s="50">
        <v>7</v>
      </c>
      <c r="X30" s="50">
        <v>7</v>
      </c>
      <c r="Y30" s="50">
        <v>7</v>
      </c>
      <c r="Z30" s="50">
        <v>7</v>
      </c>
      <c r="AA30" s="50">
        <v>7</v>
      </c>
      <c r="AB30" s="50">
        <v>7</v>
      </c>
      <c r="AC30" s="50">
        <v>7</v>
      </c>
      <c r="AD30" s="50">
        <v>7</v>
      </c>
      <c r="AE30" s="50">
        <v>7</v>
      </c>
      <c r="AF30" s="50">
        <v>7</v>
      </c>
      <c r="AG30" s="134">
        <v>12</v>
      </c>
      <c r="AH30" s="54">
        <f t="shared" si="2"/>
        <v>7</v>
      </c>
      <c r="AI30" s="55">
        <f t="shared" si="3"/>
        <v>7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9</v>
      </c>
      <c r="C31" s="50">
        <v>9</v>
      </c>
      <c r="D31" s="50">
        <v>9</v>
      </c>
      <c r="E31" s="50">
        <v>9</v>
      </c>
      <c r="F31" s="50">
        <v>9</v>
      </c>
      <c r="G31" s="50">
        <v>9</v>
      </c>
      <c r="H31" s="50">
        <v>9</v>
      </c>
      <c r="I31" s="50">
        <v>9</v>
      </c>
      <c r="J31" s="50">
        <v>9</v>
      </c>
      <c r="K31" s="50">
        <v>9</v>
      </c>
      <c r="L31" s="50">
        <v>9</v>
      </c>
      <c r="M31" s="50">
        <v>9</v>
      </c>
      <c r="N31" s="50">
        <v>9</v>
      </c>
      <c r="O31" s="50">
        <v>9</v>
      </c>
      <c r="P31" s="50">
        <v>9</v>
      </c>
      <c r="Q31" s="50">
        <v>9</v>
      </c>
      <c r="R31" s="50">
        <v>9</v>
      </c>
      <c r="S31" s="50">
        <v>9</v>
      </c>
      <c r="T31" s="50">
        <v>9</v>
      </c>
      <c r="U31" s="50">
        <v>9</v>
      </c>
      <c r="V31" s="50">
        <v>9</v>
      </c>
      <c r="W31" s="50">
        <v>9</v>
      </c>
      <c r="X31" s="50">
        <v>9</v>
      </c>
      <c r="Y31" s="50">
        <v>9</v>
      </c>
      <c r="Z31" s="50">
        <v>9</v>
      </c>
      <c r="AA31" s="50">
        <v>9</v>
      </c>
      <c r="AB31" s="50">
        <v>9</v>
      </c>
      <c r="AC31" s="50">
        <v>9</v>
      </c>
      <c r="AD31" s="50">
        <v>9</v>
      </c>
      <c r="AE31" s="50">
        <v>9</v>
      </c>
      <c r="AF31" s="50">
        <v>9</v>
      </c>
      <c r="AG31" s="178">
        <v>22</v>
      </c>
      <c r="AH31" s="54">
        <f>MAX(B31:AF31)</f>
        <v>9</v>
      </c>
      <c r="AI31" s="55">
        <f>MIN(B31:AF31)</f>
        <v>9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6.3</v>
      </c>
      <c r="C32" s="50">
        <v>6.3</v>
      </c>
      <c r="D32" s="50">
        <v>6.3</v>
      </c>
      <c r="E32" s="50">
        <v>6.3</v>
      </c>
      <c r="F32" s="50">
        <v>6.3</v>
      </c>
      <c r="G32" s="50">
        <v>6.3</v>
      </c>
      <c r="H32" s="50">
        <v>6.3</v>
      </c>
      <c r="I32" s="50">
        <v>6.3</v>
      </c>
      <c r="J32" s="50">
        <v>6.3</v>
      </c>
      <c r="K32" s="50">
        <v>6.3</v>
      </c>
      <c r="L32" s="50">
        <v>6.3</v>
      </c>
      <c r="M32" s="50">
        <v>6.3</v>
      </c>
      <c r="N32" s="50">
        <v>6.3</v>
      </c>
      <c r="O32" s="50">
        <v>6.3</v>
      </c>
      <c r="P32" s="50">
        <v>6.3</v>
      </c>
      <c r="Q32" s="50">
        <v>6.3</v>
      </c>
      <c r="R32" s="50">
        <v>6.3</v>
      </c>
      <c r="S32" s="50">
        <v>6.3</v>
      </c>
      <c r="T32" s="50">
        <v>6.3</v>
      </c>
      <c r="U32" s="50">
        <v>6.3</v>
      </c>
      <c r="V32" s="50">
        <v>6.3</v>
      </c>
      <c r="W32" s="50">
        <v>6.3</v>
      </c>
      <c r="X32" s="50">
        <v>6.3</v>
      </c>
      <c r="Y32" s="50">
        <v>6.3</v>
      </c>
      <c r="Z32" s="50">
        <v>6.3</v>
      </c>
      <c r="AA32" s="50">
        <v>6.3</v>
      </c>
      <c r="AB32" s="50">
        <v>6.3</v>
      </c>
      <c r="AC32" s="50">
        <v>6.3</v>
      </c>
      <c r="AD32" s="50">
        <v>6.3</v>
      </c>
      <c r="AE32" s="50">
        <v>6.3</v>
      </c>
      <c r="AF32" s="50">
        <v>6.3</v>
      </c>
      <c r="AG32" s="135">
        <v>11.88</v>
      </c>
      <c r="AH32" s="54">
        <f t="shared" si="2"/>
        <v>6.3</v>
      </c>
      <c r="AI32" s="55">
        <f t="shared" si="3"/>
        <v>6.3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11</v>
      </c>
      <c r="D33" s="50">
        <v>11</v>
      </c>
      <c r="E33" s="50">
        <v>11</v>
      </c>
      <c r="F33" s="50">
        <v>11</v>
      </c>
      <c r="G33" s="50">
        <v>11</v>
      </c>
      <c r="H33" s="50">
        <v>11</v>
      </c>
      <c r="I33" s="50">
        <v>11</v>
      </c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11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8</v>
      </c>
      <c r="C34" s="50">
        <v>8</v>
      </c>
      <c r="D34" s="50">
        <v>8</v>
      </c>
      <c r="E34" s="50">
        <v>8</v>
      </c>
      <c r="F34" s="50">
        <v>8</v>
      </c>
      <c r="G34" s="50">
        <v>8</v>
      </c>
      <c r="H34" s="50">
        <v>8</v>
      </c>
      <c r="I34" s="50">
        <v>8</v>
      </c>
      <c r="J34" s="50">
        <v>8</v>
      </c>
      <c r="K34" s="50">
        <v>8</v>
      </c>
      <c r="L34" s="50">
        <v>8</v>
      </c>
      <c r="M34" s="50">
        <v>8</v>
      </c>
      <c r="N34" s="50">
        <v>8</v>
      </c>
      <c r="O34" s="50">
        <v>8</v>
      </c>
      <c r="P34" s="50">
        <v>8</v>
      </c>
      <c r="Q34" s="50">
        <v>8</v>
      </c>
      <c r="R34" s="50">
        <v>8</v>
      </c>
      <c r="S34" s="50">
        <v>8</v>
      </c>
      <c r="T34" s="50">
        <v>8</v>
      </c>
      <c r="U34" s="50">
        <v>8</v>
      </c>
      <c r="V34" s="50">
        <v>8</v>
      </c>
      <c r="W34" s="50">
        <v>8</v>
      </c>
      <c r="X34" s="50">
        <v>8</v>
      </c>
      <c r="Y34" s="50">
        <v>8</v>
      </c>
      <c r="Z34" s="50">
        <v>8</v>
      </c>
      <c r="AA34" s="50">
        <v>8</v>
      </c>
      <c r="AB34" s="50">
        <v>8</v>
      </c>
      <c r="AC34" s="50">
        <v>8</v>
      </c>
      <c r="AD34" s="50">
        <v>8</v>
      </c>
      <c r="AE34" s="50">
        <v>8</v>
      </c>
      <c r="AF34" s="50">
        <v>0</v>
      </c>
      <c r="AG34" s="136">
        <v>10</v>
      </c>
      <c r="AH34" s="54">
        <f t="shared" si="2"/>
        <v>8</v>
      </c>
      <c r="AI34" s="55">
        <f t="shared" si="3"/>
        <v>0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136">
        <v>10</v>
      </c>
      <c r="AH35" s="54">
        <f t="shared" si="2"/>
        <v>2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303</v>
      </c>
      <c r="C36" s="62">
        <v>303</v>
      </c>
      <c r="D36" s="62">
        <v>303</v>
      </c>
      <c r="E36" s="62">
        <v>303</v>
      </c>
      <c r="F36" s="62">
        <v>303</v>
      </c>
      <c r="G36" s="62">
        <v>303</v>
      </c>
      <c r="H36" s="62">
        <v>303</v>
      </c>
      <c r="I36" s="62">
        <v>303</v>
      </c>
      <c r="J36" s="62">
        <v>303</v>
      </c>
      <c r="K36" s="62">
        <v>303</v>
      </c>
      <c r="L36" s="62">
        <v>303</v>
      </c>
      <c r="M36" s="62">
        <v>303</v>
      </c>
      <c r="N36" s="62">
        <v>303</v>
      </c>
      <c r="O36" s="62">
        <v>303</v>
      </c>
      <c r="P36" s="62">
        <v>303</v>
      </c>
      <c r="Q36" s="62">
        <v>303</v>
      </c>
      <c r="R36" s="62">
        <v>303</v>
      </c>
      <c r="S36" s="62">
        <v>303</v>
      </c>
      <c r="T36" s="62">
        <v>303</v>
      </c>
      <c r="U36" s="62">
        <v>303</v>
      </c>
      <c r="V36" s="62">
        <v>303</v>
      </c>
      <c r="W36" s="62">
        <v>303</v>
      </c>
      <c r="X36" s="62">
        <v>303</v>
      </c>
      <c r="Y36" s="62">
        <v>303</v>
      </c>
      <c r="Z36" s="62">
        <v>303</v>
      </c>
      <c r="AA36" s="62">
        <v>303</v>
      </c>
      <c r="AB36" s="62">
        <v>303</v>
      </c>
      <c r="AC36" s="62">
        <v>303</v>
      </c>
      <c r="AD36" s="62">
        <v>303</v>
      </c>
      <c r="AE36" s="62">
        <v>303</v>
      </c>
      <c r="AF36" s="62">
        <v>303</v>
      </c>
      <c r="AG36" s="136">
        <v>85</v>
      </c>
      <c r="AH36" s="54">
        <f t="shared" si="2"/>
        <v>303</v>
      </c>
      <c r="AI36" s="55">
        <f t="shared" si="3"/>
        <v>303</v>
      </c>
      <c r="AK36" s="56"/>
    </row>
    <row r="37" spans="1:88" ht="15.75" thickBot="1" x14ac:dyDescent="0.3">
      <c r="A37" s="63" t="s">
        <v>21</v>
      </c>
      <c r="B37" s="64">
        <v>168</v>
      </c>
      <c r="C37" s="64">
        <v>169</v>
      </c>
      <c r="D37" s="64">
        <v>168</v>
      </c>
      <c r="E37" s="64">
        <v>168</v>
      </c>
      <c r="F37" s="64">
        <f>69.9+98.1</f>
        <v>168</v>
      </c>
      <c r="G37" s="64">
        <f t="shared" ref="G37" si="4">69.9+98.1</f>
        <v>168</v>
      </c>
      <c r="H37" s="64">
        <v>40</v>
      </c>
      <c r="I37" s="64">
        <v>130</v>
      </c>
      <c r="J37" s="64">
        <f>70+79.9</f>
        <v>149.9</v>
      </c>
      <c r="K37" s="64">
        <f>70.1+84.4</f>
        <v>154.5</v>
      </c>
      <c r="L37" s="64">
        <f>70.6+85.2</f>
        <v>155.80000000000001</v>
      </c>
      <c r="M37" s="62">
        <f>70.9+85.3</f>
        <v>156.19999999999999</v>
      </c>
      <c r="N37" s="62">
        <f>71.6+85.4</f>
        <v>157</v>
      </c>
      <c r="O37" s="62">
        <f>71.3+96.1</f>
        <v>167.39999999999998</v>
      </c>
      <c r="P37" s="62">
        <f>71.4+96.7</f>
        <v>168.10000000000002</v>
      </c>
      <c r="Q37" s="62">
        <f>71.7+98.2</f>
        <v>169.9</v>
      </c>
      <c r="R37" s="62">
        <f>71.7+97.8</f>
        <v>169.5</v>
      </c>
      <c r="S37" s="62">
        <f>71.7+97.8</f>
        <v>169.5</v>
      </c>
      <c r="T37" s="62">
        <f>71.7+97.8</f>
        <v>169.5</v>
      </c>
      <c r="U37" s="62">
        <f t="shared" ref="U37:AA37" si="5">71.7+97.8</f>
        <v>169.5</v>
      </c>
      <c r="V37" s="62">
        <f t="shared" si="5"/>
        <v>169.5</v>
      </c>
      <c r="W37" s="62">
        <f t="shared" si="5"/>
        <v>169.5</v>
      </c>
      <c r="X37" s="62">
        <f t="shared" si="5"/>
        <v>169.5</v>
      </c>
      <c r="Y37" s="62">
        <f t="shared" si="5"/>
        <v>169.5</v>
      </c>
      <c r="Z37" s="62">
        <f t="shared" si="5"/>
        <v>169.5</v>
      </c>
      <c r="AA37" s="62">
        <f t="shared" si="5"/>
        <v>169.5</v>
      </c>
      <c r="AB37" s="64">
        <f>96.1+70.8</f>
        <v>166.89999999999998</v>
      </c>
      <c r="AC37" s="64">
        <f>96.3+71</f>
        <v>167.3</v>
      </c>
      <c r="AD37" s="64">
        <f>97+71.8</f>
        <v>168.8</v>
      </c>
      <c r="AE37" s="64">
        <f>98.1+71.7</f>
        <v>169.8</v>
      </c>
      <c r="AF37" s="64">
        <f>98.6+72.3</f>
        <v>170.89999999999998</v>
      </c>
      <c r="AG37" s="136">
        <v>240</v>
      </c>
      <c r="AH37" s="54">
        <f t="shared" si="2"/>
        <v>170.89999999999998</v>
      </c>
      <c r="AI37" s="55">
        <f t="shared" si="3"/>
        <v>40</v>
      </c>
      <c r="AK37" s="56"/>
    </row>
    <row r="38" spans="1:88" ht="15.75" thickBot="1" x14ac:dyDescent="0.3">
      <c r="A38" s="131" t="s">
        <v>22</v>
      </c>
      <c r="B38" s="66">
        <f t="shared" ref="B38:AG38" si="6">SUM(B11:B36)</f>
        <v>799.5</v>
      </c>
      <c r="C38" s="66">
        <f t="shared" si="6"/>
        <v>799.5</v>
      </c>
      <c r="D38" s="66">
        <f t="shared" si="6"/>
        <v>782.5</v>
      </c>
      <c r="E38" s="66">
        <f t="shared" si="6"/>
        <v>767.5</v>
      </c>
      <c r="F38" s="66">
        <f t="shared" si="6"/>
        <v>767.5</v>
      </c>
      <c r="G38" s="66">
        <f t="shared" si="6"/>
        <v>767.5</v>
      </c>
      <c r="H38" s="66">
        <f t="shared" si="6"/>
        <v>767.5</v>
      </c>
      <c r="I38" s="66">
        <f t="shared" si="6"/>
        <v>767.5</v>
      </c>
      <c r="J38" s="66">
        <f t="shared" si="6"/>
        <v>779.5</v>
      </c>
      <c r="K38" s="66">
        <f t="shared" si="6"/>
        <v>779.5</v>
      </c>
      <c r="L38" s="66">
        <f t="shared" si="6"/>
        <v>779.5</v>
      </c>
      <c r="M38" s="66">
        <f t="shared" si="6"/>
        <v>781.5</v>
      </c>
      <c r="N38" s="66">
        <f t="shared" si="6"/>
        <v>781.5</v>
      </c>
      <c r="O38" s="66">
        <f t="shared" si="6"/>
        <v>781.5</v>
      </c>
      <c r="P38" s="66">
        <f t="shared" si="6"/>
        <v>781.5</v>
      </c>
      <c r="Q38" s="66">
        <f t="shared" si="6"/>
        <v>814.09999999999991</v>
      </c>
      <c r="R38" s="66">
        <f t="shared" si="6"/>
        <v>814.3</v>
      </c>
      <c r="S38" s="66">
        <f t="shared" si="6"/>
        <v>798.09999999999991</v>
      </c>
      <c r="T38" s="66">
        <f t="shared" si="6"/>
        <v>826.2</v>
      </c>
      <c r="U38" s="66">
        <f t="shared" si="6"/>
        <v>826.2</v>
      </c>
      <c r="V38" s="66">
        <f t="shared" si="6"/>
        <v>798.3</v>
      </c>
      <c r="W38" s="66">
        <f t="shared" si="6"/>
        <v>798.3</v>
      </c>
      <c r="X38" s="66">
        <f t="shared" si="6"/>
        <v>798.3</v>
      </c>
      <c r="Y38" s="66">
        <f t="shared" si="6"/>
        <v>798.3</v>
      </c>
      <c r="Z38" s="66">
        <f t="shared" si="6"/>
        <v>798.3</v>
      </c>
      <c r="AA38" s="66">
        <f t="shared" si="6"/>
        <v>815.2</v>
      </c>
      <c r="AB38" s="66">
        <f t="shared" si="6"/>
        <v>824.7</v>
      </c>
      <c r="AC38" s="66">
        <f t="shared" si="6"/>
        <v>809.5</v>
      </c>
      <c r="AD38" s="66">
        <f t="shared" si="6"/>
        <v>824.8</v>
      </c>
      <c r="AE38" s="66">
        <f t="shared" si="6"/>
        <v>808.89999999999986</v>
      </c>
      <c r="AF38" s="66">
        <f t="shared" si="6"/>
        <v>711.7</v>
      </c>
      <c r="AG38" s="143">
        <f t="shared" si="6"/>
        <v>665.78</v>
      </c>
      <c r="AH38" s="54">
        <f t="shared" si="2"/>
        <v>826.2</v>
      </c>
      <c r="AI38" s="55">
        <f t="shared" si="3"/>
        <v>711.7</v>
      </c>
      <c r="AK38" s="56"/>
    </row>
    <row r="39" spans="1:88" x14ac:dyDescent="0.25">
      <c r="A39" s="159" t="s">
        <v>130</v>
      </c>
      <c r="B39" s="50">
        <v>456</v>
      </c>
      <c r="C39" s="50">
        <v>456</v>
      </c>
      <c r="D39" s="50">
        <v>456</v>
      </c>
      <c r="E39" s="50">
        <v>456</v>
      </c>
      <c r="F39" s="50">
        <v>456</v>
      </c>
      <c r="G39" s="50">
        <v>456</v>
      </c>
      <c r="H39" s="50">
        <v>456</v>
      </c>
      <c r="I39" s="50">
        <v>456</v>
      </c>
      <c r="J39" s="50">
        <v>456</v>
      </c>
      <c r="K39" s="50">
        <v>456</v>
      </c>
      <c r="L39" s="50">
        <v>456</v>
      </c>
      <c r="M39" s="50">
        <v>456</v>
      </c>
      <c r="N39" s="50">
        <v>456</v>
      </c>
      <c r="O39" s="50">
        <v>456</v>
      </c>
      <c r="P39" s="50">
        <v>456</v>
      </c>
      <c r="Q39" s="50">
        <v>456</v>
      </c>
      <c r="R39" s="50">
        <v>456</v>
      </c>
      <c r="S39" s="50">
        <v>456</v>
      </c>
      <c r="T39" s="50">
        <v>456</v>
      </c>
      <c r="U39" s="50">
        <v>456</v>
      </c>
      <c r="V39" s="50">
        <v>456</v>
      </c>
      <c r="W39" s="50">
        <v>456</v>
      </c>
      <c r="X39" s="50">
        <v>456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456</v>
      </c>
      <c r="AF39" s="50">
        <v>456</v>
      </c>
      <c r="AG39" s="135">
        <v>456</v>
      </c>
      <c r="AH39" s="54">
        <f t="shared" si="2"/>
        <v>456</v>
      </c>
      <c r="AI39" s="55">
        <f t="shared" si="3"/>
        <v>456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f>SUM(B39:B41)</f>
        <v>538</v>
      </c>
      <c r="C42" s="66">
        <f t="shared" ref="C42:AG42" si="7">SUM(C39:C41)</f>
        <v>538</v>
      </c>
      <c r="D42" s="66">
        <f t="shared" si="7"/>
        <v>538</v>
      </c>
      <c r="E42" s="66">
        <f t="shared" si="7"/>
        <v>538</v>
      </c>
      <c r="F42" s="66">
        <f t="shared" si="7"/>
        <v>538</v>
      </c>
      <c r="G42" s="66">
        <f t="shared" si="7"/>
        <v>538</v>
      </c>
      <c r="H42" s="66">
        <f t="shared" si="7"/>
        <v>538</v>
      </c>
      <c r="I42" s="66">
        <f t="shared" si="7"/>
        <v>538</v>
      </c>
      <c r="J42" s="66">
        <f t="shared" si="7"/>
        <v>538</v>
      </c>
      <c r="K42" s="66">
        <f t="shared" si="7"/>
        <v>538</v>
      </c>
      <c r="L42" s="66">
        <f t="shared" si="7"/>
        <v>538</v>
      </c>
      <c r="M42" s="66">
        <f t="shared" si="7"/>
        <v>538</v>
      </c>
      <c r="N42" s="66">
        <f t="shared" si="7"/>
        <v>538</v>
      </c>
      <c r="O42" s="66">
        <f t="shared" si="7"/>
        <v>538</v>
      </c>
      <c r="P42" s="66">
        <f t="shared" si="7"/>
        <v>538</v>
      </c>
      <c r="Q42" s="66">
        <f t="shared" si="7"/>
        <v>538</v>
      </c>
      <c r="R42" s="66">
        <f t="shared" si="7"/>
        <v>538</v>
      </c>
      <c r="S42" s="66">
        <f t="shared" si="7"/>
        <v>538</v>
      </c>
      <c r="T42" s="66">
        <f t="shared" si="7"/>
        <v>538</v>
      </c>
      <c r="U42" s="66">
        <f t="shared" si="7"/>
        <v>538</v>
      </c>
      <c r="V42" s="66">
        <f t="shared" si="7"/>
        <v>538</v>
      </c>
      <c r="W42" s="66">
        <f t="shared" si="7"/>
        <v>538</v>
      </c>
      <c r="X42" s="66">
        <f t="shared" si="7"/>
        <v>538</v>
      </c>
      <c r="Y42" s="66">
        <f t="shared" si="7"/>
        <v>538</v>
      </c>
      <c r="Z42" s="66">
        <f t="shared" si="7"/>
        <v>538</v>
      </c>
      <c r="AA42" s="66">
        <f t="shared" si="7"/>
        <v>538</v>
      </c>
      <c r="AB42" s="66">
        <f t="shared" si="7"/>
        <v>538</v>
      </c>
      <c r="AC42" s="66">
        <f t="shared" si="7"/>
        <v>538</v>
      </c>
      <c r="AD42" s="66">
        <f t="shared" si="7"/>
        <v>538</v>
      </c>
      <c r="AE42" s="66">
        <f t="shared" si="7"/>
        <v>538</v>
      </c>
      <c r="AF42" s="66">
        <f t="shared" si="7"/>
        <v>538</v>
      </c>
      <c r="AG42" s="143">
        <f t="shared" si="7"/>
        <v>538.1</v>
      </c>
      <c r="AH42" s="54">
        <f t="shared" si="2"/>
        <v>538</v>
      </c>
      <c r="AI42" s="55">
        <f t="shared" si="3"/>
        <v>538</v>
      </c>
      <c r="AK42" s="56"/>
    </row>
    <row r="43" spans="1:88" x14ac:dyDescent="0.25">
      <c r="A43" s="57" t="s">
        <v>23</v>
      </c>
      <c r="B43" s="50">
        <v>142.19999999999999</v>
      </c>
      <c r="C43" s="50">
        <v>142.19999999999999</v>
      </c>
      <c r="D43" s="50">
        <v>142.19999999999999</v>
      </c>
      <c r="E43" s="50">
        <v>142.19999999999999</v>
      </c>
      <c r="F43" s="50">
        <v>141.6</v>
      </c>
      <c r="G43" s="50">
        <v>141.6</v>
      </c>
      <c r="H43" s="50">
        <v>141.6</v>
      </c>
      <c r="I43" s="50">
        <v>130</v>
      </c>
      <c r="J43" s="50">
        <v>130</v>
      </c>
      <c r="K43" s="50">
        <v>141.1</v>
      </c>
      <c r="L43" s="50">
        <v>141.1</v>
      </c>
      <c r="M43" s="50">
        <v>140.6</v>
      </c>
      <c r="N43" s="50">
        <v>140.80000000000001</v>
      </c>
      <c r="O43" s="50">
        <v>140.80000000000001</v>
      </c>
      <c r="P43" s="50">
        <v>140.80000000000001</v>
      </c>
      <c r="Q43" s="50">
        <v>141.9</v>
      </c>
      <c r="R43" s="50">
        <v>135.5</v>
      </c>
      <c r="S43" s="50">
        <v>139</v>
      </c>
      <c r="T43" s="50">
        <v>141</v>
      </c>
      <c r="U43" s="50">
        <v>141</v>
      </c>
      <c r="V43" s="50">
        <v>141</v>
      </c>
      <c r="W43" s="50">
        <v>141</v>
      </c>
      <c r="X43" s="50">
        <v>141</v>
      </c>
      <c r="Y43" s="50">
        <v>141</v>
      </c>
      <c r="Z43" s="50">
        <v>141</v>
      </c>
      <c r="AA43" s="50">
        <v>141</v>
      </c>
      <c r="AB43" s="50">
        <v>141.9</v>
      </c>
      <c r="AC43" s="50">
        <v>142</v>
      </c>
      <c r="AD43" s="50">
        <v>141.9</v>
      </c>
      <c r="AE43" s="50">
        <v>141.4</v>
      </c>
      <c r="AF43" s="50">
        <v>141.4</v>
      </c>
      <c r="AG43" s="135">
        <v>144</v>
      </c>
      <c r="AH43" s="54">
        <f t="shared" si="2"/>
        <v>142.19999999999999</v>
      </c>
      <c r="AI43" s="55">
        <f t="shared" si="3"/>
        <v>130</v>
      </c>
      <c r="AK43" s="56"/>
    </row>
    <row r="44" spans="1:88" x14ac:dyDescent="0.25">
      <c r="A44" s="60" t="s">
        <v>24</v>
      </c>
      <c r="B44" s="48">
        <v>71.8</v>
      </c>
      <c r="C44" s="48">
        <v>71.8</v>
      </c>
      <c r="D44" s="48">
        <v>71.8</v>
      </c>
      <c r="E44" s="48">
        <v>71.8</v>
      </c>
      <c r="F44" s="48">
        <v>72.400000000000006</v>
      </c>
      <c r="G44" s="48">
        <v>72.400000000000006</v>
      </c>
      <c r="H44" s="48">
        <v>72.400000000000006</v>
      </c>
      <c r="I44" s="48">
        <v>72.400000000000006</v>
      </c>
      <c r="J44" s="48">
        <v>72.400000000000006</v>
      </c>
      <c r="K44" s="48">
        <v>73</v>
      </c>
      <c r="L44" s="48">
        <v>73</v>
      </c>
      <c r="M44" s="48">
        <v>73.599999999999994</v>
      </c>
      <c r="N44" s="48">
        <v>72.900000000000006</v>
      </c>
      <c r="O44" s="48">
        <v>72.900000000000006</v>
      </c>
      <c r="P44" s="48">
        <v>72.900000000000006</v>
      </c>
      <c r="Q44" s="50">
        <v>70.7</v>
      </c>
      <c r="R44" s="50">
        <v>70.8</v>
      </c>
      <c r="S44" s="50">
        <v>70.8</v>
      </c>
      <c r="T44" s="50">
        <v>70.8</v>
      </c>
      <c r="U44" s="50">
        <v>70.8</v>
      </c>
      <c r="V44" s="50">
        <v>70.8</v>
      </c>
      <c r="W44" s="50">
        <v>70.8</v>
      </c>
      <c r="X44" s="50">
        <v>70.8</v>
      </c>
      <c r="Y44" s="50">
        <v>70.8</v>
      </c>
      <c r="Z44" s="50">
        <v>70.8</v>
      </c>
      <c r="AA44" s="50">
        <v>70.8</v>
      </c>
      <c r="AB44" s="48">
        <v>72.400000000000006</v>
      </c>
      <c r="AC44" s="48">
        <v>72.599999999999994</v>
      </c>
      <c r="AD44" s="48">
        <v>72.599999999999994</v>
      </c>
      <c r="AE44" s="48">
        <v>72</v>
      </c>
      <c r="AF44" s="48">
        <v>72</v>
      </c>
      <c r="AG44" s="136">
        <v>70</v>
      </c>
      <c r="AH44" s="54">
        <f t="shared" si="2"/>
        <v>73.599999999999994</v>
      </c>
      <c r="AI44" s="55">
        <f t="shared" si="3"/>
        <v>70.7</v>
      </c>
      <c r="AK44" s="56"/>
    </row>
    <row r="45" spans="1:88" x14ac:dyDescent="0.25">
      <c r="A45" s="60" t="s">
        <v>25</v>
      </c>
      <c r="B45" s="48">
        <v>62.8</v>
      </c>
      <c r="C45" s="48">
        <v>62.8</v>
      </c>
      <c r="D45" s="48">
        <v>62.8</v>
      </c>
      <c r="E45" s="48">
        <v>62.8</v>
      </c>
      <c r="F45" s="48">
        <v>62.3</v>
      </c>
      <c r="G45" s="48">
        <v>62.3</v>
      </c>
      <c r="H45" s="48">
        <v>62.3</v>
      </c>
      <c r="I45" s="48">
        <v>62.3</v>
      </c>
      <c r="J45" s="48">
        <v>54</v>
      </c>
      <c r="K45" s="48">
        <v>54</v>
      </c>
      <c r="L45" s="48">
        <v>62.3</v>
      </c>
      <c r="M45" s="48">
        <v>63.3</v>
      </c>
      <c r="N45" s="48">
        <v>63.3</v>
      </c>
      <c r="O45" s="48">
        <v>63.3</v>
      </c>
      <c r="P45" s="48">
        <v>63.3</v>
      </c>
      <c r="Q45" s="50">
        <v>63.4</v>
      </c>
      <c r="R45" s="50">
        <v>63.6</v>
      </c>
      <c r="S45" s="50">
        <v>63.6</v>
      </c>
      <c r="T45" s="50">
        <v>63.6</v>
      </c>
      <c r="U45" s="50">
        <v>63.6</v>
      </c>
      <c r="V45" s="50">
        <v>63.6</v>
      </c>
      <c r="W45" s="50">
        <v>63.6</v>
      </c>
      <c r="X45" s="50">
        <v>63.6</v>
      </c>
      <c r="Y45" s="50">
        <v>63.6</v>
      </c>
      <c r="Z45" s="50">
        <v>63.6</v>
      </c>
      <c r="AA45" s="50">
        <v>63.6</v>
      </c>
      <c r="AB45" s="48">
        <v>63.6</v>
      </c>
      <c r="AC45" s="48">
        <v>63.9</v>
      </c>
      <c r="AD45" s="48">
        <v>63.7</v>
      </c>
      <c r="AE45" s="48">
        <v>63.6</v>
      </c>
      <c r="AF45" s="48">
        <v>55</v>
      </c>
      <c r="AG45" s="136">
        <v>69</v>
      </c>
      <c r="AH45" s="54">
        <f t="shared" si="2"/>
        <v>63.9</v>
      </c>
      <c r="AI45" s="55">
        <f t="shared" si="3"/>
        <v>54</v>
      </c>
      <c r="AK45" s="56"/>
    </row>
    <row r="46" spans="1:88" x14ac:dyDescent="0.25">
      <c r="A46" s="60" t="s">
        <v>26</v>
      </c>
      <c r="B46" s="62">
        <v>61.7</v>
      </c>
      <c r="C46" s="62">
        <v>61.7</v>
      </c>
      <c r="D46" s="62">
        <v>61.7</v>
      </c>
      <c r="E46" s="62">
        <v>61.7</v>
      </c>
      <c r="F46" s="62">
        <v>61.7</v>
      </c>
      <c r="G46" s="62">
        <v>61.7</v>
      </c>
      <c r="H46" s="62">
        <v>61.7</v>
      </c>
      <c r="I46" s="62">
        <v>50</v>
      </c>
      <c r="J46" s="62">
        <v>50</v>
      </c>
      <c r="K46" s="62">
        <v>50</v>
      </c>
      <c r="L46" s="62">
        <v>61.7</v>
      </c>
      <c r="M46" s="62">
        <v>60.9</v>
      </c>
      <c r="N46" s="62">
        <v>60.7</v>
      </c>
      <c r="O46" s="62">
        <v>60.7</v>
      </c>
      <c r="P46" s="62">
        <v>0</v>
      </c>
      <c r="Q46" s="50">
        <v>0</v>
      </c>
      <c r="R46" s="50">
        <v>0</v>
      </c>
      <c r="S46" s="50">
        <v>0</v>
      </c>
      <c r="T46" s="50">
        <v>0</v>
      </c>
      <c r="U46" s="50">
        <v>0</v>
      </c>
      <c r="V46" s="50">
        <v>60</v>
      </c>
      <c r="W46" s="50">
        <v>60</v>
      </c>
      <c r="X46" s="50">
        <v>60</v>
      </c>
      <c r="Y46" s="50">
        <v>60</v>
      </c>
      <c r="Z46" s="50">
        <v>60</v>
      </c>
      <c r="AA46" s="50">
        <v>60</v>
      </c>
      <c r="AB46" s="62">
        <v>61.5</v>
      </c>
      <c r="AC46" s="62">
        <v>61.5</v>
      </c>
      <c r="AD46" s="62">
        <v>61.5</v>
      </c>
      <c r="AE46" s="62">
        <v>61.5</v>
      </c>
      <c r="AF46" s="62">
        <v>61.5</v>
      </c>
      <c r="AG46" s="136">
        <v>60</v>
      </c>
      <c r="AH46" s="54">
        <f t="shared" si="2"/>
        <v>61.7</v>
      </c>
      <c r="AI46" s="55">
        <f t="shared" si="3"/>
        <v>0</v>
      </c>
      <c r="AK46" s="56"/>
    </row>
    <row r="47" spans="1:88" x14ac:dyDescent="0.25">
      <c r="A47" s="60" t="s">
        <v>27</v>
      </c>
      <c r="B47" s="62">
        <v>15</v>
      </c>
      <c r="C47" s="62">
        <v>15</v>
      </c>
      <c r="D47" s="62">
        <v>15</v>
      </c>
      <c r="E47" s="62">
        <v>15</v>
      </c>
      <c r="F47" s="62">
        <v>15</v>
      </c>
      <c r="G47" s="62">
        <v>15</v>
      </c>
      <c r="H47" s="62">
        <v>15</v>
      </c>
      <c r="I47" s="62">
        <v>15</v>
      </c>
      <c r="J47" s="62">
        <v>15</v>
      </c>
      <c r="K47" s="62">
        <v>15</v>
      </c>
      <c r="L47" s="62">
        <v>15</v>
      </c>
      <c r="M47" s="50">
        <v>14.9</v>
      </c>
      <c r="N47" s="50">
        <v>14.9</v>
      </c>
      <c r="O47" s="50">
        <v>14.9</v>
      </c>
      <c r="P47" s="50">
        <v>14.9</v>
      </c>
      <c r="Q47" s="50">
        <v>14.9</v>
      </c>
      <c r="R47" s="50">
        <v>14.9</v>
      </c>
      <c r="S47" s="50">
        <v>14.9</v>
      </c>
      <c r="T47" s="50">
        <v>14.9</v>
      </c>
      <c r="U47" s="50">
        <v>14.9</v>
      </c>
      <c r="V47" s="50">
        <v>14.9</v>
      </c>
      <c r="W47" s="50">
        <v>14.9</v>
      </c>
      <c r="X47" s="50">
        <v>14.9</v>
      </c>
      <c r="Y47" s="50">
        <v>14.9</v>
      </c>
      <c r="Z47" s="50">
        <v>14.9</v>
      </c>
      <c r="AA47" s="50">
        <v>14.9</v>
      </c>
      <c r="AB47" s="62">
        <v>14.9</v>
      </c>
      <c r="AC47" s="62">
        <v>14.8</v>
      </c>
      <c r="AD47" s="62">
        <v>14.8</v>
      </c>
      <c r="AE47" s="62">
        <v>14.8</v>
      </c>
      <c r="AF47" s="62">
        <v>14.8</v>
      </c>
      <c r="AG47" s="136">
        <v>30</v>
      </c>
      <c r="AH47" s="54">
        <f t="shared" si="2"/>
        <v>15</v>
      </c>
      <c r="AI47" s="55">
        <f t="shared" si="3"/>
        <v>14.8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48">
        <v>0</v>
      </c>
      <c r="M48" s="48">
        <v>4</v>
      </c>
      <c r="N48" s="48">
        <v>4</v>
      </c>
      <c r="O48" s="48">
        <v>4</v>
      </c>
      <c r="P48" s="48">
        <v>4</v>
      </c>
      <c r="Q48" s="50">
        <v>8</v>
      </c>
      <c r="R48" s="50">
        <v>8</v>
      </c>
      <c r="S48" s="50">
        <v>8</v>
      </c>
      <c r="T48" s="50">
        <v>8</v>
      </c>
      <c r="U48" s="50">
        <v>8</v>
      </c>
      <c r="V48" s="50">
        <v>8</v>
      </c>
      <c r="W48" s="50">
        <v>8</v>
      </c>
      <c r="X48" s="50">
        <v>8</v>
      </c>
      <c r="Y48" s="50">
        <v>8</v>
      </c>
      <c r="Z48" s="50">
        <v>8</v>
      </c>
      <c r="AA48" s="50">
        <v>8</v>
      </c>
      <c r="AB48" s="48">
        <v>0</v>
      </c>
      <c r="AC48" s="48">
        <v>0</v>
      </c>
      <c r="AD48" s="48">
        <v>0</v>
      </c>
      <c r="AE48" s="48">
        <v>0</v>
      </c>
      <c r="AF48" s="48">
        <v>0</v>
      </c>
      <c r="AG48" s="136">
        <v>25</v>
      </c>
      <c r="AH48" s="54">
        <f t="shared" si="2"/>
        <v>8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16.8</v>
      </c>
      <c r="C49" s="48">
        <v>16.8</v>
      </c>
      <c r="D49" s="48">
        <v>16.8</v>
      </c>
      <c r="E49" s="48">
        <v>16.8</v>
      </c>
      <c r="F49" s="48">
        <v>16.8</v>
      </c>
      <c r="G49" s="48">
        <v>16.8</v>
      </c>
      <c r="H49" s="48">
        <v>16.8</v>
      </c>
      <c r="I49" s="48">
        <v>16.8</v>
      </c>
      <c r="J49" s="48">
        <v>16.8</v>
      </c>
      <c r="K49" s="48">
        <v>16.8</v>
      </c>
      <c r="L49" s="48">
        <v>16.8</v>
      </c>
      <c r="M49" s="48">
        <v>17</v>
      </c>
      <c r="N49" s="48">
        <v>17</v>
      </c>
      <c r="O49" s="48">
        <v>17</v>
      </c>
      <c r="P49" s="48">
        <v>17</v>
      </c>
      <c r="Q49" s="50">
        <v>15.8</v>
      </c>
      <c r="R49" s="50">
        <v>17</v>
      </c>
      <c r="S49" s="50">
        <v>17</v>
      </c>
      <c r="T49" s="50">
        <v>17</v>
      </c>
      <c r="U49" s="50">
        <v>17</v>
      </c>
      <c r="V49" s="50">
        <v>17</v>
      </c>
      <c r="W49" s="50">
        <v>17</v>
      </c>
      <c r="X49" s="50">
        <v>17</v>
      </c>
      <c r="Y49" s="50">
        <v>17</v>
      </c>
      <c r="Z49" s="50">
        <v>17</v>
      </c>
      <c r="AA49" s="50">
        <v>17</v>
      </c>
      <c r="AB49" s="48">
        <v>16.5</v>
      </c>
      <c r="AC49" s="48">
        <v>16.5</v>
      </c>
      <c r="AD49" s="48">
        <v>16.5</v>
      </c>
      <c r="AE49" s="48">
        <v>16.5</v>
      </c>
      <c r="AF49" s="48">
        <v>16.5</v>
      </c>
      <c r="AG49" s="136">
        <v>24</v>
      </c>
      <c r="AH49" s="54">
        <f t="shared" si="2"/>
        <v>17</v>
      </c>
      <c r="AI49" s="55">
        <f t="shared" si="3"/>
        <v>15.8</v>
      </c>
      <c r="AK49" s="56"/>
    </row>
    <row r="50" spans="1:41" x14ac:dyDescent="0.25">
      <c r="A50" s="60" t="s">
        <v>30</v>
      </c>
      <c r="B50" s="48">
        <v>2.5</v>
      </c>
      <c r="C50" s="48">
        <v>2.5</v>
      </c>
      <c r="D50" s="48">
        <v>2.5</v>
      </c>
      <c r="E50" s="48">
        <v>2.5</v>
      </c>
      <c r="F50" s="48">
        <v>2.5</v>
      </c>
      <c r="G50" s="48">
        <v>2.5</v>
      </c>
      <c r="H50" s="48">
        <v>2.5</v>
      </c>
      <c r="I50" s="48">
        <v>2.5</v>
      </c>
      <c r="J50" s="48">
        <v>2.5</v>
      </c>
      <c r="K50" s="48">
        <v>2.5</v>
      </c>
      <c r="L50" s="48">
        <v>2.5</v>
      </c>
      <c r="M50" s="48">
        <v>2.5</v>
      </c>
      <c r="N50" s="48">
        <v>2.5</v>
      </c>
      <c r="O50" s="48">
        <v>2.5</v>
      </c>
      <c r="P50" s="48">
        <v>0</v>
      </c>
      <c r="Q50" s="50">
        <v>0</v>
      </c>
      <c r="R50" s="50">
        <v>0</v>
      </c>
      <c r="S50" s="50">
        <v>0</v>
      </c>
      <c r="T50" s="50">
        <v>0</v>
      </c>
      <c r="U50" s="50">
        <v>0</v>
      </c>
      <c r="V50" s="50">
        <v>0</v>
      </c>
      <c r="W50" s="50">
        <v>0</v>
      </c>
      <c r="X50" s="50">
        <v>0</v>
      </c>
      <c r="Y50" s="50">
        <v>0</v>
      </c>
      <c r="Z50" s="50">
        <v>0</v>
      </c>
      <c r="AA50" s="50">
        <v>0</v>
      </c>
      <c r="AB50" s="48">
        <v>3.2</v>
      </c>
      <c r="AC50" s="48">
        <v>3.2</v>
      </c>
      <c r="AD50" s="48">
        <v>3.2</v>
      </c>
      <c r="AE50" s="48">
        <v>3.2</v>
      </c>
      <c r="AF50" s="48">
        <v>3.2</v>
      </c>
      <c r="AG50" s="136">
        <v>15</v>
      </c>
      <c r="AH50" s="54">
        <f t="shared" si="2"/>
        <v>3.2</v>
      </c>
      <c r="AI50" s="55">
        <f t="shared" si="3"/>
        <v>0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9</v>
      </c>
      <c r="C51" s="48">
        <v>9</v>
      </c>
      <c r="D51" s="48">
        <v>9</v>
      </c>
      <c r="E51" s="48">
        <v>9</v>
      </c>
      <c r="F51" s="48">
        <v>9</v>
      </c>
      <c r="G51" s="48">
        <v>9</v>
      </c>
      <c r="H51" s="48">
        <v>9</v>
      </c>
      <c r="I51" s="48">
        <v>9</v>
      </c>
      <c r="J51" s="48">
        <v>9</v>
      </c>
      <c r="K51" s="48">
        <v>9</v>
      </c>
      <c r="L51" s="48">
        <v>9</v>
      </c>
      <c r="M51" s="48">
        <v>9.1999999999999993</v>
      </c>
      <c r="N51" s="48">
        <v>9.1999999999999993</v>
      </c>
      <c r="O51" s="48">
        <v>9.1999999999999993</v>
      </c>
      <c r="P51" s="48">
        <v>9.1999999999999993</v>
      </c>
      <c r="Q51" s="50">
        <v>10.7</v>
      </c>
      <c r="R51" s="50">
        <v>10.6</v>
      </c>
      <c r="S51" s="50">
        <v>10.6</v>
      </c>
      <c r="T51" s="50">
        <v>10.6</v>
      </c>
      <c r="U51" s="50">
        <v>10.6</v>
      </c>
      <c r="V51" s="50">
        <v>10.6</v>
      </c>
      <c r="W51" s="50">
        <v>10.6</v>
      </c>
      <c r="X51" s="50">
        <v>10.6</v>
      </c>
      <c r="Y51" s="50">
        <v>10.6</v>
      </c>
      <c r="Z51" s="50">
        <v>10.6</v>
      </c>
      <c r="AA51" s="50">
        <v>10.6</v>
      </c>
      <c r="AB51" s="48">
        <v>12.3</v>
      </c>
      <c r="AC51" s="48">
        <v>12.3</v>
      </c>
      <c r="AD51" s="48">
        <v>12.3</v>
      </c>
      <c r="AE51" s="48">
        <v>12.3</v>
      </c>
      <c r="AF51" s="48">
        <v>12.3</v>
      </c>
      <c r="AG51" s="136">
        <v>14.1</v>
      </c>
      <c r="AH51" s="54">
        <f t="shared" si="2"/>
        <v>12.3</v>
      </c>
      <c r="AI51" s="55">
        <f t="shared" si="3"/>
        <v>9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14</v>
      </c>
      <c r="C52" s="48">
        <v>14</v>
      </c>
      <c r="D52" s="48">
        <v>2.9</v>
      </c>
      <c r="E52" s="48">
        <v>2.9</v>
      </c>
      <c r="F52" s="48">
        <v>2.9</v>
      </c>
      <c r="G52" s="48">
        <v>2.9</v>
      </c>
      <c r="H52" s="48">
        <v>2.9</v>
      </c>
      <c r="I52" s="48">
        <v>2.9</v>
      </c>
      <c r="J52" s="48">
        <v>2.9</v>
      </c>
      <c r="K52" s="48">
        <v>2.9</v>
      </c>
      <c r="L52" s="48">
        <v>2.9</v>
      </c>
      <c r="M52" s="48">
        <v>13.9</v>
      </c>
      <c r="N52" s="48">
        <v>4.5</v>
      </c>
      <c r="O52" s="48">
        <v>14</v>
      </c>
      <c r="P52" s="48">
        <v>14</v>
      </c>
      <c r="Q52" s="50">
        <v>14</v>
      </c>
      <c r="R52" s="50">
        <v>7.1</v>
      </c>
      <c r="S52" s="50">
        <v>7.1</v>
      </c>
      <c r="T52" s="50">
        <v>7.1</v>
      </c>
      <c r="U52" s="50">
        <v>7.1</v>
      </c>
      <c r="V52" s="50">
        <v>7.1</v>
      </c>
      <c r="W52" s="50">
        <v>7.1</v>
      </c>
      <c r="X52" s="50">
        <v>7.1</v>
      </c>
      <c r="Y52" s="50">
        <v>7.1</v>
      </c>
      <c r="Z52" s="50">
        <v>7.1</v>
      </c>
      <c r="AA52" s="50">
        <v>7.1</v>
      </c>
      <c r="AB52" s="50">
        <v>13.5</v>
      </c>
      <c r="AC52" s="50">
        <v>13.5</v>
      </c>
      <c r="AD52" s="50">
        <v>13.5</v>
      </c>
      <c r="AE52" s="50">
        <v>14</v>
      </c>
      <c r="AF52" s="50">
        <v>0</v>
      </c>
      <c r="AG52" s="136">
        <v>14</v>
      </c>
      <c r="AH52" s="54">
        <f t="shared" si="2"/>
        <v>14</v>
      </c>
      <c r="AI52" s="55">
        <f t="shared" si="3"/>
        <v>0</v>
      </c>
      <c r="AK52" s="56"/>
    </row>
    <row r="53" spans="1:41" x14ac:dyDescent="0.25">
      <c r="A53" s="60" t="s">
        <v>33</v>
      </c>
      <c r="B53" s="48">
        <v>6</v>
      </c>
      <c r="C53" s="48">
        <v>6</v>
      </c>
      <c r="D53" s="48">
        <v>6</v>
      </c>
      <c r="E53" s="48">
        <v>6</v>
      </c>
      <c r="F53" s="48">
        <v>6</v>
      </c>
      <c r="G53" s="48">
        <v>6</v>
      </c>
      <c r="H53" s="48">
        <v>6</v>
      </c>
      <c r="I53" s="48">
        <v>6</v>
      </c>
      <c r="J53" s="48">
        <v>6</v>
      </c>
      <c r="K53" s="48">
        <v>6</v>
      </c>
      <c r="L53" s="48">
        <v>6</v>
      </c>
      <c r="M53" s="48">
        <v>6.2</v>
      </c>
      <c r="N53" s="48">
        <v>6.2</v>
      </c>
      <c r="O53" s="48">
        <v>6.2</v>
      </c>
      <c r="P53" s="48">
        <v>6.2</v>
      </c>
      <c r="Q53" s="50">
        <v>6.2</v>
      </c>
      <c r="R53" s="50">
        <v>6.2</v>
      </c>
      <c r="S53" s="50">
        <v>6.2</v>
      </c>
      <c r="T53" s="50">
        <v>6.2</v>
      </c>
      <c r="U53" s="50">
        <v>6.2</v>
      </c>
      <c r="V53" s="50">
        <v>6.2</v>
      </c>
      <c r="W53" s="50">
        <v>6.2</v>
      </c>
      <c r="X53" s="50">
        <v>6.2</v>
      </c>
      <c r="Y53" s="50">
        <v>6.2</v>
      </c>
      <c r="Z53" s="50">
        <v>6.2</v>
      </c>
      <c r="AA53" s="50">
        <v>6.2</v>
      </c>
      <c r="AB53" s="50">
        <v>6.2</v>
      </c>
      <c r="AC53" s="50">
        <v>6.2</v>
      </c>
      <c r="AD53" s="50">
        <v>6.2</v>
      </c>
      <c r="AE53" s="50">
        <v>6.2</v>
      </c>
      <c r="AF53" s="50">
        <v>6.2</v>
      </c>
      <c r="AG53" s="136">
        <v>10.050000000000001</v>
      </c>
      <c r="AH53" s="54">
        <f t="shared" si="2"/>
        <v>6.2</v>
      </c>
      <c r="AI53" s="55">
        <f t="shared" si="3"/>
        <v>6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48">
        <v>6.2</v>
      </c>
      <c r="N54" s="48">
        <v>6.2</v>
      </c>
      <c r="O54" s="48">
        <v>6.2</v>
      </c>
      <c r="P54" s="48">
        <v>6.2</v>
      </c>
      <c r="Q54" s="50">
        <v>6.2</v>
      </c>
      <c r="R54" s="50">
        <v>6.2</v>
      </c>
      <c r="S54" s="50">
        <v>6.2</v>
      </c>
      <c r="T54" s="50">
        <v>6.2</v>
      </c>
      <c r="U54" s="50">
        <v>6.2</v>
      </c>
      <c r="V54" s="50">
        <v>6.2</v>
      </c>
      <c r="W54" s="50">
        <v>6.2</v>
      </c>
      <c r="X54" s="50">
        <v>6.2</v>
      </c>
      <c r="Y54" s="50">
        <v>6.2</v>
      </c>
      <c r="Z54" s="50">
        <v>6.2</v>
      </c>
      <c r="AA54" s="50">
        <v>6.2</v>
      </c>
      <c r="AB54" s="50">
        <v>6.2</v>
      </c>
      <c r="AC54" s="50">
        <v>6.2</v>
      </c>
      <c r="AD54" s="50">
        <v>6.2</v>
      </c>
      <c r="AE54" s="50">
        <v>6.2</v>
      </c>
      <c r="AF54" s="50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8">AG220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>SUM(B43:B55)</f>
        <v>411.54</v>
      </c>
      <c r="C56" s="66">
        <f t="shared" ref="C56:AG56" si="9">SUM(C43:C55)</f>
        <v>411.54</v>
      </c>
      <c r="D56" s="66">
        <f t="shared" si="9"/>
        <v>400.44</v>
      </c>
      <c r="E56" s="66">
        <f t="shared" si="9"/>
        <v>400.44</v>
      </c>
      <c r="F56" s="66">
        <f t="shared" si="9"/>
        <v>399.94</v>
      </c>
      <c r="G56" s="66">
        <f t="shared" si="9"/>
        <v>399.94</v>
      </c>
      <c r="H56" s="66">
        <f t="shared" si="9"/>
        <v>399.94</v>
      </c>
      <c r="I56" s="66">
        <f t="shared" si="9"/>
        <v>376.64</v>
      </c>
      <c r="J56" s="66">
        <f t="shared" si="9"/>
        <v>368.34</v>
      </c>
      <c r="K56" s="66">
        <f t="shared" si="9"/>
        <v>380.04</v>
      </c>
      <c r="L56" s="66">
        <f t="shared" si="9"/>
        <v>400.03999999999996</v>
      </c>
      <c r="M56" s="66">
        <f t="shared" si="9"/>
        <v>415.83999999999992</v>
      </c>
      <c r="N56" s="66">
        <f t="shared" si="9"/>
        <v>405.73999999999995</v>
      </c>
      <c r="O56" s="66">
        <f t="shared" si="9"/>
        <v>415.23999999999995</v>
      </c>
      <c r="P56" s="66">
        <f t="shared" si="9"/>
        <v>352.03999999999996</v>
      </c>
      <c r="Q56" s="66">
        <f t="shared" si="9"/>
        <v>355.34</v>
      </c>
      <c r="R56" s="66">
        <f t="shared" si="9"/>
        <v>343.44000000000005</v>
      </c>
      <c r="S56" s="66">
        <f t="shared" si="9"/>
        <v>346.94000000000005</v>
      </c>
      <c r="T56" s="66">
        <f t="shared" si="9"/>
        <v>348.94000000000005</v>
      </c>
      <c r="U56" s="66">
        <f t="shared" si="9"/>
        <v>348.94000000000005</v>
      </c>
      <c r="V56" s="66">
        <f t="shared" si="9"/>
        <v>408.94000000000005</v>
      </c>
      <c r="W56" s="66">
        <f t="shared" si="9"/>
        <v>408.94000000000005</v>
      </c>
      <c r="X56" s="66">
        <f t="shared" si="9"/>
        <v>408.94000000000005</v>
      </c>
      <c r="Y56" s="66">
        <f t="shared" si="9"/>
        <v>408.94000000000005</v>
      </c>
      <c r="Z56" s="66">
        <f t="shared" si="9"/>
        <v>408.94000000000005</v>
      </c>
      <c r="AA56" s="66">
        <f t="shared" si="9"/>
        <v>408.94000000000005</v>
      </c>
      <c r="AB56" s="66">
        <f t="shared" si="9"/>
        <v>415.74</v>
      </c>
      <c r="AC56" s="66">
        <f t="shared" si="9"/>
        <v>416.24</v>
      </c>
      <c r="AD56" s="66">
        <f t="shared" si="9"/>
        <v>415.94</v>
      </c>
      <c r="AE56" s="66">
        <f t="shared" si="9"/>
        <v>415.24</v>
      </c>
      <c r="AF56" s="66">
        <f t="shared" si="9"/>
        <v>392.64</v>
      </c>
      <c r="AG56" s="143">
        <f t="shared" si="9"/>
        <v>489.91</v>
      </c>
      <c r="AH56" s="54">
        <f t="shared" si="2"/>
        <v>416.24</v>
      </c>
      <c r="AI56" s="55">
        <f t="shared" si="3"/>
        <v>343.44000000000005</v>
      </c>
      <c r="AK56" s="56"/>
    </row>
    <row r="57" spans="1:41" x14ac:dyDescent="0.25">
      <c r="A57" s="57" t="s">
        <v>37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0</v>
      </c>
      <c r="AB57" s="50">
        <v>0</v>
      </c>
      <c r="AC57" s="50">
        <v>0</v>
      </c>
      <c r="AD57" s="50">
        <v>0</v>
      </c>
      <c r="AE57" s="50">
        <v>0</v>
      </c>
      <c r="AF57" s="50">
        <v>0</v>
      </c>
      <c r="AG57" s="135">
        <v>60</v>
      </c>
      <c r="AH57" s="54">
        <f t="shared" si="2"/>
        <v>0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136">
        <v>32</v>
      </c>
      <c r="AH58" s="54">
        <f t="shared" si="2"/>
        <v>0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70">
        <v>0</v>
      </c>
      <c r="P59" s="70">
        <v>0</v>
      </c>
      <c r="Q59" s="70">
        <v>0</v>
      </c>
      <c r="R59" s="70">
        <v>0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70">
        <v>0</v>
      </c>
      <c r="AB59" s="70">
        <v>0</v>
      </c>
      <c r="AC59" s="70">
        <v>0</v>
      </c>
      <c r="AD59" s="70">
        <v>0</v>
      </c>
      <c r="AE59" s="70">
        <v>0</v>
      </c>
      <c r="AF59" s="70">
        <v>0</v>
      </c>
      <c r="AG59" s="137">
        <v>14</v>
      </c>
      <c r="AH59" s="54">
        <f t="shared" si="2"/>
        <v>0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>SUM(B57:B59)</f>
        <v>0</v>
      </c>
      <c r="C60" s="66">
        <f t="shared" ref="C60:AG60" si="10">SUM(C57:C59)</f>
        <v>0</v>
      </c>
      <c r="D60" s="66">
        <f t="shared" si="10"/>
        <v>0</v>
      </c>
      <c r="E60" s="66">
        <f t="shared" si="10"/>
        <v>0</v>
      </c>
      <c r="F60" s="66">
        <f t="shared" si="10"/>
        <v>0</v>
      </c>
      <c r="G60" s="66">
        <f t="shared" si="10"/>
        <v>0</v>
      </c>
      <c r="H60" s="66">
        <f t="shared" si="10"/>
        <v>0</v>
      </c>
      <c r="I60" s="66">
        <f t="shared" si="10"/>
        <v>0</v>
      </c>
      <c r="J60" s="66">
        <f t="shared" si="10"/>
        <v>0</v>
      </c>
      <c r="K60" s="66">
        <f t="shared" si="10"/>
        <v>0</v>
      </c>
      <c r="L60" s="66">
        <f t="shared" si="10"/>
        <v>0</v>
      </c>
      <c r="M60" s="66">
        <f t="shared" si="10"/>
        <v>0</v>
      </c>
      <c r="N60" s="66">
        <f t="shared" si="10"/>
        <v>0</v>
      </c>
      <c r="O60" s="66">
        <f t="shared" si="10"/>
        <v>0</v>
      </c>
      <c r="P60" s="66">
        <f t="shared" si="10"/>
        <v>0</v>
      </c>
      <c r="Q60" s="66">
        <f t="shared" si="10"/>
        <v>0</v>
      </c>
      <c r="R60" s="66">
        <f t="shared" si="10"/>
        <v>0</v>
      </c>
      <c r="S60" s="66">
        <f t="shared" si="10"/>
        <v>0</v>
      </c>
      <c r="T60" s="66">
        <f t="shared" si="10"/>
        <v>0</v>
      </c>
      <c r="U60" s="66">
        <f t="shared" si="10"/>
        <v>0</v>
      </c>
      <c r="V60" s="66">
        <f t="shared" si="10"/>
        <v>0</v>
      </c>
      <c r="W60" s="66">
        <f t="shared" si="10"/>
        <v>0</v>
      </c>
      <c r="X60" s="66">
        <f t="shared" si="10"/>
        <v>0</v>
      </c>
      <c r="Y60" s="66">
        <f t="shared" si="10"/>
        <v>0</v>
      </c>
      <c r="Z60" s="66">
        <f t="shared" si="10"/>
        <v>0</v>
      </c>
      <c r="AA60" s="66">
        <f t="shared" si="10"/>
        <v>0</v>
      </c>
      <c r="AB60" s="66">
        <f t="shared" si="10"/>
        <v>0</v>
      </c>
      <c r="AC60" s="66">
        <f t="shared" si="10"/>
        <v>0</v>
      </c>
      <c r="AD60" s="66">
        <f t="shared" si="10"/>
        <v>0</v>
      </c>
      <c r="AE60" s="66">
        <f t="shared" si="10"/>
        <v>0</v>
      </c>
      <c r="AF60" s="66">
        <f t="shared" si="10"/>
        <v>0</v>
      </c>
      <c r="AG60" s="143">
        <f t="shared" si="10"/>
        <v>106</v>
      </c>
      <c r="AH60" s="54">
        <f t="shared" si="2"/>
        <v>0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29.5</v>
      </c>
      <c r="C61" s="50">
        <v>16</v>
      </c>
      <c r="D61" s="50">
        <v>15</v>
      </c>
      <c r="E61" s="50">
        <v>4.5</v>
      </c>
      <c r="F61" s="50">
        <v>3.2</v>
      </c>
      <c r="G61" s="50">
        <v>3.2</v>
      </c>
      <c r="H61" s="50">
        <v>3.2</v>
      </c>
      <c r="I61" s="50">
        <v>3.2</v>
      </c>
      <c r="J61" s="50">
        <v>3.2</v>
      </c>
      <c r="K61" s="50">
        <v>2.1</v>
      </c>
      <c r="L61" s="50">
        <v>3.4</v>
      </c>
      <c r="M61" s="50">
        <v>8</v>
      </c>
      <c r="N61" s="50">
        <v>19.899999999999999</v>
      </c>
      <c r="O61" s="50">
        <v>30.3</v>
      </c>
      <c r="P61" s="50">
        <v>30.8</v>
      </c>
      <c r="Q61" s="50">
        <v>27.6</v>
      </c>
      <c r="R61" s="50">
        <v>31.8</v>
      </c>
      <c r="S61" s="50">
        <v>33</v>
      </c>
      <c r="T61" s="50">
        <v>37</v>
      </c>
      <c r="U61" s="50">
        <v>37</v>
      </c>
      <c r="V61" s="50">
        <v>37</v>
      </c>
      <c r="W61" s="50">
        <v>39</v>
      </c>
      <c r="X61" s="50">
        <v>39</v>
      </c>
      <c r="Y61" s="50">
        <v>30</v>
      </c>
      <c r="Z61" s="50">
        <v>32</v>
      </c>
      <c r="AA61" s="50">
        <v>40</v>
      </c>
      <c r="AB61" s="50">
        <v>37.299999999999997</v>
      </c>
      <c r="AC61" s="50">
        <v>17.600000000000001</v>
      </c>
      <c r="AD61" s="50">
        <v>39.299999999999997</v>
      </c>
      <c r="AE61" s="50">
        <v>16</v>
      </c>
      <c r="AF61" s="50">
        <v>18</v>
      </c>
      <c r="AG61" s="135"/>
      <c r="AH61" s="54">
        <f t="shared" si="2"/>
        <v>40</v>
      </c>
      <c r="AI61" s="55">
        <f t="shared" si="3"/>
        <v>2.1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-250</v>
      </c>
      <c r="C63" s="48">
        <v>-364</v>
      </c>
      <c r="D63" s="48">
        <v>-393</v>
      </c>
      <c r="E63" s="48">
        <v>-387</v>
      </c>
      <c r="F63" s="48">
        <v>-406</v>
      </c>
      <c r="G63" s="48">
        <v>-406</v>
      </c>
      <c r="H63" s="48">
        <v>-365</v>
      </c>
      <c r="I63" s="48">
        <v>-365</v>
      </c>
      <c r="J63" s="48">
        <v>-384</v>
      </c>
      <c r="K63" s="48">
        <v>-407</v>
      </c>
      <c r="L63" s="48">
        <v>-401</v>
      </c>
      <c r="M63" s="48">
        <v>-397.8</v>
      </c>
      <c r="N63" s="48">
        <v>-37.299999999999997</v>
      </c>
      <c r="O63" s="48">
        <v>-383.6</v>
      </c>
      <c r="P63" s="48">
        <v>-321</v>
      </c>
      <c r="Q63" s="48">
        <v>-360</v>
      </c>
      <c r="R63" s="48">
        <v>-362.6</v>
      </c>
      <c r="S63" s="48">
        <v>-313</v>
      </c>
      <c r="T63" s="48">
        <v>-326</v>
      </c>
      <c r="U63" s="48">
        <v>-326</v>
      </c>
      <c r="V63" s="48">
        <v>-384</v>
      </c>
      <c r="W63" s="48">
        <v>-409</v>
      </c>
      <c r="X63" s="48">
        <v>-450</v>
      </c>
      <c r="Y63" s="48">
        <v>-402</v>
      </c>
      <c r="Z63" s="48">
        <v>-348</v>
      </c>
      <c r="AA63" s="48">
        <v>-287</v>
      </c>
      <c r="AB63" s="48">
        <v>-275.60000000000002</v>
      </c>
      <c r="AC63" s="48">
        <v>-253.2</v>
      </c>
      <c r="AD63" s="48">
        <v>-284.5</v>
      </c>
      <c r="AE63" s="48">
        <v>-330.2</v>
      </c>
      <c r="AF63" s="48">
        <v>-300.60000000000002</v>
      </c>
      <c r="AG63" s="140"/>
      <c r="AH63" s="54">
        <f t="shared" si="2"/>
        <v>-37.299999999999997</v>
      </c>
      <c r="AI63" s="55">
        <f t="shared" si="3"/>
        <v>-450</v>
      </c>
      <c r="AK63" s="56"/>
    </row>
    <row r="64" spans="1:41" x14ac:dyDescent="0.25">
      <c r="A64" s="60" t="s">
        <v>44</v>
      </c>
      <c r="B64" s="71">
        <v>0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140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5</v>
      </c>
      <c r="C66" s="72">
        <v>5</v>
      </c>
      <c r="D66" s="72">
        <v>5</v>
      </c>
      <c r="E66" s="72">
        <v>5</v>
      </c>
      <c r="F66" s="72">
        <v>5</v>
      </c>
      <c r="G66" s="72">
        <v>5</v>
      </c>
      <c r="H66" s="72">
        <v>5</v>
      </c>
      <c r="I66" s="72">
        <v>5</v>
      </c>
      <c r="J66" s="72">
        <v>5</v>
      </c>
      <c r="K66" s="72">
        <v>5</v>
      </c>
      <c r="L66" s="72">
        <v>5</v>
      </c>
      <c r="M66" s="72">
        <v>5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0</v>
      </c>
      <c r="AD66" s="72">
        <v>0</v>
      </c>
      <c r="AE66" s="72">
        <v>0</v>
      </c>
      <c r="AF66" s="72">
        <v>0</v>
      </c>
      <c r="AG66" s="140"/>
      <c r="AH66" s="54">
        <f t="shared" si="2"/>
        <v>5</v>
      </c>
      <c r="AI66" s="55">
        <f t="shared" si="3"/>
        <v>0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1">
        <v>0</v>
      </c>
      <c r="D68" s="71">
        <v>0</v>
      </c>
      <c r="E68" s="71">
        <v>0</v>
      </c>
      <c r="F68" s="71">
        <v>0</v>
      </c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1">
        <v>0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4">
        <v>0</v>
      </c>
      <c r="C70" s="74">
        <v>0</v>
      </c>
      <c r="D70" s="74">
        <v>0</v>
      </c>
      <c r="E70" s="74">
        <v>0</v>
      </c>
      <c r="F70" s="74">
        <v>0</v>
      </c>
      <c r="G70" s="74">
        <v>0</v>
      </c>
      <c r="H70" s="74">
        <v>0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>SUMIF(B61:B71,"&gt;0")</f>
        <v>34.5</v>
      </c>
      <c r="C72" s="66">
        <f t="shared" ref="C72:L72" si="11">SUMIF(C61:C71,"&gt;0")</f>
        <v>21</v>
      </c>
      <c r="D72" s="66">
        <f t="shared" si="11"/>
        <v>20</v>
      </c>
      <c r="E72" s="66">
        <f t="shared" si="11"/>
        <v>9.5</v>
      </c>
      <c r="F72" s="66">
        <f t="shared" si="11"/>
        <v>8.1999999999999993</v>
      </c>
      <c r="G72" s="66">
        <f t="shared" si="11"/>
        <v>8.1999999999999993</v>
      </c>
      <c r="H72" s="66">
        <f t="shared" si="11"/>
        <v>8.1999999999999993</v>
      </c>
      <c r="I72" s="66">
        <f t="shared" si="11"/>
        <v>8.1999999999999993</v>
      </c>
      <c r="J72" s="66">
        <f t="shared" si="11"/>
        <v>8.1999999999999993</v>
      </c>
      <c r="K72" s="66">
        <f t="shared" si="11"/>
        <v>7.1</v>
      </c>
      <c r="L72" s="66">
        <f t="shared" si="11"/>
        <v>8.4</v>
      </c>
      <c r="M72" s="66">
        <f>SUMIF(M61:M71,"&gt;0")</f>
        <v>13</v>
      </c>
      <c r="N72" s="66">
        <f t="shared" ref="N72:AF72" si="12">SUMIF(N61:N71,"&gt;0")</f>
        <v>19.899999999999999</v>
      </c>
      <c r="O72" s="66">
        <f t="shared" si="12"/>
        <v>30.3</v>
      </c>
      <c r="P72" s="66">
        <f t="shared" si="12"/>
        <v>30.8</v>
      </c>
      <c r="Q72" s="66">
        <f t="shared" si="12"/>
        <v>27.6</v>
      </c>
      <c r="R72" s="66">
        <f t="shared" si="12"/>
        <v>31.8</v>
      </c>
      <c r="S72" s="66">
        <f t="shared" si="12"/>
        <v>33</v>
      </c>
      <c r="T72" s="66">
        <f t="shared" si="12"/>
        <v>37</v>
      </c>
      <c r="U72" s="66">
        <f t="shared" si="12"/>
        <v>37</v>
      </c>
      <c r="V72" s="66">
        <f t="shared" si="12"/>
        <v>37</v>
      </c>
      <c r="W72" s="66">
        <f t="shared" si="12"/>
        <v>39</v>
      </c>
      <c r="X72" s="66">
        <f t="shared" si="12"/>
        <v>39</v>
      </c>
      <c r="Y72" s="66">
        <f t="shared" si="12"/>
        <v>30</v>
      </c>
      <c r="Z72" s="66">
        <f t="shared" si="12"/>
        <v>32</v>
      </c>
      <c r="AA72" s="66">
        <f t="shared" si="12"/>
        <v>40</v>
      </c>
      <c r="AB72" s="66">
        <f t="shared" si="12"/>
        <v>37.299999999999997</v>
      </c>
      <c r="AC72" s="66">
        <f t="shared" si="12"/>
        <v>17.600000000000001</v>
      </c>
      <c r="AD72" s="66">
        <f t="shared" si="12"/>
        <v>39.299999999999997</v>
      </c>
      <c r="AE72" s="66">
        <f t="shared" si="12"/>
        <v>16</v>
      </c>
      <c r="AF72" s="66">
        <f t="shared" si="12"/>
        <v>18</v>
      </c>
      <c r="AG72" s="138">
        <f>SUM(AG61:AG71)</f>
        <v>0</v>
      </c>
      <c r="AH72" s="54">
        <f t="shared" si="2"/>
        <v>40</v>
      </c>
      <c r="AI72" s="55">
        <f t="shared" si="3"/>
        <v>7.1</v>
      </c>
      <c r="AK72" s="56"/>
    </row>
    <row r="73" spans="1:88" x14ac:dyDescent="0.25">
      <c r="A73" s="57" t="s">
        <v>53</v>
      </c>
      <c r="B73" s="71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>
        <v>0</v>
      </c>
      <c r="C75" s="74">
        <v>0</v>
      </c>
      <c r="D75" s="74">
        <v>0</v>
      </c>
      <c r="E75" s="74">
        <v>0</v>
      </c>
      <c r="F75" s="74">
        <v>0</v>
      </c>
      <c r="G75" s="74">
        <v>0</v>
      </c>
      <c r="H75" s="74">
        <v>0</v>
      </c>
      <c r="I75" s="74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>B38+B42+B60+B56+B72+B76</f>
        <v>1783.54</v>
      </c>
      <c r="C77" s="75">
        <f t="shared" ref="C77:AF77" si="13">C38+C42+C60+C56+C72+C76</f>
        <v>1770.04</v>
      </c>
      <c r="D77" s="75">
        <f t="shared" si="13"/>
        <v>1740.94</v>
      </c>
      <c r="E77" s="75">
        <f t="shared" si="13"/>
        <v>1715.44</v>
      </c>
      <c r="F77" s="75">
        <f t="shared" si="13"/>
        <v>1713.64</v>
      </c>
      <c r="G77" s="75">
        <f t="shared" si="13"/>
        <v>1713.64</v>
      </c>
      <c r="H77" s="75">
        <f t="shared" si="13"/>
        <v>1713.64</v>
      </c>
      <c r="I77" s="75">
        <f t="shared" si="13"/>
        <v>1690.34</v>
      </c>
      <c r="J77" s="75">
        <f t="shared" si="13"/>
        <v>1694.04</v>
      </c>
      <c r="K77" s="75">
        <f t="shared" si="13"/>
        <v>1704.6399999999999</v>
      </c>
      <c r="L77" s="75">
        <f t="shared" si="13"/>
        <v>1725.94</v>
      </c>
      <c r="M77" s="75">
        <f t="shared" si="13"/>
        <v>1748.34</v>
      </c>
      <c r="N77" s="75">
        <f t="shared" si="13"/>
        <v>1745.14</v>
      </c>
      <c r="O77" s="75">
        <f t="shared" si="13"/>
        <v>1765.04</v>
      </c>
      <c r="P77" s="75">
        <f t="shared" si="13"/>
        <v>1702.34</v>
      </c>
      <c r="Q77" s="75">
        <f t="shared" si="13"/>
        <v>1735.0399999999997</v>
      </c>
      <c r="R77" s="75">
        <f t="shared" si="13"/>
        <v>1727.54</v>
      </c>
      <c r="S77" s="75">
        <f t="shared" si="13"/>
        <v>1716.04</v>
      </c>
      <c r="T77" s="75">
        <f t="shared" si="13"/>
        <v>1750.14</v>
      </c>
      <c r="U77" s="75">
        <f t="shared" si="13"/>
        <v>1750.14</v>
      </c>
      <c r="V77" s="75">
        <f t="shared" si="13"/>
        <v>1782.24</v>
      </c>
      <c r="W77" s="75">
        <f t="shared" si="13"/>
        <v>1784.24</v>
      </c>
      <c r="X77" s="75">
        <f t="shared" si="13"/>
        <v>1784.24</v>
      </c>
      <c r="Y77" s="75">
        <f t="shared" si="13"/>
        <v>1775.24</v>
      </c>
      <c r="Z77" s="75">
        <f t="shared" si="13"/>
        <v>1777.24</v>
      </c>
      <c r="AA77" s="75">
        <f t="shared" si="13"/>
        <v>1802.14</v>
      </c>
      <c r="AB77" s="75">
        <f t="shared" si="13"/>
        <v>1815.74</v>
      </c>
      <c r="AC77" s="75">
        <f t="shared" si="13"/>
        <v>1781.34</v>
      </c>
      <c r="AD77" s="75">
        <f t="shared" si="13"/>
        <v>1818.04</v>
      </c>
      <c r="AE77" s="75">
        <f t="shared" si="13"/>
        <v>1778.1399999999999</v>
      </c>
      <c r="AF77" s="75">
        <f t="shared" si="13"/>
        <v>1660.3400000000001</v>
      </c>
      <c r="AG77" s="143">
        <f>AG38+AG42+AG60+AG56+AG72+AG76</f>
        <v>1855.1900000000003</v>
      </c>
      <c r="AH77" s="54">
        <f t="shared" si="2"/>
        <v>1818.04</v>
      </c>
      <c r="AI77" s="55">
        <f t="shared" si="3"/>
        <v>1660.3400000000001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>
        <v>8</v>
      </c>
      <c r="AG78" s="138"/>
      <c r="AH78" s="54">
        <f t="shared" si="2"/>
        <v>8</v>
      </c>
      <c r="AI78" s="55">
        <f t="shared" si="3"/>
        <v>8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>B77+B78</f>
        <v>1783.54</v>
      </c>
      <c r="C79" s="75">
        <f t="shared" ref="C79:AF79" si="14">C77+C78</f>
        <v>1770.04</v>
      </c>
      <c r="D79" s="75">
        <f t="shared" si="14"/>
        <v>1740.94</v>
      </c>
      <c r="E79" s="75">
        <f t="shared" si="14"/>
        <v>1715.44</v>
      </c>
      <c r="F79" s="75">
        <f t="shared" si="14"/>
        <v>1713.64</v>
      </c>
      <c r="G79" s="75">
        <f t="shared" si="14"/>
        <v>1713.64</v>
      </c>
      <c r="H79" s="75">
        <f t="shared" si="14"/>
        <v>1713.64</v>
      </c>
      <c r="I79" s="75">
        <f t="shared" si="14"/>
        <v>1690.34</v>
      </c>
      <c r="J79" s="75">
        <f t="shared" si="14"/>
        <v>1694.04</v>
      </c>
      <c r="K79" s="75">
        <f t="shared" si="14"/>
        <v>1704.6399999999999</v>
      </c>
      <c r="L79" s="75">
        <f t="shared" si="14"/>
        <v>1725.94</v>
      </c>
      <c r="M79" s="75">
        <f t="shared" si="14"/>
        <v>1748.34</v>
      </c>
      <c r="N79" s="75">
        <f t="shared" si="14"/>
        <v>1745.14</v>
      </c>
      <c r="O79" s="75">
        <f t="shared" si="14"/>
        <v>1765.04</v>
      </c>
      <c r="P79" s="75">
        <f t="shared" si="14"/>
        <v>1702.34</v>
      </c>
      <c r="Q79" s="75">
        <f t="shared" si="14"/>
        <v>1735.0399999999997</v>
      </c>
      <c r="R79" s="75">
        <f t="shared" si="14"/>
        <v>1727.54</v>
      </c>
      <c r="S79" s="75">
        <f t="shared" si="14"/>
        <v>1716.04</v>
      </c>
      <c r="T79" s="75">
        <f t="shared" si="14"/>
        <v>1750.14</v>
      </c>
      <c r="U79" s="75">
        <f t="shared" si="14"/>
        <v>1750.14</v>
      </c>
      <c r="V79" s="75">
        <f t="shared" si="14"/>
        <v>1782.24</v>
      </c>
      <c r="W79" s="75">
        <f t="shared" si="14"/>
        <v>1784.24</v>
      </c>
      <c r="X79" s="75">
        <f t="shared" si="14"/>
        <v>1784.24</v>
      </c>
      <c r="Y79" s="75">
        <f t="shared" si="14"/>
        <v>1775.24</v>
      </c>
      <c r="Z79" s="75">
        <f t="shared" si="14"/>
        <v>1777.24</v>
      </c>
      <c r="AA79" s="75">
        <f t="shared" si="14"/>
        <v>1802.14</v>
      </c>
      <c r="AB79" s="75">
        <f t="shared" si="14"/>
        <v>1815.74</v>
      </c>
      <c r="AC79" s="75">
        <f t="shared" si="14"/>
        <v>1781.34</v>
      </c>
      <c r="AD79" s="75">
        <f t="shared" si="14"/>
        <v>1818.04</v>
      </c>
      <c r="AE79" s="75">
        <f t="shared" si="14"/>
        <v>1778.1399999999999</v>
      </c>
      <c r="AF79" s="75">
        <f t="shared" si="14"/>
        <v>1668.3400000000001</v>
      </c>
      <c r="AG79" s="138">
        <f>AG76+AG72+AG60+AG56+AG38+AG78</f>
        <v>1317.0900000000001</v>
      </c>
      <c r="AH79" s="54">
        <f t="shared" si="2"/>
        <v>1818.04</v>
      </c>
      <c r="AI79" s="55">
        <f t="shared" si="3"/>
        <v>1668.3400000000001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:AF80" si="15">B79-B87</f>
        <v>1533.54</v>
      </c>
      <c r="C80" s="75">
        <f t="shared" si="15"/>
        <v>1406.04</v>
      </c>
      <c r="D80" s="75">
        <f t="shared" si="15"/>
        <v>1347.94</v>
      </c>
      <c r="E80" s="75">
        <f t="shared" si="15"/>
        <v>1328.44</v>
      </c>
      <c r="F80" s="75">
        <f t="shared" si="15"/>
        <v>1307.6400000000001</v>
      </c>
      <c r="G80" s="75">
        <f t="shared" si="15"/>
        <v>1307.6400000000001</v>
      </c>
      <c r="H80" s="75">
        <f t="shared" si="15"/>
        <v>1348.64</v>
      </c>
      <c r="I80" s="75">
        <f t="shared" si="15"/>
        <v>1325.34</v>
      </c>
      <c r="J80" s="75">
        <f t="shared" si="15"/>
        <v>1310.04</v>
      </c>
      <c r="K80" s="75">
        <f t="shared" si="15"/>
        <v>1297.6399999999999</v>
      </c>
      <c r="L80" s="75">
        <f t="shared" si="15"/>
        <v>1324.94</v>
      </c>
      <c r="M80" s="75">
        <f t="shared" si="15"/>
        <v>1350.54</v>
      </c>
      <c r="N80" s="75">
        <f t="shared" si="15"/>
        <v>1707.8400000000001</v>
      </c>
      <c r="O80" s="75">
        <f t="shared" si="15"/>
        <v>1381.44</v>
      </c>
      <c r="P80" s="75">
        <f t="shared" si="15"/>
        <v>1381.34</v>
      </c>
      <c r="Q80" s="75">
        <f t="shared" si="15"/>
        <v>1375.0399999999997</v>
      </c>
      <c r="R80" s="75">
        <f t="shared" si="15"/>
        <v>1364.94</v>
      </c>
      <c r="S80" s="75">
        <f t="shared" si="15"/>
        <v>1403.04</v>
      </c>
      <c r="T80" s="75">
        <f t="shared" si="15"/>
        <v>1424.14</v>
      </c>
      <c r="U80" s="75">
        <f t="shared" si="15"/>
        <v>1424.14</v>
      </c>
      <c r="V80" s="75">
        <f t="shared" si="15"/>
        <v>1398.24</v>
      </c>
      <c r="W80" s="75">
        <f t="shared" si="15"/>
        <v>1375.24</v>
      </c>
      <c r="X80" s="75">
        <f t="shared" si="15"/>
        <v>1334.24</v>
      </c>
      <c r="Y80" s="75">
        <f t="shared" si="15"/>
        <v>1373.24</v>
      </c>
      <c r="Z80" s="75">
        <f t="shared" si="15"/>
        <v>1429.24</v>
      </c>
      <c r="AA80" s="75">
        <f t="shared" si="15"/>
        <v>1515.14</v>
      </c>
      <c r="AB80" s="75">
        <f t="shared" si="15"/>
        <v>1540.1399999999999</v>
      </c>
      <c r="AC80" s="75">
        <f t="shared" si="15"/>
        <v>1528.1399999999999</v>
      </c>
      <c r="AD80" s="75">
        <f t="shared" si="15"/>
        <v>1533.54</v>
      </c>
      <c r="AE80" s="75">
        <f t="shared" si="15"/>
        <v>1447.9399999999998</v>
      </c>
      <c r="AF80" s="75">
        <f t="shared" si="15"/>
        <v>1367.7400000000002</v>
      </c>
      <c r="AG80" s="138"/>
      <c r="AH80" s="54">
        <f t="shared" ref="AH80:AH97" si="16">MAX(B80:AF80)</f>
        <v>1707.8400000000001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>IF(B64&lt;0,B64*-1,0)</f>
        <v>0</v>
      </c>
      <c r="C81" s="71">
        <f t="shared" ref="C81:AF81" si="17">IF(C64&lt;0,C64*-1,0)</f>
        <v>0</v>
      </c>
      <c r="D81" s="71">
        <f t="shared" si="17"/>
        <v>0</v>
      </c>
      <c r="E81" s="71">
        <f t="shared" si="17"/>
        <v>0</v>
      </c>
      <c r="F81" s="71">
        <f t="shared" si="17"/>
        <v>0</v>
      </c>
      <c r="G81" s="71">
        <f t="shared" si="17"/>
        <v>0</v>
      </c>
      <c r="H81" s="71">
        <f t="shared" si="17"/>
        <v>0</v>
      </c>
      <c r="I81" s="71">
        <f t="shared" si="17"/>
        <v>0</v>
      </c>
      <c r="J81" s="71">
        <f t="shared" si="17"/>
        <v>0</v>
      </c>
      <c r="K81" s="71">
        <f t="shared" si="17"/>
        <v>0</v>
      </c>
      <c r="L81" s="71">
        <f t="shared" si="17"/>
        <v>0</v>
      </c>
      <c r="M81" s="71">
        <f t="shared" si="17"/>
        <v>0</v>
      </c>
      <c r="N81" s="71">
        <f t="shared" si="17"/>
        <v>0</v>
      </c>
      <c r="O81" s="71">
        <f t="shared" si="17"/>
        <v>0</v>
      </c>
      <c r="P81" s="71">
        <f t="shared" si="17"/>
        <v>0</v>
      </c>
      <c r="Q81" s="71">
        <f t="shared" si="17"/>
        <v>0</v>
      </c>
      <c r="R81" s="71">
        <f t="shared" si="17"/>
        <v>0</v>
      </c>
      <c r="S81" s="71">
        <f t="shared" si="17"/>
        <v>0</v>
      </c>
      <c r="T81" s="71">
        <f t="shared" si="17"/>
        <v>0</v>
      </c>
      <c r="U81" s="71">
        <f t="shared" si="17"/>
        <v>0</v>
      </c>
      <c r="V81" s="71">
        <f t="shared" si="17"/>
        <v>0</v>
      </c>
      <c r="W81" s="71">
        <f t="shared" si="17"/>
        <v>0</v>
      </c>
      <c r="X81" s="71">
        <f t="shared" si="17"/>
        <v>0</v>
      </c>
      <c r="Y81" s="71">
        <f t="shared" si="17"/>
        <v>0</v>
      </c>
      <c r="Z81" s="71">
        <f t="shared" si="17"/>
        <v>0</v>
      </c>
      <c r="AA81" s="71">
        <f t="shared" si="17"/>
        <v>0</v>
      </c>
      <c r="AB81" s="71">
        <f t="shared" si="17"/>
        <v>0</v>
      </c>
      <c r="AC81" s="71">
        <f t="shared" si="17"/>
        <v>0</v>
      </c>
      <c r="AD81" s="71">
        <f t="shared" si="17"/>
        <v>0</v>
      </c>
      <c r="AE81" s="71">
        <f t="shared" si="17"/>
        <v>0</v>
      </c>
      <c r="AF81" s="71">
        <f t="shared" si="17"/>
        <v>0</v>
      </c>
      <c r="AG81" s="135"/>
      <c r="AH81" s="54">
        <f t="shared" si="16"/>
        <v>0</v>
      </c>
      <c r="AI81" s="55">
        <f t="shared" ref="AI81:AI97" si="18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>IF(B62&lt;0,B62*-1,0)</f>
        <v>0</v>
      </c>
      <c r="C82" s="71">
        <f t="shared" ref="C82:AF82" si="19">IF(C62&lt;0,C62*-1,0)</f>
        <v>0</v>
      </c>
      <c r="D82" s="71">
        <f t="shared" si="19"/>
        <v>0</v>
      </c>
      <c r="E82" s="71">
        <f t="shared" si="19"/>
        <v>0</v>
      </c>
      <c r="F82" s="71">
        <f t="shared" si="19"/>
        <v>0</v>
      </c>
      <c r="G82" s="71">
        <f t="shared" si="19"/>
        <v>0</v>
      </c>
      <c r="H82" s="71">
        <f t="shared" si="19"/>
        <v>0</v>
      </c>
      <c r="I82" s="71">
        <f t="shared" si="19"/>
        <v>0</v>
      </c>
      <c r="J82" s="71">
        <f t="shared" si="19"/>
        <v>0</v>
      </c>
      <c r="K82" s="71">
        <f t="shared" si="19"/>
        <v>0</v>
      </c>
      <c r="L82" s="71">
        <f t="shared" si="19"/>
        <v>0</v>
      </c>
      <c r="M82" s="71">
        <f t="shared" si="19"/>
        <v>0</v>
      </c>
      <c r="N82" s="71">
        <f t="shared" si="19"/>
        <v>0</v>
      </c>
      <c r="O82" s="71">
        <f t="shared" si="19"/>
        <v>0</v>
      </c>
      <c r="P82" s="71">
        <f t="shared" si="19"/>
        <v>0</v>
      </c>
      <c r="Q82" s="71">
        <f t="shared" si="19"/>
        <v>0</v>
      </c>
      <c r="R82" s="71">
        <f t="shared" si="19"/>
        <v>0</v>
      </c>
      <c r="S82" s="71">
        <f t="shared" si="19"/>
        <v>0</v>
      </c>
      <c r="T82" s="71">
        <f t="shared" si="19"/>
        <v>0</v>
      </c>
      <c r="U82" s="71">
        <f t="shared" si="19"/>
        <v>0</v>
      </c>
      <c r="V82" s="71">
        <f t="shared" si="19"/>
        <v>0</v>
      </c>
      <c r="W82" s="71">
        <f t="shared" si="19"/>
        <v>0</v>
      </c>
      <c r="X82" s="71">
        <f t="shared" si="19"/>
        <v>0</v>
      </c>
      <c r="Y82" s="71">
        <f t="shared" si="19"/>
        <v>0</v>
      </c>
      <c r="Z82" s="71">
        <f t="shared" si="19"/>
        <v>0</v>
      </c>
      <c r="AA82" s="71">
        <f t="shared" si="19"/>
        <v>0</v>
      </c>
      <c r="AB82" s="71">
        <f t="shared" si="19"/>
        <v>0</v>
      </c>
      <c r="AC82" s="71">
        <f t="shared" si="19"/>
        <v>0</v>
      </c>
      <c r="AD82" s="71">
        <f t="shared" si="19"/>
        <v>0</v>
      </c>
      <c r="AE82" s="71">
        <f t="shared" si="19"/>
        <v>0</v>
      </c>
      <c r="AF82" s="71">
        <f t="shared" si="19"/>
        <v>0</v>
      </c>
      <c r="AG82" s="136"/>
      <c r="AH82" s="54">
        <f t="shared" si="16"/>
        <v>0</v>
      </c>
      <c r="AI82" s="55">
        <f t="shared" si="18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>IF(B65&lt;0,B65*-1,0)</f>
        <v>0</v>
      </c>
      <c r="C83" s="71">
        <f t="shared" ref="C83:AF83" si="20">IF(C65&lt;0,C65*-1,0)</f>
        <v>0</v>
      </c>
      <c r="D83" s="71">
        <f t="shared" si="20"/>
        <v>0</v>
      </c>
      <c r="E83" s="71">
        <f t="shared" si="20"/>
        <v>0</v>
      </c>
      <c r="F83" s="71">
        <f t="shared" si="20"/>
        <v>0</v>
      </c>
      <c r="G83" s="71">
        <f t="shared" si="20"/>
        <v>0</v>
      </c>
      <c r="H83" s="71">
        <f t="shared" si="20"/>
        <v>0</v>
      </c>
      <c r="I83" s="71">
        <f t="shared" si="20"/>
        <v>0</v>
      </c>
      <c r="J83" s="71">
        <f t="shared" si="20"/>
        <v>0</v>
      </c>
      <c r="K83" s="71">
        <f t="shared" si="20"/>
        <v>0</v>
      </c>
      <c r="L83" s="71">
        <f t="shared" si="20"/>
        <v>0</v>
      </c>
      <c r="M83" s="71">
        <f t="shared" si="20"/>
        <v>0</v>
      </c>
      <c r="N83" s="71">
        <f t="shared" si="20"/>
        <v>0</v>
      </c>
      <c r="O83" s="71">
        <f t="shared" si="20"/>
        <v>0</v>
      </c>
      <c r="P83" s="71">
        <f t="shared" si="20"/>
        <v>0</v>
      </c>
      <c r="Q83" s="71">
        <f t="shared" si="20"/>
        <v>0</v>
      </c>
      <c r="R83" s="71">
        <f t="shared" si="20"/>
        <v>0</v>
      </c>
      <c r="S83" s="71">
        <f t="shared" si="20"/>
        <v>0</v>
      </c>
      <c r="T83" s="71">
        <f t="shared" si="20"/>
        <v>0</v>
      </c>
      <c r="U83" s="71">
        <f t="shared" si="20"/>
        <v>0</v>
      </c>
      <c r="V83" s="71">
        <f t="shared" si="20"/>
        <v>0</v>
      </c>
      <c r="W83" s="71">
        <f t="shared" si="20"/>
        <v>0</v>
      </c>
      <c r="X83" s="71">
        <f t="shared" si="20"/>
        <v>0</v>
      </c>
      <c r="Y83" s="71">
        <f t="shared" si="20"/>
        <v>0</v>
      </c>
      <c r="Z83" s="71">
        <f t="shared" si="20"/>
        <v>0</v>
      </c>
      <c r="AA83" s="71">
        <f t="shared" si="20"/>
        <v>0</v>
      </c>
      <c r="AB83" s="71">
        <f t="shared" si="20"/>
        <v>0</v>
      </c>
      <c r="AC83" s="71">
        <f t="shared" si="20"/>
        <v>0</v>
      </c>
      <c r="AD83" s="71">
        <f t="shared" si="20"/>
        <v>0</v>
      </c>
      <c r="AE83" s="71">
        <f t="shared" si="20"/>
        <v>0</v>
      </c>
      <c r="AF83" s="71">
        <f t="shared" si="20"/>
        <v>0</v>
      </c>
      <c r="AG83" s="144"/>
      <c r="AH83" s="54">
        <f t="shared" si="16"/>
        <v>0</v>
      </c>
      <c r="AI83" s="55">
        <f t="shared" si="18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>IF(B63&lt;0,B63*-1,0)</f>
        <v>250</v>
      </c>
      <c r="C84" s="71">
        <f t="shared" ref="C84:AF84" si="21">IF(C63&lt;0,C63*-1,0)</f>
        <v>364</v>
      </c>
      <c r="D84" s="71">
        <f t="shared" si="21"/>
        <v>393</v>
      </c>
      <c r="E84" s="71">
        <f t="shared" si="21"/>
        <v>387</v>
      </c>
      <c r="F84" s="71">
        <f t="shared" si="21"/>
        <v>406</v>
      </c>
      <c r="G84" s="71">
        <f t="shared" si="21"/>
        <v>406</v>
      </c>
      <c r="H84" s="71">
        <f t="shared" si="21"/>
        <v>365</v>
      </c>
      <c r="I84" s="71">
        <f t="shared" si="21"/>
        <v>365</v>
      </c>
      <c r="J84" s="71">
        <f t="shared" si="21"/>
        <v>384</v>
      </c>
      <c r="K84" s="71">
        <f t="shared" si="21"/>
        <v>407</v>
      </c>
      <c r="L84" s="71">
        <f t="shared" si="21"/>
        <v>401</v>
      </c>
      <c r="M84" s="71">
        <f t="shared" si="21"/>
        <v>397.8</v>
      </c>
      <c r="N84" s="71">
        <f t="shared" si="21"/>
        <v>37.299999999999997</v>
      </c>
      <c r="O84" s="71">
        <f t="shared" si="21"/>
        <v>383.6</v>
      </c>
      <c r="P84" s="71">
        <f t="shared" si="21"/>
        <v>321</v>
      </c>
      <c r="Q84" s="71">
        <f t="shared" si="21"/>
        <v>360</v>
      </c>
      <c r="R84" s="71">
        <f t="shared" si="21"/>
        <v>362.6</v>
      </c>
      <c r="S84" s="71">
        <f t="shared" si="21"/>
        <v>313</v>
      </c>
      <c r="T84" s="71">
        <f t="shared" si="21"/>
        <v>326</v>
      </c>
      <c r="U84" s="71">
        <f t="shared" si="21"/>
        <v>326</v>
      </c>
      <c r="V84" s="71">
        <f t="shared" si="21"/>
        <v>384</v>
      </c>
      <c r="W84" s="71">
        <f t="shared" si="21"/>
        <v>409</v>
      </c>
      <c r="X84" s="71">
        <f t="shared" si="21"/>
        <v>450</v>
      </c>
      <c r="Y84" s="71">
        <f t="shared" si="21"/>
        <v>402</v>
      </c>
      <c r="Z84" s="71">
        <f t="shared" si="21"/>
        <v>348</v>
      </c>
      <c r="AA84" s="71">
        <f t="shared" si="21"/>
        <v>287</v>
      </c>
      <c r="AB84" s="71">
        <f t="shared" si="21"/>
        <v>275.60000000000002</v>
      </c>
      <c r="AC84" s="71">
        <f t="shared" si="21"/>
        <v>253.2</v>
      </c>
      <c r="AD84" s="71">
        <f t="shared" si="21"/>
        <v>284.5</v>
      </c>
      <c r="AE84" s="71">
        <f t="shared" si="21"/>
        <v>330.2</v>
      </c>
      <c r="AF84" s="71">
        <f t="shared" si="21"/>
        <v>300.60000000000002</v>
      </c>
      <c r="AG84" s="144"/>
      <c r="AH84" s="54">
        <f t="shared" si="16"/>
        <v>450</v>
      </c>
      <c r="AI84" s="55">
        <f t="shared" si="18"/>
        <v>37.299999999999997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>IF(B61&lt;0,B61*-1,0)</f>
        <v>0</v>
      </c>
      <c r="C85" s="71">
        <f t="shared" ref="C85:AF85" si="22">IF(C61&lt;0,C61*-1,0)</f>
        <v>0</v>
      </c>
      <c r="D85" s="71">
        <f t="shared" si="22"/>
        <v>0</v>
      </c>
      <c r="E85" s="71">
        <f t="shared" si="22"/>
        <v>0</v>
      </c>
      <c r="F85" s="71">
        <f t="shared" si="22"/>
        <v>0</v>
      </c>
      <c r="G85" s="71">
        <f t="shared" si="22"/>
        <v>0</v>
      </c>
      <c r="H85" s="71">
        <f t="shared" si="22"/>
        <v>0</v>
      </c>
      <c r="I85" s="71">
        <f t="shared" si="22"/>
        <v>0</v>
      </c>
      <c r="J85" s="71">
        <f t="shared" si="22"/>
        <v>0</v>
      </c>
      <c r="K85" s="71">
        <f t="shared" si="22"/>
        <v>0</v>
      </c>
      <c r="L85" s="71">
        <f t="shared" si="22"/>
        <v>0</v>
      </c>
      <c r="M85" s="71">
        <f t="shared" si="22"/>
        <v>0</v>
      </c>
      <c r="N85" s="71">
        <f t="shared" si="22"/>
        <v>0</v>
      </c>
      <c r="O85" s="71">
        <f t="shared" si="22"/>
        <v>0</v>
      </c>
      <c r="P85" s="71">
        <f t="shared" si="22"/>
        <v>0</v>
      </c>
      <c r="Q85" s="71">
        <f t="shared" si="22"/>
        <v>0</v>
      </c>
      <c r="R85" s="71">
        <f t="shared" si="22"/>
        <v>0</v>
      </c>
      <c r="S85" s="71">
        <f t="shared" si="22"/>
        <v>0</v>
      </c>
      <c r="T85" s="71">
        <f t="shared" si="22"/>
        <v>0</v>
      </c>
      <c r="U85" s="71">
        <f t="shared" si="22"/>
        <v>0</v>
      </c>
      <c r="V85" s="71">
        <f t="shared" si="22"/>
        <v>0</v>
      </c>
      <c r="W85" s="71">
        <f t="shared" si="22"/>
        <v>0</v>
      </c>
      <c r="X85" s="71">
        <f t="shared" si="22"/>
        <v>0</v>
      </c>
      <c r="Y85" s="71">
        <f t="shared" si="22"/>
        <v>0</v>
      </c>
      <c r="Z85" s="71">
        <f t="shared" si="22"/>
        <v>0</v>
      </c>
      <c r="AA85" s="71">
        <f t="shared" si="22"/>
        <v>0</v>
      </c>
      <c r="AB85" s="71">
        <f t="shared" si="22"/>
        <v>0</v>
      </c>
      <c r="AC85" s="71">
        <f t="shared" si="22"/>
        <v>0</v>
      </c>
      <c r="AD85" s="71">
        <f t="shared" si="22"/>
        <v>0</v>
      </c>
      <c r="AE85" s="71">
        <f t="shared" si="22"/>
        <v>0</v>
      </c>
      <c r="AF85" s="71">
        <f t="shared" si="22"/>
        <v>0</v>
      </c>
      <c r="AG85" s="144"/>
      <c r="AH85" s="54">
        <f t="shared" si="16"/>
        <v>0</v>
      </c>
      <c r="AI85" s="55">
        <f t="shared" si="18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/>
      <c r="AD86" s="74"/>
      <c r="AE86" s="74"/>
      <c r="AF86" s="74"/>
      <c r="AG86" s="141"/>
      <c r="AH86" s="54">
        <f t="shared" si="16"/>
        <v>0</v>
      </c>
      <c r="AI86" s="55">
        <f t="shared" si="18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>SUM(B81:B86)</f>
        <v>250</v>
      </c>
      <c r="C87" s="66">
        <f t="shared" ref="C87:AF87" si="23">SUM(C81:C86)</f>
        <v>364</v>
      </c>
      <c r="D87" s="66">
        <f t="shared" si="23"/>
        <v>393</v>
      </c>
      <c r="E87" s="66">
        <f t="shared" si="23"/>
        <v>387</v>
      </c>
      <c r="F87" s="66">
        <f t="shared" si="23"/>
        <v>406</v>
      </c>
      <c r="G87" s="66">
        <f t="shared" si="23"/>
        <v>406</v>
      </c>
      <c r="H87" s="66">
        <f t="shared" si="23"/>
        <v>365</v>
      </c>
      <c r="I87" s="66">
        <f t="shared" si="23"/>
        <v>365</v>
      </c>
      <c r="J87" s="66">
        <f t="shared" si="23"/>
        <v>384</v>
      </c>
      <c r="K87" s="66">
        <f t="shared" si="23"/>
        <v>407</v>
      </c>
      <c r="L87" s="66">
        <f t="shared" si="23"/>
        <v>401</v>
      </c>
      <c r="M87" s="66">
        <f t="shared" si="23"/>
        <v>397.8</v>
      </c>
      <c r="N87" s="66">
        <f t="shared" si="23"/>
        <v>37.299999999999997</v>
      </c>
      <c r="O87" s="66">
        <f t="shared" si="23"/>
        <v>383.6</v>
      </c>
      <c r="P87" s="66">
        <f t="shared" si="23"/>
        <v>321</v>
      </c>
      <c r="Q87" s="66">
        <f t="shared" si="23"/>
        <v>360</v>
      </c>
      <c r="R87" s="66">
        <f t="shared" si="23"/>
        <v>362.6</v>
      </c>
      <c r="S87" s="66">
        <f t="shared" si="23"/>
        <v>313</v>
      </c>
      <c r="T87" s="66">
        <f t="shared" si="23"/>
        <v>326</v>
      </c>
      <c r="U87" s="66">
        <f t="shared" si="23"/>
        <v>326</v>
      </c>
      <c r="V87" s="66">
        <f t="shared" si="23"/>
        <v>384</v>
      </c>
      <c r="W87" s="66">
        <f t="shared" si="23"/>
        <v>409</v>
      </c>
      <c r="X87" s="66">
        <f t="shared" si="23"/>
        <v>450</v>
      </c>
      <c r="Y87" s="66">
        <f t="shared" si="23"/>
        <v>402</v>
      </c>
      <c r="Z87" s="66">
        <f t="shared" si="23"/>
        <v>348</v>
      </c>
      <c r="AA87" s="66">
        <f t="shared" si="23"/>
        <v>287</v>
      </c>
      <c r="AB87" s="66">
        <f t="shared" si="23"/>
        <v>275.60000000000002</v>
      </c>
      <c r="AC87" s="66">
        <f t="shared" si="23"/>
        <v>253.2</v>
      </c>
      <c r="AD87" s="66">
        <f t="shared" si="23"/>
        <v>284.5</v>
      </c>
      <c r="AE87" s="66">
        <f t="shared" si="23"/>
        <v>330.2</v>
      </c>
      <c r="AF87" s="66">
        <f t="shared" si="23"/>
        <v>300.60000000000002</v>
      </c>
      <c r="AG87" s="138"/>
      <c r="AH87" s="54">
        <f t="shared" si="16"/>
        <v>450</v>
      </c>
      <c r="AI87" s="55">
        <f t="shared" si="18"/>
        <v>37.299999999999997</v>
      </c>
      <c r="AK87" s="56"/>
    </row>
    <row r="88" spans="1:88" s="1" customFormat="1" ht="15.75" thickBot="1" x14ac:dyDescent="0.3">
      <c r="A88" s="65" t="s">
        <v>64</v>
      </c>
      <c r="B88" s="66">
        <f>B72-B87</f>
        <v>-215.5</v>
      </c>
      <c r="C88" s="66">
        <f t="shared" ref="C88:AF88" si="24">C72-C87</f>
        <v>-343</v>
      </c>
      <c r="D88" s="66">
        <f t="shared" si="24"/>
        <v>-373</v>
      </c>
      <c r="E88" s="66">
        <f t="shared" si="24"/>
        <v>-377.5</v>
      </c>
      <c r="F88" s="66">
        <f t="shared" si="24"/>
        <v>-397.8</v>
      </c>
      <c r="G88" s="66">
        <f t="shared" si="24"/>
        <v>-397.8</v>
      </c>
      <c r="H88" s="66">
        <f t="shared" si="24"/>
        <v>-356.8</v>
      </c>
      <c r="I88" s="66">
        <f t="shared" si="24"/>
        <v>-356.8</v>
      </c>
      <c r="J88" s="66">
        <f t="shared" si="24"/>
        <v>-375.8</v>
      </c>
      <c r="K88" s="66">
        <f t="shared" si="24"/>
        <v>-399.9</v>
      </c>
      <c r="L88" s="66">
        <f t="shared" si="24"/>
        <v>-392.6</v>
      </c>
      <c r="M88" s="66">
        <f t="shared" si="24"/>
        <v>-384.8</v>
      </c>
      <c r="N88" s="66">
        <f t="shared" si="24"/>
        <v>-17.399999999999999</v>
      </c>
      <c r="O88" s="66">
        <f t="shared" si="24"/>
        <v>-353.3</v>
      </c>
      <c r="P88" s="66">
        <f t="shared" si="24"/>
        <v>-290.2</v>
      </c>
      <c r="Q88" s="66">
        <f t="shared" si="24"/>
        <v>-332.4</v>
      </c>
      <c r="R88" s="66">
        <f t="shared" si="24"/>
        <v>-330.8</v>
      </c>
      <c r="S88" s="66">
        <f t="shared" si="24"/>
        <v>-280</v>
      </c>
      <c r="T88" s="66">
        <f t="shared" si="24"/>
        <v>-289</v>
      </c>
      <c r="U88" s="66">
        <f t="shared" si="24"/>
        <v>-289</v>
      </c>
      <c r="V88" s="66">
        <f t="shared" si="24"/>
        <v>-347</v>
      </c>
      <c r="W88" s="66">
        <f t="shared" si="24"/>
        <v>-370</v>
      </c>
      <c r="X88" s="66">
        <f t="shared" si="24"/>
        <v>-411</v>
      </c>
      <c r="Y88" s="66">
        <f t="shared" si="24"/>
        <v>-372</v>
      </c>
      <c r="Z88" s="66">
        <f t="shared" si="24"/>
        <v>-316</v>
      </c>
      <c r="AA88" s="66">
        <f t="shared" si="24"/>
        <v>-247</v>
      </c>
      <c r="AB88" s="66">
        <f t="shared" si="24"/>
        <v>-238.3</v>
      </c>
      <c r="AC88" s="66">
        <f t="shared" si="24"/>
        <v>-235.6</v>
      </c>
      <c r="AD88" s="66">
        <f t="shared" si="24"/>
        <v>-245.2</v>
      </c>
      <c r="AE88" s="66">
        <f t="shared" si="24"/>
        <v>-314.2</v>
      </c>
      <c r="AF88" s="66">
        <f t="shared" si="24"/>
        <v>-282.60000000000002</v>
      </c>
      <c r="AG88" s="138"/>
      <c r="AH88" s="54">
        <f t="shared" si="16"/>
        <v>-17.399999999999999</v>
      </c>
      <c r="AI88" s="55">
        <f t="shared" si="18"/>
        <v>-411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50.037999999999997</v>
      </c>
      <c r="C89" s="80">
        <v>50.03</v>
      </c>
      <c r="D89" s="80">
        <v>49.991</v>
      </c>
      <c r="E89" s="80">
        <v>50.01</v>
      </c>
      <c r="F89" s="80">
        <v>50.01</v>
      </c>
      <c r="G89" s="80">
        <v>50.01</v>
      </c>
      <c r="H89" s="80">
        <v>50.03</v>
      </c>
      <c r="I89" s="80">
        <v>50.02</v>
      </c>
      <c r="J89" s="80">
        <v>49.96</v>
      </c>
      <c r="K89" s="80">
        <v>50.03</v>
      </c>
      <c r="L89" s="80">
        <v>50.04</v>
      </c>
      <c r="M89" s="80">
        <v>50.026000000000003</v>
      </c>
      <c r="N89" s="80">
        <v>50.023000000000003</v>
      </c>
      <c r="O89" s="80">
        <v>49.906999999999996</v>
      </c>
      <c r="P89" s="80">
        <v>50.012</v>
      </c>
      <c r="Q89" s="80">
        <v>49.9</v>
      </c>
      <c r="R89" s="80">
        <v>49.945</v>
      </c>
      <c r="S89" s="80">
        <v>50.112000000000002</v>
      </c>
      <c r="T89" s="80">
        <v>50.09</v>
      </c>
      <c r="U89" s="80"/>
      <c r="V89" s="80">
        <v>50.015000000000001</v>
      </c>
      <c r="W89" s="80">
        <v>50.011000000000003</v>
      </c>
      <c r="X89" s="80">
        <v>50.085999999999999</v>
      </c>
      <c r="Y89" s="80">
        <v>50.067</v>
      </c>
      <c r="Z89" s="80">
        <v>49.965000000000003</v>
      </c>
      <c r="AA89" s="80">
        <v>49.965000000000003</v>
      </c>
      <c r="AB89" s="80">
        <v>49.941000000000003</v>
      </c>
      <c r="AC89" s="80">
        <v>49.854999999999997</v>
      </c>
      <c r="AD89" s="80">
        <v>49.798999999999999</v>
      </c>
      <c r="AE89" s="80">
        <v>49.945</v>
      </c>
      <c r="AF89" s="80">
        <v>50.055999999999997</v>
      </c>
      <c r="AG89" s="145"/>
      <c r="AH89" s="54">
        <f t="shared" si="16"/>
        <v>50.112000000000002</v>
      </c>
      <c r="AI89" s="55">
        <f t="shared" si="18"/>
        <v>49.798999999999999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123</v>
      </c>
      <c r="C90" s="48">
        <v>123.7</v>
      </c>
      <c r="D90" s="48">
        <v>123.7</v>
      </c>
      <c r="E90" s="48">
        <v>126.9</v>
      </c>
      <c r="F90" s="48">
        <v>125.9</v>
      </c>
      <c r="G90" s="48">
        <v>125.9</v>
      </c>
      <c r="H90" s="48">
        <v>125.5</v>
      </c>
      <c r="I90" s="48">
        <v>125.4</v>
      </c>
      <c r="J90" s="48">
        <v>124.3</v>
      </c>
      <c r="K90" s="48">
        <v>125</v>
      </c>
      <c r="L90" s="48">
        <v>123.7</v>
      </c>
      <c r="M90" s="48">
        <v>124.1</v>
      </c>
      <c r="N90" s="48">
        <v>123.9</v>
      </c>
      <c r="O90" s="48">
        <v>122.4</v>
      </c>
      <c r="P90" s="48">
        <v>121.2</v>
      </c>
      <c r="Q90" s="48">
        <v>121.5</v>
      </c>
      <c r="R90" s="48">
        <v>122.3</v>
      </c>
      <c r="S90" s="48">
        <v>121.6</v>
      </c>
      <c r="T90" s="48">
        <v>121</v>
      </c>
      <c r="U90" s="48"/>
      <c r="V90" s="48">
        <v>124</v>
      </c>
      <c r="W90" s="48">
        <v>125</v>
      </c>
      <c r="X90" s="48">
        <v>124</v>
      </c>
      <c r="Y90" s="48">
        <v>125</v>
      </c>
      <c r="Z90" s="48">
        <v>126</v>
      </c>
      <c r="AA90" s="48">
        <v>126</v>
      </c>
      <c r="AB90" s="48">
        <v>124.7</v>
      </c>
      <c r="AC90" s="48">
        <v>124.6</v>
      </c>
      <c r="AD90" s="48">
        <v>125.3</v>
      </c>
      <c r="AE90" s="48">
        <v>124.7</v>
      </c>
      <c r="AF90" s="48">
        <v>123.4</v>
      </c>
      <c r="AG90" s="146"/>
      <c r="AH90" s="54">
        <f t="shared" si="16"/>
        <v>126.9</v>
      </c>
      <c r="AI90" s="55">
        <f t="shared" si="18"/>
        <v>121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128.6</v>
      </c>
      <c r="C91" s="48">
        <v>129</v>
      </c>
      <c r="D91" s="48">
        <v>129</v>
      </c>
      <c r="E91" s="48">
        <v>131.9</v>
      </c>
      <c r="F91" s="48">
        <v>130.80000000000001</v>
      </c>
      <c r="G91" s="48">
        <v>130.80000000000001</v>
      </c>
      <c r="H91" s="48">
        <v>130.80000000000001</v>
      </c>
      <c r="I91" s="48">
        <v>130.80000000000001</v>
      </c>
      <c r="J91" s="48">
        <v>130.80000000000001</v>
      </c>
      <c r="K91" s="48">
        <v>129.19999999999999</v>
      </c>
      <c r="L91" s="48">
        <v>128.4</v>
      </c>
      <c r="M91" s="48">
        <v>128</v>
      </c>
      <c r="N91" s="48">
        <v>128</v>
      </c>
      <c r="O91" s="48">
        <v>126.8</v>
      </c>
      <c r="P91" s="48">
        <v>125.5</v>
      </c>
      <c r="Q91" s="48">
        <v>124.7</v>
      </c>
      <c r="R91" s="48">
        <v>126.1</v>
      </c>
      <c r="S91" s="48">
        <v>125.4</v>
      </c>
      <c r="T91" s="48">
        <v>125</v>
      </c>
      <c r="U91" s="48"/>
      <c r="V91" s="48">
        <v>129</v>
      </c>
      <c r="W91" s="48">
        <v>129</v>
      </c>
      <c r="X91" s="48">
        <v>129</v>
      </c>
      <c r="Y91" s="48">
        <v>129</v>
      </c>
      <c r="Z91" s="48">
        <v>130</v>
      </c>
      <c r="AA91" s="48">
        <v>130</v>
      </c>
      <c r="AB91" s="48">
        <v>128.6</v>
      </c>
      <c r="AC91" s="48">
        <v>128.9</v>
      </c>
      <c r="AD91" s="48">
        <v>129.4</v>
      </c>
      <c r="AE91" s="48">
        <v>129.69999999999999</v>
      </c>
      <c r="AF91" s="48">
        <v>126.8</v>
      </c>
      <c r="AG91" s="146"/>
      <c r="AH91" s="54">
        <f t="shared" si="16"/>
        <v>131.9</v>
      </c>
      <c r="AI91" s="55">
        <f t="shared" si="18"/>
        <v>124.7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126.6</v>
      </c>
      <c r="C92" s="48">
        <v>128</v>
      </c>
      <c r="D92" s="48">
        <v>128</v>
      </c>
      <c r="E92" s="48">
        <v>130.4</v>
      </c>
      <c r="F92" s="48">
        <v>132.1</v>
      </c>
      <c r="G92" s="48">
        <v>132.1</v>
      </c>
      <c r="H92" s="48">
        <v>129.80000000000001</v>
      </c>
      <c r="I92" s="48">
        <v>129.80000000000001</v>
      </c>
      <c r="J92" s="48">
        <v>129.80000000000001</v>
      </c>
      <c r="K92" s="48">
        <v>129.30000000000001</v>
      </c>
      <c r="L92" s="48">
        <v>125.7</v>
      </c>
      <c r="M92" s="48">
        <v>128.80000000000001</v>
      </c>
      <c r="N92" s="48">
        <v>129.30000000000001</v>
      </c>
      <c r="O92" s="48">
        <v>128.6</v>
      </c>
      <c r="P92" s="48">
        <v>126.6</v>
      </c>
      <c r="Q92" s="48">
        <v>127.9</v>
      </c>
      <c r="R92" s="48">
        <v>127.7</v>
      </c>
      <c r="S92" s="48">
        <v>125.6</v>
      </c>
      <c r="T92" s="48">
        <v>129</v>
      </c>
      <c r="U92" s="48"/>
      <c r="V92" s="48">
        <v>128</v>
      </c>
      <c r="W92" s="48">
        <v>128</v>
      </c>
      <c r="X92" s="48">
        <v>127</v>
      </c>
      <c r="Y92" s="48">
        <v>127</v>
      </c>
      <c r="Z92" s="48">
        <v>127</v>
      </c>
      <c r="AA92" s="48">
        <v>127</v>
      </c>
      <c r="AB92" s="48">
        <v>128</v>
      </c>
      <c r="AC92" s="48">
        <v>127.8</v>
      </c>
      <c r="AD92" s="48">
        <v>129.19999999999999</v>
      </c>
      <c r="AE92" s="48">
        <v>129.5</v>
      </c>
      <c r="AF92" s="48">
        <v>127.7</v>
      </c>
      <c r="AG92" s="146"/>
      <c r="AH92" s="54">
        <f t="shared" si="16"/>
        <v>132.1</v>
      </c>
      <c r="AI92" s="55">
        <f t="shared" si="18"/>
        <v>125.6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>
        <v>132.6</v>
      </c>
      <c r="C93" s="48">
        <v>133</v>
      </c>
      <c r="D93" s="48">
        <v>133</v>
      </c>
      <c r="E93" s="48">
        <v>134.80000000000001</v>
      </c>
      <c r="F93" s="48">
        <v>136.4</v>
      </c>
      <c r="G93" s="48">
        <v>136.4</v>
      </c>
      <c r="H93" s="48">
        <v>131.4</v>
      </c>
      <c r="I93" s="48">
        <v>131.4</v>
      </c>
      <c r="J93" s="48">
        <v>131.4</v>
      </c>
      <c r="K93" s="48">
        <v>134.19999999999999</v>
      </c>
      <c r="L93" s="48">
        <v>130.4</v>
      </c>
      <c r="M93" s="48">
        <v>132.69999999999999</v>
      </c>
      <c r="N93" s="48">
        <v>134.4</v>
      </c>
      <c r="O93" s="48">
        <v>133.19999999999999</v>
      </c>
      <c r="P93" s="48">
        <v>131.1</v>
      </c>
      <c r="Q93" s="48">
        <v>132</v>
      </c>
      <c r="R93" s="48">
        <v>131.69999999999999</v>
      </c>
      <c r="S93" s="48">
        <v>130</v>
      </c>
      <c r="T93" s="48">
        <v>132</v>
      </c>
      <c r="U93" s="48"/>
      <c r="V93" s="48">
        <v>132</v>
      </c>
      <c r="W93" s="48">
        <v>131</v>
      </c>
      <c r="X93" s="48">
        <v>131</v>
      </c>
      <c r="Y93" s="48">
        <v>131</v>
      </c>
      <c r="Z93" s="48">
        <v>133</v>
      </c>
      <c r="AA93" s="48">
        <v>133</v>
      </c>
      <c r="AB93" s="48">
        <v>133.5</v>
      </c>
      <c r="AC93" s="48">
        <v>133.30000000000001</v>
      </c>
      <c r="AD93" s="48">
        <v>134.6</v>
      </c>
      <c r="AE93" s="48">
        <v>134</v>
      </c>
      <c r="AF93" s="48">
        <v>132.9</v>
      </c>
      <c r="AG93" s="146"/>
      <c r="AH93" s="54">
        <f t="shared" si="16"/>
        <v>136.4</v>
      </c>
      <c r="AI93" s="55">
        <f t="shared" si="18"/>
        <v>130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127</v>
      </c>
      <c r="C94" s="82">
        <v>131.6</v>
      </c>
      <c r="D94" s="82">
        <v>131.6</v>
      </c>
      <c r="E94" s="82">
        <v>132.6</v>
      </c>
      <c r="F94" s="82">
        <v>132.80000000000001</v>
      </c>
      <c r="G94" s="82">
        <v>132.80000000000001</v>
      </c>
      <c r="H94" s="82">
        <v>132.5</v>
      </c>
      <c r="I94" s="82">
        <v>132.5</v>
      </c>
      <c r="J94" s="82">
        <v>132.5</v>
      </c>
      <c r="K94" s="82">
        <v>133.5</v>
      </c>
      <c r="L94" s="82">
        <v>134.69999999999999</v>
      </c>
      <c r="M94" s="82">
        <v>132</v>
      </c>
      <c r="N94" s="82">
        <v>133.5</v>
      </c>
      <c r="O94" s="82">
        <v>131.80000000000001</v>
      </c>
      <c r="P94" s="82">
        <v>133.80000000000001</v>
      </c>
      <c r="Q94" s="82">
        <v>133.4</v>
      </c>
      <c r="R94" s="82">
        <v>135.4</v>
      </c>
      <c r="S94" s="82">
        <v>1285</v>
      </c>
      <c r="T94" s="82">
        <v>132</v>
      </c>
      <c r="U94" s="82"/>
      <c r="V94" s="82">
        <v>133</v>
      </c>
      <c r="W94" s="82">
        <v>131</v>
      </c>
      <c r="X94" s="82">
        <v>133</v>
      </c>
      <c r="Y94" s="82">
        <v>134</v>
      </c>
      <c r="Z94" s="82">
        <v>132</v>
      </c>
      <c r="AA94" s="82">
        <v>132</v>
      </c>
      <c r="AB94" s="82">
        <v>129.69999999999999</v>
      </c>
      <c r="AC94" s="82">
        <v>132.30000000000001</v>
      </c>
      <c r="AD94" s="82">
        <v>134.30000000000001</v>
      </c>
      <c r="AE94" s="82">
        <v>133.6</v>
      </c>
      <c r="AF94" s="82">
        <v>131</v>
      </c>
      <c r="AG94" s="147"/>
      <c r="AH94" s="54">
        <f t="shared" si="16"/>
        <v>1285</v>
      </c>
      <c r="AI94" s="55">
        <f t="shared" si="18"/>
        <v>127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120</v>
      </c>
      <c r="C95" s="48">
        <v>129</v>
      </c>
      <c r="D95" s="48">
        <v>129</v>
      </c>
      <c r="E95" s="48">
        <v>132.5</v>
      </c>
      <c r="F95" s="48">
        <v>134.4</v>
      </c>
      <c r="G95" s="48">
        <v>134.4</v>
      </c>
      <c r="H95" s="48">
        <v>132.80000000000001</v>
      </c>
      <c r="I95" s="48">
        <v>132.80000000000001</v>
      </c>
      <c r="J95" s="48">
        <v>132.80000000000001</v>
      </c>
      <c r="K95" s="48">
        <v>134.19999999999999</v>
      </c>
      <c r="L95" s="48">
        <v>138.6</v>
      </c>
      <c r="M95" s="48">
        <v>131.9</v>
      </c>
      <c r="N95" s="48">
        <v>131.4</v>
      </c>
      <c r="O95" s="48">
        <v>128</v>
      </c>
      <c r="P95" s="48">
        <v>128.1</v>
      </c>
      <c r="Q95" s="48">
        <v>129.9</v>
      </c>
      <c r="R95" s="48">
        <v>130.6</v>
      </c>
      <c r="S95" s="48">
        <v>130</v>
      </c>
      <c r="T95" s="48">
        <v>130</v>
      </c>
      <c r="U95" s="48"/>
      <c r="V95" s="48">
        <v>130</v>
      </c>
      <c r="W95" s="48">
        <v>131</v>
      </c>
      <c r="X95" s="48">
        <v>133</v>
      </c>
      <c r="Y95" s="48">
        <v>134</v>
      </c>
      <c r="Z95" s="48">
        <v>133</v>
      </c>
      <c r="AA95" s="48">
        <v>133</v>
      </c>
      <c r="AB95" s="48">
        <v>125.6</v>
      </c>
      <c r="AC95" s="48">
        <v>132.30000000000001</v>
      </c>
      <c r="AD95" s="48">
        <v>134.6</v>
      </c>
      <c r="AE95" s="48">
        <v>133.5</v>
      </c>
      <c r="AF95" s="48">
        <v>128.19999999999999</v>
      </c>
      <c r="AG95" s="146"/>
      <c r="AH95" s="54">
        <f t="shared" si="16"/>
        <v>138.6</v>
      </c>
      <c r="AI95" s="55">
        <f t="shared" si="18"/>
        <v>120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64.900000000000006</v>
      </c>
      <c r="C96" s="83">
        <v>65</v>
      </c>
      <c r="D96" s="83">
        <v>65</v>
      </c>
      <c r="E96" s="83">
        <v>66.599999999999994</v>
      </c>
      <c r="F96" s="83">
        <v>66.3</v>
      </c>
      <c r="G96" s="83">
        <v>66.3</v>
      </c>
      <c r="H96" s="83">
        <v>65.599999999999994</v>
      </c>
      <c r="I96" s="83">
        <v>64.599999999999994</v>
      </c>
      <c r="J96" s="83">
        <v>65.599999999999994</v>
      </c>
      <c r="K96" s="83">
        <v>65.2</v>
      </c>
      <c r="L96" s="83">
        <v>64.7</v>
      </c>
      <c r="M96" s="83">
        <v>64.400000000000006</v>
      </c>
      <c r="N96" s="83">
        <v>64.7</v>
      </c>
      <c r="O96" s="83">
        <v>63.8</v>
      </c>
      <c r="P96" s="83">
        <v>62.6</v>
      </c>
      <c r="Q96" s="83">
        <v>62.7</v>
      </c>
      <c r="R96" s="83">
        <v>63.3</v>
      </c>
      <c r="S96" s="83">
        <v>63.1</v>
      </c>
      <c r="T96" s="83">
        <v>63</v>
      </c>
      <c r="U96" s="83"/>
      <c r="V96" s="83">
        <v>64.8</v>
      </c>
      <c r="W96" s="83">
        <v>65</v>
      </c>
      <c r="X96" s="83">
        <v>64.7</v>
      </c>
      <c r="Y96" s="83">
        <v>65</v>
      </c>
      <c r="Z96" s="83">
        <v>65.599999999999994</v>
      </c>
      <c r="AA96" s="83">
        <v>65.599999999999994</v>
      </c>
      <c r="AB96" s="83">
        <v>65</v>
      </c>
      <c r="AC96" s="83">
        <v>64.8</v>
      </c>
      <c r="AD96" s="83">
        <v>65.5</v>
      </c>
      <c r="AE96" s="83">
        <v>65.400000000000006</v>
      </c>
      <c r="AF96" s="83">
        <v>64.3</v>
      </c>
      <c r="AG96" s="148"/>
      <c r="AH96" s="54">
        <f t="shared" si="16"/>
        <v>66.599999999999994</v>
      </c>
      <c r="AI96" s="55">
        <f t="shared" si="18"/>
        <v>62.6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16"/>
        <v>0</v>
      </c>
      <c r="AI97" s="55">
        <f t="shared" si="18"/>
        <v>0</v>
      </c>
    </row>
    <row r="98" spans="1:37" ht="15.75" thickBot="1" x14ac:dyDescent="0.3">
      <c r="A98" s="85" t="s">
        <v>73</v>
      </c>
      <c r="B98" s="86">
        <f t="shared" ref="B98:AF98" si="25">SUM(B15,B18,B21:B22,B46,B48:B49,B51,B53,B99:B102,B123,B129,B135,B144,B146,B158,B165,B168:B169,B176,B178,B180,B184:B186,B188:B190,B195,B201:B202,B204:B206,B214,B219)</f>
        <v>33.60000000000003</v>
      </c>
      <c r="C98" s="86">
        <f t="shared" si="25"/>
        <v>27.640000000000036</v>
      </c>
      <c r="D98" s="86">
        <f t="shared" si="25"/>
        <v>18.540000000000024</v>
      </c>
      <c r="E98" s="86">
        <f t="shared" si="25"/>
        <v>49.140000000000008</v>
      </c>
      <c r="F98" s="86">
        <f t="shared" si="25"/>
        <v>33.340000000000003</v>
      </c>
      <c r="G98" s="86">
        <f t="shared" si="25"/>
        <v>34.340000000000003</v>
      </c>
      <c r="H98" s="86">
        <f t="shared" si="25"/>
        <v>54.24000000000003</v>
      </c>
      <c r="I98" s="86">
        <f t="shared" si="25"/>
        <v>40.640000000000008</v>
      </c>
      <c r="J98" s="86">
        <f t="shared" si="25"/>
        <v>44.540000000000013</v>
      </c>
      <c r="K98" s="86">
        <f t="shared" si="25"/>
        <v>146.74</v>
      </c>
      <c r="L98" s="86">
        <f t="shared" si="25"/>
        <v>154.04000000000002</v>
      </c>
      <c r="M98" s="86">
        <f t="shared" si="25"/>
        <v>159.63999999999999</v>
      </c>
      <c r="N98" s="86">
        <f t="shared" si="25"/>
        <v>157.13999999999999</v>
      </c>
      <c r="O98" s="86">
        <f t="shared" si="25"/>
        <v>145.44</v>
      </c>
      <c r="P98" s="86">
        <f t="shared" si="25"/>
        <v>135.14000000000001</v>
      </c>
      <c r="Q98" s="86">
        <f t="shared" si="25"/>
        <v>208.79999999999998</v>
      </c>
      <c r="R98" s="86">
        <f t="shared" si="25"/>
        <v>147.19999999999999</v>
      </c>
      <c r="S98" s="86">
        <f t="shared" si="25"/>
        <v>139.79999999999998</v>
      </c>
      <c r="T98" s="86">
        <f t="shared" si="25"/>
        <v>149.39999999999998</v>
      </c>
      <c r="U98" s="86">
        <f t="shared" si="25"/>
        <v>139.39999999999998</v>
      </c>
      <c r="V98" s="86">
        <f t="shared" si="25"/>
        <v>145.09999999999997</v>
      </c>
      <c r="W98" s="86">
        <f t="shared" si="25"/>
        <v>141.09999999999997</v>
      </c>
      <c r="X98" s="86">
        <f t="shared" si="25"/>
        <v>137.39999999999998</v>
      </c>
      <c r="Y98" s="86">
        <f t="shared" si="25"/>
        <v>143.39999999999998</v>
      </c>
      <c r="Z98" s="86">
        <f t="shared" si="25"/>
        <v>171.2</v>
      </c>
      <c r="AA98" s="86">
        <f t="shared" si="25"/>
        <v>220.99999999999997</v>
      </c>
      <c r="AB98" s="86">
        <f t="shared" si="25"/>
        <v>175.70000000000002</v>
      </c>
      <c r="AC98" s="86">
        <f t="shared" si="25"/>
        <v>166.7</v>
      </c>
      <c r="AD98" s="86">
        <f t="shared" si="25"/>
        <v>151.19999999999999</v>
      </c>
      <c r="AE98" s="86">
        <f t="shared" si="25"/>
        <v>78.699999999999989</v>
      </c>
      <c r="AF98" s="86">
        <f t="shared" si="25"/>
        <v>84.1</v>
      </c>
      <c r="AG98" s="150"/>
      <c r="AH98" s="54">
        <f>MAX(C98:AF98)</f>
        <v>220.99999999999997</v>
      </c>
      <c r="AI98" s="55">
        <f>MIN(C98:AF98)</f>
        <v>18.540000000000024</v>
      </c>
    </row>
    <row r="99" spans="1:37" x14ac:dyDescent="0.25">
      <c r="A99" s="170" t="s">
        <v>74</v>
      </c>
      <c r="B99" s="87">
        <v>17.399999999999999</v>
      </c>
      <c r="C99" s="87">
        <v>16.8</v>
      </c>
      <c r="D99" s="87">
        <v>12.5</v>
      </c>
      <c r="E99" s="87">
        <v>16.2</v>
      </c>
      <c r="F99" s="87">
        <v>16.600000000000001</v>
      </c>
      <c r="G99" s="87">
        <v>17.600000000000001</v>
      </c>
      <c r="H99" s="87">
        <v>16.899999999999999</v>
      </c>
      <c r="I99" s="87">
        <v>15</v>
      </c>
      <c r="J99" s="87">
        <v>18.899999999999999</v>
      </c>
      <c r="K99" s="87">
        <v>21.1</v>
      </c>
      <c r="L99" s="87">
        <v>27.4</v>
      </c>
      <c r="M99" s="87">
        <v>27.9</v>
      </c>
      <c r="N99" s="87">
        <v>26.2</v>
      </c>
      <c r="O99" s="87">
        <v>29.8</v>
      </c>
      <c r="P99" s="87">
        <v>29.8</v>
      </c>
      <c r="Q99" s="87">
        <f>60.1+41.3</f>
        <v>101.4</v>
      </c>
      <c r="R99" s="87">
        <v>39.299999999999997</v>
      </c>
      <c r="S99" s="87">
        <v>37</v>
      </c>
      <c r="T99" s="87">
        <v>45</v>
      </c>
      <c r="U99" s="87"/>
      <c r="V99" s="87">
        <v>35</v>
      </c>
      <c r="W99" s="87">
        <v>37</v>
      </c>
      <c r="X99" s="87">
        <v>35</v>
      </c>
      <c r="Y99" s="87">
        <v>37</v>
      </c>
      <c r="Z99" s="87">
        <v>36</v>
      </c>
      <c r="AA99" s="87">
        <v>40</v>
      </c>
      <c r="AB99" s="87">
        <v>28.8</v>
      </c>
      <c r="AC99" s="87">
        <v>26</v>
      </c>
      <c r="AD99" s="87">
        <v>30.5</v>
      </c>
      <c r="AE99" s="87">
        <v>23.6</v>
      </c>
      <c r="AF99" s="87">
        <v>21</v>
      </c>
      <c r="AG99" s="151">
        <v>75</v>
      </c>
      <c r="AH99" s="54">
        <f t="shared" ref="AH99:AH105" si="26">IF(ABS(MAX(C99:AF99))&gt;ABS(MIN(C99:AF99)),MAX(C99:AF99),MIN(C99:AF99))</f>
        <v>101.4</v>
      </c>
      <c r="AI99" s="89">
        <f t="shared" ref="AI99:AI105" si="27">INDEX($C$9:$AF$9,1,MATCH(AH99,C99:AF99,0))</f>
        <v>0.5</v>
      </c>
    </row>
    <row r="100" spans="1:37" x14ac:dyDescent="0.25">
      <c r="A100" s="163" t="s">
        <v>75</v>
      </c>
      <c r="B100" s="90">
        <v>-149</v>
      </c>
      <c r="C100" s="90">
        <v>-152</v>
      </c>
      <c r="D100" s="90">
        <v>-153</v>
      </c>
      <c r="E100" s="90">
        <f>-59.8-64.2</f>
        <v>-124</v>
      </c>
      <c r="F100" s="90">
        <f>-67.4-72.4</f>
        <v>-139.80000000000001</v>
      </c>
      <c r="G100" s="90">
        <f t="shared" ref="G100" si="28">-67.4-72.4</f>
        <v>-139.80000000000001</v>
      </c>
      <c r="H100" s="90">
        <f>-58.9-63.4</f>
        <v>-122.3</v>
      </c>
      <c r="I100" s="90">
        <f t="shared" ref="I100:J100" si="29">-58.9-63.4</f>
        <v>-122.3</v>
      </c>
      <c r="J100" s="90">
        <f t="shared" si="29"/>
        <v>-122.3</v>
      </c>
      <c r="K100" s="90">
        <f>-40.5-43.3</f>
        <v>-83.8</v>
      </c>
      <c r="L100" s="90">
        <f>-41.7-45.6</f>
        <v>-87.300000000000011</v>
      </c>
      <c r="M100" s="90">
        <v>-92</v>
      </c>
      <c r="N100" s="90">
        <v>-95</v>
      </c>
      <c r="O100" s="90">
        <v>-100</v>
      </c>
      <c r="P100" s="90">
        <v>-70</v>
      </c>
      <c r="Q100" s="90">
        <f>-39.8-42.7</f>
        <v>-82.5</v>
      </c>
      <c r="R100" s="90">
        <v>-82</v>
      </c>
      <c r="S100" s="90">
        <v>-81</v>
      </c>
      <c r="T100" s="90">
        <v>-87</v>
      </c>
      <c r="U100" s="90"/>
      <c r="V100" s="90">
        <v>-109</v>
      </c>
      <c r="W100" s="90">
        <v>-106</v>
      </c>
      <c r="X100" s="90">
        <v>-85</v>
      </c>
      <c r="Y100" s="90">
        <v>-83</v>
      </c>
      <c r="Z100" s="90">
        <v>-56</v>
      </c>
      <c r="AA100" s="90">
        <v>-52</v>
      </c>
      <c r="AB100" s="90">
        <v>-50.1</v>
      </c>
      <c r="AC100" s="90">
        <v>-48.9</v>
      </c>
      <c r="AD100" s="90">
        <v>-80</v>
      </c>
      <c r="AE100" s="90">
        <v>-124.6</v>
      </c>
      <c r="AF100" s="90">
        <v>-105.2</v>
      </c>
      <c r="AG100" s="151">
        <v>240</v>
      </c>
      <c r="AH100" s="54">
        <f t="shared" si="26"/>
        <v>-153</v>
      </c>
      <c r="AI100" s="89">
        <f t="shared" si="27"/>
        <v>8.3333333333333301E-2</v>
      </c>
    </row>
    <row r="101" spans="1:37" x14ac:dyDescent="0.25">
      <c r="A101" s="163" t="s">
        <v>76</v>
      </c>
      <c r="B101" s="90">
        <v>-5.9</v>
      </c>
      <c r="C101" s="90">
        <v>-9.1999999999999993</v>
      </c>
      <c r="D101" s="90">
        <v>-8</v>
      </c>
      <c r="E101" s="90">
        <v>-5.0999999999999996</v>
      </c>
      <c r="F101" s="90">
        <v>-5.5</v>
      </c>
      <c r="G101" s="90">
        <v>-5.5</v>
      </c>
      <c r="H101" s="90">
        <v>-2.4</v>
      </c>
      <c r="I101" s="90">
        <v>-2.4</v>
      </c>
      <c r="J101" s="90">
        <v>-2.4</v>
      </c>
      <c r="K101" s="90">
        <v>6.4</v>
      </c>
      <c r="L101" s="90">
        <v>5.5</v>
      </c>
      <c r="M101" s="90">
        <v>8.6</v>
      </c>
      <c r="N101" s="90">
        <v>7.3</v>
      </c>
      <c r="O101" s="90">
        <v>9.1999999999999993</v>
      </c>
      <c r="P101" s="90">
        <v>11.3</v>
      </c>
      <c r="Q101" s="90">
        <v>11.6</v>
      </c>
      <c r="R101" s="90">
        <v>9.9</v>
      </c>
      <c r="S101" s="90">
        <v>9</v>
      </c>
      <c r="T101" s="90">
        <v>2</v>
      </c>
      <c r="U101" s="90"/>
      <c r="V101" s="90">
        <v>4.7</v>
      </c>
      <c r="W101" s="90">
        <v>5.7</v>
      </c>
      <c r="X101" s="90">
        <v>8</v>
      </c>
      <c r="Y101" s="90">
        <v>10</v>
      </c>
      <c r="Z101" s="90">
        <v>15</v>
      </c>
      <c r="AA101" s="90">
        <v>14</v>
      </c>
      <c r="AB101" s="90">
        <v>11.3</v>
      </c>
      <c r="AC101" s="90">
        <v>10.5</v>
      </c>
      <c r="AD101" s="90">
        <v>6.6</v>
      </c>
      <c r="AE101" s="90">
        <v>0.6</v>
      </c>
      <c r="AF101" s="90">
        <v>4.2</v>
      </c>
      <c r="AG101" s="151">
        <v>60</v>
      </c>
      <c r="AH101" s="54">
        <f t="shared" si="26"/>
        <v>15</v>
      </c>
      <c r="AI101" s="89">
        <f t="shared" si="27"/>
        <v>0.79166666666666663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52.7</v>
      </c>
      <c r="L102" s="91">
        <v>46.4</v>
      </c>
      <c r="M102" s="91">
        <v>49.3</v>
      </c>
      <c r="N102" s="91">
        <v>53</v>
      </c>
      <c r="O102" s="91">
        <v>40.799999999999997</v>
      </c>
      <c r="P102" s="91">
        <v>59.1</v>
      </c>
      <c r="Q102" s="91">
        <v>50</v>
      </c>
      <c r="R102" s="91">
        <v>50.6</v>
      </c>
      <c r="S102" s="91">
        <v>55.4</v>
      </c>
      <c r="T102" s="91">
        <v>50</v>
      </c>
      <c r="U102" s="91"/>
      <c r="V102" s="91">
        <v>35</v>
      </c>
      <c r="W102" s="91">
        <v>25</v>
      </c>
      <c r="X102" s="91">
        <v>0</v>
      </c>
      <c r="Y102" s="91">
        <v>0</v>
      </c>
      <c r="Z102" s="91">
        <v>-3.2</v>
      </c>
      <c r="AA102" s="91">
        <v>19.600000000000001</v>
      </c>
      <c r="AB102" s="91">
        <v>-8.4</v>
      </c>
      <c r="AC102" s="91">
        <v>0</v>
      </c>
      <c r="AD102" s="91">
        <v>0</v>
      </c>
      <c r="AE102" s="91">
        <v>0</v>
      </c>
      <c r="AF102" s="91">
        <v>0</v>
      </c>
      <c r="AG102" s="152">
        <v>120</v>
      </c>
      <c r="AH102" s="54">
        <f t="shared" si="26"/>
        <v>59.1</v>
      </c>
      <c r="AI102" s="89">
        <f t="shared" si="27"/>
        <v>0.45833333333333298</v>
      </c>
    </row>
    <row r="103" spans="1:37" x14ac:dyDescent="0.25">
      <c r="A103" s="164" t="s">
        <v>78</v>
      </c>
      <c r="B103" s="91">
        <v>36.799999999999997</v>
      </c>
      <c r="C103" s="91">
        <v>33.6</v>
      </c>
      <c r="D103" s="91">
        <v>36.799999999999997</v>
      </c>
      <c r="E103" s="91">
        <v>38.5</v>
      </c>
      <c r="F103" s="91">
        <v>33.4</v>
      </c>
      <c r="G103" s="91">
        <v>33.4</v>
      </c>
      <c r="H103" s="91">
        <v>35.5</v>
      </c>
      <c r="I103" s="91">
        <v>35.5</v>
      </c>
      <c r="J103" s="91">
        <v>35.5</v>
      </c>
      <c r="K103" s="91">
        <v>50.5</v>
      </c>
      <c r="L103" s="91">
        <v>43.9</v>
      </c>
      <c r="M103" s="91">
        <v>48.9</v>
      </c>
      <c r="N103" s="91">
        <v>56.7</v>
      </c>
      <c r="O103" s="91">
        <v>48.1</v>
      </c>
      <c r="P103" s="91">
        <v>76.900000000000006</v>
      </c>
      <c r="Q103" s="91">
        <v>59.8</v>
      </c>
      <c r="R103" s="91">
        <v>58</v>
      </c>
      <c r="S103" s="91">
        <v>62</v>
      </c>
      <c r="T103" s="91">
        <v>57</v>
      </c>
      <c r="U103" s="91"/>
      <c r="V103" s="91">
        <v>44</v>
      </c>
      <c r="W103" s="91">
        <v>35</v>
      </c>
      <c r="X103" s="91">
        <v>52</v>
      </c>
      <c r="Y103" s="91">
        <v>50</v>
      </c>
      <c r="Z103" s="91">
        <v>66</v>
      </c>
      <c r="AA103" s="91">
        <v>71</v>
      </c>
      <c r="AB103" s="91">
        <v>80.900000000000006</v>
      </c>
      <c r="AC103" s="91">
        <v>83.7</v>
      </c>
      <c r="AD103" s="91">
        <v>68.099999999999994</v>
      </c>
      <c r="AE103" s="91">
        <v>41.2</v>
      </c>
      <c r="AF103" s="91">
        <v>85.6</v>
      </c>
      <c r="AG103" s="152"/>
      <c r="AH103" s="54">
        <f t="shared" si="26"/>
        <v>85.6</v>
      </c>
      <c r="AI103" s="89">
        <f t="shared" si="27"/>
        <v>0.95833333333333304</v>
      </c>
    </row>
    <row r="104" spans="1:37" x14ac:dyDescent="0.25">
      <c r="A104" s="164" t="s">
        <v>105</v>
      </c>
      <c r="B104" s="91">
        <v>43.8</v>
      </c>
      <c r="C104" s="91">
        <v>47.3</v>
      </c>
      <c r="D104" s="91">
        <v>55.7</v>
      </c>
      <c r="E104" s="91">
        <v>54.4</v>
      </c>
      <c r="F104" s="91">
        <v>52.8</v>
      </c>
      <c r="G104" s="91">
        <v>52.8</v>
      </c>
      <c r="H104" s="91">
        <v>-36.5</v>
      </c>
      <c r="I104" s="91">
        <v>-36.5</v>
      </c>
      <c r="J104" s="91">
        <v>-36.5</v>
      </c>
      <c r="K104" s="91">
        <v>19.7</v>
      </c>
      <c r="L104" s="91">
        <v>-12.4</v>
      </c>
      <c r="M104" s="91">
        <v>-3.5</v>
      </c>
      <c r="N104" s="91">
        <v>9.1</v>
      </c>
      <c r="O104" s="91">
        <v>-8.1999999999999993</v>
      </c>
      <c r="P104" s="91">
        <v>-7.9</v>
      </c>
      <c r="Q104" s="91">
        <v>-31.4</v>
      </c>
      <c r="R104" s="91">
        <v>13.4</v>
      </c>
      <c r="S104" s="91">
        <v>-25</v>
      </c>
      <c r="T104" s="91">
        <v>-40</v>
      </c>
      <c r="U104" s="91"/>
      <c r="V104" s="91">
        <v>-27</v>
      </c>
      <c r="W104" s="91">
        <v>-37</v>
      </c>
      <c r="X104" s="91">
        <v>-33</v>
      </c>
      <c r="Y104" s="91">
        <v>-34</v>
      </c>
      <c r="Z104" s="91">
        <v>-22</v>
      </c>
      <c r="AA104" s="91">
        <v>-13</v>
      </c>
      <c r="AB104" s="91">
        <v>27.1</v>
      </c>
      <c r="AC104" s="91">
        <v>40.4</v>
      </c>
      <c r="AD104" s="91">
        <v>28.5</v>
      </c>
      <c r="AE104" s="91">
        <v>28.2</v>
      </c>
      <c r="AF104" s="91">
        <v>70.2</v>
      </c>
      <c r="AG104" s="153"/>
      <c r="AH104" s="54">
        <f t="shared" si="26"/>
        <v>70.2</v>
      </c>
      <c r="AI104" s="89">
        <f t="shared" si="27"/>
        <v>0.95833333333333304</v>
      </c>
    </row>
    <row r="105" spans="1:37" ht="15.75" thickBot="1" x14ac:dyDescent="0.3">
      <c r="A105" s="171" t="s">
        <v>106</v>
      </c>
      <c r="B105" s="82">
        <v>110.5</v>
      </c>
      <c r="C105" s="82">
        <v>114</v>
      </c>
      <c r="D105" s="82">
        <v>116.7</v>
      </c>
      <c r="E105" s="82">
        <v>121.9</v>
      </c>
      <c r="F105" s="82">
        <v>121.4</v>
      </c>
      <c r="G105" s="82">
        <v>121.4</v>
      </c>
      <c r="H105" s="82">
        <v>6</v>
      </c>
      <c r="I105" s="82">
        <v>60</v>
      </c>
      <c r="J105" s="82">
        <v>76</v>
      </c>
      <c r="K105" s="82">
        <v>116</v>
      </c>
      <c r="L105" s="82">
        <v>114.6</v>
      </c>
      <c r="M105" s="82">
        <v>111.5</v>
      </c>
      <c r="N105" s="82">
        <v>111.5</v>
      </c>
      <c r="O105" s="82">
        <v>119.1</v>
      </c>
      <c r="P105" s="82">
        <v>117.4</v>
      </c>
      <c r="Q105" s="82">
        <v>117.2</v>
      </c>
      <c r="R105" s="82">
        <v>113.8</v>
      </c>
      <c r="S105" s="82">
        <v>112</v>
      </c>
      <c r="T105" s="82">
        <v>107</v>
      </c>
      <c r="U105" s="82"/>
      <c r="V105" s="82">
        <v>106</v>
      </c>
      <c r="W105" s="82">
        <v>104</v>
      </c>
      <c r="X105" s="82">
        <v>104</v>
      </c>
      <c r="Y105" s="82">
        <v>103</v>
      </c>
      <c r="Z105" s="82">
        <v>91</v>
      </c>
      <c r="AA105" s="82">
        <v>87</v>
      </c>
      <c r="AB105" s="82">
        <v>94.4</v>
      </c>
      <c r="AC105" s="82">
        <v>96.5</v>
      </c>
      <c r="AD105" s="82">
        <v>96.4</v>
      </c>
      <c r="AE105" s="82">
        <v>103</v>
      </c>
      <c r="AF105" s="82">
        <v>108.5</v>
      </c>
      <c r="AG105" s="153"/>
      <c r="AH105" s="54">
        <f t="shared" si="26"/>
        <v>121.9</v>
      </c>
      <c r="AI105" s="89">
        <f t="shared" si="27"/>
        <v>0.125</v>
      </c>
    </row>
    <row r="106" spans="1:37" ht="15.75" thickBot="1" x14ac:dyDescent="0.3">
      <c r="A106" s="92" t="s">
        <v>79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154"/>
      <c r="AH106" s="94"/>
      <c r="AI106" s="55"/>
      <c r="AK106" s="56"/>
    </row>
    <row r="107" spans="1:37" x14ac:dyDescent="0.25">
      <c r="A107" s="162" t="s">
        <v>133</v>
      </c>
      <c r="B107" s="95"/>
      <c r="C107" s="53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6">
        <v>9.94</v>
      </c>
      <c r="AH107" s="54"/>
      <c r="AI107" s="55"/>
      <c r="AK107" s="56"/>
    </row>
    <row r="108" spans="1:37" x14ac:dyDescent="0.25">
      <c r="A108" s="163" t="s">
        <v>134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/>
      <c r="AH108" s="54"/>
      <c r="AI108" s="55"/>
      <c r="AK108" s="56"/>
    </row>
    <row r="109" spans="1:37" x14ac:dyDescent="0.25">
      <c r="A109" s="163" t="s">
        <v>135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136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137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138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139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140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141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142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143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144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145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146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147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148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149</v>
      </c>
      <c r="B123" s="97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9">
        <v>9.9</v>
      </c>
      <c r="AH123" s="54"/>
      <c r="AI123" s="55"/>
      <c r="AK123" s="56"/>
    </row>
    <row r="124" spans="1:37" x14ac:dyDescent="0.25">
      <c r="A124" s="164" t="s">
        <v>80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100">
        <v>9.6579999999999995</v>
      </c>
      <c r="AH124" s="54"/>
      <c r="AI124" s="55"/>
      <c r="AK124" s="56"/>
    </row>
    <row r="125" spans="1:37" x14ac:dyDescent="0.25">
      <c r="A125" s="164" t="s">
        <v>150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</v>
      </c>
      <c r="AH125" s="54"/>
      <c r="AI125" s="55"/>
      <c r="AK125" s="56"/>
    </row>
    <row r="126" spans="1:37" x14ac:dyDescent="0.25">
      <c r="A126" s="164" t="s">
        <v>151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9.51</v>
      </c>
      <c r="AH126" s="54"/>
      <c r="AI126" s="55"/>
      <c r="AK126" s="56"/>
    </row>
    <row r="127" spans="1:37" x14ac:dyDescent="0.25">
      <c r="A127" s="164" t="s">
        <v>152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9.4</v>
      </c>
      <c r="AH127" s="54"/>
      <c r="AI127" s="55"/>
      <c r="AK127" s="56"/>
    </row>
    <row r="128" spans="1:37" x14ac:dyDescent="0.25">
      <c r="A128" s="164" t="s">
        <v>153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8.8000000000000007</v>
      </c>
      <c r="AH128" s="54"/>
      <c r="AI128" s="55"/>
      <c r="AK128" s="56"/>
    </row>
    <row r="129" spans="1:37" x14ac:dyDescent="0.25">
      <c r="A129" s="164" t="s">
        <v>154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8.5</v>
      </c>
      <c r="AH129" s="54"/>
      <c r="AI129" s="55"/>
      <c r="AK129" s="56"/>
    </row>
    <row r="130" spans="1:37" x14ac:dyDescent="0.25">
      <c r="A130" s="164" t="s">
        <v>155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156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8.4</v>
      </c>
      <c r="AH131" s="54"/>
      <c r="AI131" s="55"/>
      <c r="AK131" s="56"/>
    </row>
    <row r="132" spans="1:37" ht="13.5" customHeight="1" x14ac:dyDescent="0.25">
      <c r="A132" s="164" t="s">
        <v>157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</v>
      </c>
      <c r="AH132" s="54"/>
      <c r="AI132" s="55"/>
      <c r="AK132" s="56"/>
    </row>
    <row r="133" spans="1:37" x14ac:dyDescent="0.25">
      <c r="A133" s="164" t="s">
        <v>158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159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160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7.8</v>
      </c>
      <c r="AH135" s="54"/>
      <c r="AI135" s="55"/>
      <c r="AK135" s="56"/>
    </row>
    <row r="136" spans="1:37" x14ac:dyDescent="0.25">
      <c r="A136" s="164" t="s">
        <v>161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7.6</v>
      </c>
      <c r="AH136" s="54"/>
      <c r="AI136" s="55"/>
      <c r="AK136" s="56"/>
    </row>
    <row r="137" spans="1:37" x14ac:dyDescent="0.25">
      <c r="A137" s="164" t="s">
        <v>162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7.5</v>
      </c>
      <c r="AH137" s="54"/>
      <c r="AI137" s="55"/>
      <c r="AK137" s="56"/>
    </row>
    <row r="138" spans="1:37" x14ac:dyDescent="0.25">
      <c r="A138" s="164" t="s">
        <v>163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164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</v>
      </c>
      <c r="AH139" s="54"/>
      <c r="AI139" s="55"/>
      <c r="AK139" s="56"/>
    </row>
    <row r="140" spans="1:37" x14ac:dyDescent="0.25">
      <c r="A140" s="164" t="s">
        <v>165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166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167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168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6.6</v>
      </c>
      <c r="AH143" s="54"/>
      <c r="AI143" s="55"/>
      <c r="AK143" s="56"/>
    </row>
    <row r="144" spans="1:37" x14ac:dyDescent="0.25">
      <c r="A144" s="164" t="s">
        <v>169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170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6.4</v>
      </c>
      <c r="AH145" s="54"/>
      <c r="AI145" s="55"/>
      <c r="AK145" s="56"/>
    </row>
    <row r="146" spans="1:37" x14ac:dyDescent="0.25">
      <c r="A146" s="164" t="s">
        <v>171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</v>
      </c>
      <c r="AH146" s="54"/>
      <c r="AI146" s="55"/>
      <c r="AK146" s="56"/>
    </row>
    <row r="147" spans="1:37" x14ac:dyDescent="0.25">
      <c r="A147" s="164" t="s">
        <v>172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5.0999999999999996</v>
      </c>
      <c r="AH147" s="54"/>
      <c r="AI147" s="55"/>
      <c r="AK147" s="56"/>
    </row>
    <row r="148" spans="1:37" x14ac:dyDescent="0.25">
      <c r="A148" s="164" t="s">
        <v>173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</v>
      </c>
      <c r="AH148" s="54"/>
      <c r="AI148" s="55"/>
      <c r="AK148" s="56"/>
    </row>
    <row r="149" spans="1:37" x14ac:dyDescent="0.25">
      <c r="A149" s="163" t="s">
        <v>174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9">
        <v>5</v>
      </c>
      <c r="AH149" s="54"/>
      <c r="AI149" s="55"/>
      <c r="AK149" s="56"/>
    </row>
    <row r="150" spans="1:37" x14ac:dyDescent="0.25">
      <c r="A150" s="164" t="s">
        <v>175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100">
        <v>5</v>
      </c>
      <c r="AH150" s="54"/>
      <c r="AI150" s="55"/>
      <c r="AK150" s="56"/>
    </row>
    <row r="151" spans="1:37" x14ac:dyDescent="0.25">
      <c r="A151" s="164" t="s">
        <v>176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177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178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179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180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4.9930000000000003</v>
      </c>
      <c r="AH155" s="54"/>
      <c r="AI155" s="55"/>
      <c r="AK155" s="56"/>
    </row>
    <row r="156" spans="1:37" x14ac:dyDescent="0.25">
      <c r="A156" s="164" t="s">
        <v>181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4.9800000000000004</v>
      </c>
      <c r="AH156" s="54"/>
      <c r="AI156" s="55"/>
      <c r="AK156" s="56"/>
    </row>
    <row r="157" spans="1:37" x14ac:dyDescent="0.25">
      <c r="A157" s="164" t="s">
        <v>182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4.95</v>
      </c>
      <c r="AH157" s="54"/>
      <c r="AI157" s="55"/>
      <c r="AK157" s="56"/>
    </row>
    <row r="158" spans="1:37" x14ac:dyDescent="0.25">
      <c r="A158" s="164" t="s">
        <v>81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183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4.8</v>
      </c>
      <c r="AH159" s="54"/>
      <c r="AI159" s="55"/>
      <c r="AK159" s="56"/>
    </row>
    <row r="160" spans="1:37" x14ac:dyDescent="0.25">
      <c r="A160" s="164" t="s">
        <v>184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185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186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4.5</v>
      </c>
      <c r="AH162" s="54"/>
      <c r="AI162" s="55"/>
      <c r="AK162" s="56"/>
    </row>
    <row r="163" spans="1:37" x14ac:dyDescent="0.25">
      <c r="A163" s="164" t="s">
        <v>187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188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4.4550000000000001</v>
      </c>
      <c r="AH164" s="54"/>
      <c r="AI164" s="55"/>
      <c r="AK164" s="56"/>
    </row>
    <row r="165" spans="1:37" x14ac:dyDescent="0.25">
      <c r="A165" s="164" t="s">
        <v>189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4.41</v>
      </c>
      <c r="AH165" s="54"/>
      <c r="AI165" s="55"/>
      <c r="AK165" s="56"/>
    </row>
    <row r="166" spans="1:37" x14ac:dyDescent="0.25">
      <c r="A166" s="164" t="s">
        <v>190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4.4000000000000004</v>
      </c>
      <c r="AH166" s="54"/>
      <c r="AI166" s="55"/>
      <c r="AK166" s="56"/>
    </row>
    <row r="167" spans="1:37" x14ac:dyDescent="0.25">
      <c r="A167" s="164" t="s">
        <v>191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4.3600000000000003</v>
      </c>
      <c r="AH167" s="54"/>
      <c r="AI167" s="55"/>
      <c r="AK167" s="56"/>
    </row>
    <row r="168" spans="1:37" x14ac:dyDescent="0.25">
      <c r="A168" s="164" t="s">
        <v>192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4.2</v>
      </c>
      <c r="AH168" s="54"/>
      <c r="AI168" s="55"/>
      <c r="AK168" s="56"/>
    </row>
    <row r="169" spans="1:37" x14ac:dyDescent="0.25">
      <c r="A169" s="164" t="s">
        <v>193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</v>
      </c>
      <c r="AH169" s="54"/>
      <c r="AI169" s="55"/>
      <c r="AK169" s="56"/>
    </row>
    <row r="170" spans="1:37" x14ac:dyDescent="0.25">
      <c r="A170" s="164" t="s">
        <v>194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195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196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197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198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199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200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201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3.75</v>
      </c>
      <c r="AH177" s="54"/>
      <c r="AI177" s="55"/>
      <c r="AK177" s="56"/>
    </row>
    <row r="178" spans="1:37" x14ac:dyDescent="0.25">
      <c r="A178" s="164" t="s">
        <v>202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3.52</v>
      </c>
      <c r="AH178" s="54"/>
      <c r="AI178" s="55"/>
      <c r="AK178" s="56"/>
    </row>
    <row r="179" spans="1:37" x14ac:dyDescent="0.25">
      <c r="A179" s="164" t="s">
        <v>203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3.33</v>
      </c>
      <c r="AH179" s="54"/>
      <c r="AI179" s="55"/>
      <c r="AK179" s="56"/>
    </row>
    <row r="180" spans="1:37" x14ac:dyDescent="0.25">
      <c r="A180" s="164" t="s">
        <v>204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3.2</v>
      </c>
      <c r="AH180" s="54"/>
      <c r="AI180" s="55"/>
      <c r="AK180" s="56"/>
    </row>
    <row r="181" spans="1:37" x14ac:dyDescent="0.25">
      <c r="A181" s="164" t="s">
        <v>205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</v>
      </c>
      <c r="AH181" s="54"/>
      <c r="AI181" s="55"/>
      <c r="AK181" s="56"/>
    </row>
    <row r="182" spans="1:37" x14ac:dyDescent="0.25">
      <c r="A182" s="164" t="s">
        <v>206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207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208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209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210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211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212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213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2.83</v>
      </c>
      <c r="AH189" s="54"/>
      <c r="AI189" s="55"/>
      <c r="AK189" s="56"/>
    </row>
    <row r="190" spans="1:37" x14ac:dyDescent="0.25">
      <c r="A190" s="164" t="s">
        <v>214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2.5</v>
      </c>
      <c r="AH190" s="54"/>
      <c r="AI190" s="55"/>
      <c r="AK190" s="56"/>
    </row>
    <row r="191" spans="1:37" x14ac:dyDescent="0.25">
      <c r="A191" s="164" t="s">
        <v>215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216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2.4</v>
      </c>
      <c r="AH192" s="54"/>
      <c r="AI192" s="55"/>
      <c r="AK192" s="56"/>
    </row>
    <row r="193" spans="1:37" x14ac:dyDescent="0.25">
      <c r="A193" s="164" t="s">
        <v>217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218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2.2000000000000002</v>
      </c>
      <c r="AH194" s="54"/>
      <c r="AI194" s="55"/>
      <c r="AK194" s="56"/>
    </row>
    <row r="195" spans="1:37" x14ac:dyDescent="0.25">
      <c r="A195" s="164" t="s">
        <v>219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</v>
      </c>
      <c r="AH195" s="54"/>
      <c r="AI195" s="55"/>
      <c r="AK195" s="56"/>
    </row>
    <row r="196" spans="1:37" x14ac:dyDescent="0.25">
      <c r="A196" s="164" t="s">
        <v>220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221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222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1.8</v>
      </c>
      <c r="AH198" s="54"/>
      <c r="AI198" s="55"/>
      <c r="AK198" s="56"/>
    </row>
    <row r="199" spans="1:37" x14ac:dyDescent="0.25">
      <c r="A199" s="164" t="s">
        <v>223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224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1.65</v>
      </c>
      <c r="AH200" s="54"/>
      <c r="AI200" s="55"/>
      <c r="AK200" s="56"/>
    </row>
    <row r="201" spans="1:37" x14ac:dyDescent="0.25">
      <c r="A201" s="164" t="s">
        <v>225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1.5</v>
      </c>
      <c r="AH201" s="54"/>
      <c r="AI201" s="55"/>
      <c r="AK201" s="56"/>
    </row>
    <row r="202" spans="1:37" x14ac:dyDescent="0.25">
      <c r="A202" s="164" t="s">
        <v>226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0.998</v>
      </c>
      <c r="AH202" s="54"/>
      <c r="AI202" s="55"/>
      <c r="AK202" s="56"/>
    </row>
    <row r="203" spans="1:37" x14ac:dyDescent="0.25">
      <c r="A203" s="164" t="s">
        <v>227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0.997</v>
      </c>
      <c r="AH203" s="54"/>
      <c r="AI203" s="55"/>
      <c r="AK203" s="56"/>
    </row>
    <row r="204" spans="1:37" x14ac:dyDescent="0.25">
      <c r="A204" s="164" t="s">
        <v>228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229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0.996</v>
      </c>
      <c r="AH205" s="54"/>
      <c r="AI205" s="55"/>
      <c r="AK205" s="56"/>
    </row>
    <row r="206" spans="1:37" x14ac:dyDescent="0.25">
      <c r="A206" s="164" t="s">
        <v>230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231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232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0.995</v>
      </c>
      <c r="AH208" s="54"/>
      <c r="AI208" s="55"/>
      <c r="AK208" s="56"/>
    </row>
    <row r="209" spans="1:37" x14ac:dyDescent="0.25">
      <c r="A209" s="164" t="s">
        <v>233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0.99299999999999999</v>
      </c>
      <c r="AH209" s="54"/>
      <c r="AI209" s="55"/>
      <c r="AK209" s="56"/>
    </row>
    <row r="210" spans="1:37" x14ac:dyDescent="0.25">
      <c r="A210" s="164" t="s">
        <v>234</v>
      </c>
      <c r="B210" s="97"/>
      <c r="C210" s="53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</v>
      </c>
      <c r="AH210" s="54"/>
      <c r="AI210" s="55"/>
      <c r="AK210" s="56"/>
    </row>
    <row r="211" spans="1:37" ht="15.75" thickBot="1" x14ac:dyDescent="0.3">
      <c r="A211" s="164" t="s">
        <v>235</v>
      </c>
      <c r="B211" s="102"/>
      <c r="C211" s="166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0">
        <v>0.97899999999999998</v>
      </c>
      <c r="AH211" s="54"/>
      <c r="AI211" s="55"/>
      <c r="AK211" s="56"/>
    </row>
    <row r="212" spans="1:37" ht="15.75" thickBot="1" x14ac:dyDescent="0.3">
      <c r="A212" s="165" t="s">
        <v>82</v>
      </c>
      <c r="B212" s="167">
        <f>SUM(B107:B211)</f>
        <v>0</v>
      </c>
      <c r="C212" s="103">
        <f t="shared" ref="C212:AG212" si="30">SUM(C107:C211)</f>
        <v>0</v>
      </c>
      <c r="D212" s="103">
        <f t="shared" si="30"/>
        <v>0</v>
      </c>
      <c r="E212" s="103">
        <f t="shared" si="30"/>
        <v>0</v>
      </c>
      <c r="F212" s="103">
        <f t="shared" si="30"/>
        <v>0</v>
      </c>
      <c r="G212" s="103">
        <f t="shared" si="30"/>
        <v>0</v>
      </c>
      <c r="H212" s="103">
        <f t="shared" si="30"/>
        <v>0</v>
      </c>
      <c r="I212" s="103">
        <f t="shared" si="30"/>
        <v>0</v>
      </c>
      <c r="J212" s="103">
        <f t="shared" si="30"/>
        <v>0</v>
      </c>
      <c r="K212" s="103">
        <f t="shared" si="30"/>
        <v>0</v>
      </c>
      <c r="L212" s="103">
        <f t="shared" si="30"/>
        <v>0</v>
      </c>
      <c r="M212" s="103">
        <f t="shared" si="30"/>
        <v>0</v>
      </c>
      <c r="N212" s="103">
        <f t="shared" si="30"/>
        <v>0</v>
      </c>
      <c r="O212" s="103">
        <f t="shared" si="30"/>
        <v>0</v>
      </c>
      <c r="P212" s="103">
        <f t="shared" si="30"/>
        <v>0</v>
      </c>
      <c r="Q212" s="103">
        <f t="shared" si="30"/>
        <v>0</v>
      </c>
      <c r="R212" s="103">
        <f t="shared" si="30"/>
        <v>0</v>
      </c>
      <c r="S212" s="103">
        <f t="shared" si="30"/>
        <v>0</v>
      </c>
      <c r="T212" s="103">
        <f t="shared" si="30"/>
        <v>0</v>
      </c>
      <c r="U212" s="103">
        <f t="shared" si="30"/>
        <v>0</v>
      </c>
      <c r="V212" s="103">
        <f t="shared" si="30"/>
        <v>0</v>
      </c>
      <c r="W212" s="103">
        <f t="shared" si="30"/>
        <v>0</v>
      </c>
      <c r="X212" s="103">
        <f t="shared" si="30"/>
        <v>0</v>
      </c>
      <c r="Y212" s="103">
        <f t="shared" si="30"/>
        <v>0</v>
      </c>
      <c r="Z212" s="103">
        <f t="shared" si="30"/>
        <v>0</v>
      </c>
      <c r="AA212" s="103">
        <f t="shared" si="30"/>
        <v>0</v>
      </c>
      <c r="AB212" s="103">
        <f t="shared" si="30"/>
        <v>0</v>
      </c>
      <c r="AC212" s="103">
        <f t="shared" si="30"/>
        <v>0</v>
      </c>
      <c r="AD212" s="103">
        <f t="shared" si="30"/>
        <v>0</v>
      </c>
      <c r="AE212" s="103">
        <f t="shared" si="30"/>
        <v>0</v>
      </c>
      <c r="AF212" s="168">
        <f t="shared" si="30"/>
        <v>0</v>
      </c>
      <c r="AG212" s="169">
        <f t="shared" si="30"/>
        <v>412.72299999999984</v>
      </c>
      <c r="AH212" s="54"/>
      <c r="AI212" s="55"/>
      <c r="AK212" s="56"/>
    </row>
    <row r="213" spans="1:37" ht="15.75" thickBot="1" x14ac:dyDescent="0.3">
      <c r="A213" s="28" t="s">
        <v>35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149"/>
      <c r="AH213" s="54"/>
      <c r="AI213" s="55"/>
      <c r="AK213" s="56"/>
    </row>
    <row r="214" spans="1:37" x14ac:dyDescent="0.25">
      <c r="A214" s="170" t="s">
        <v>83</v>
      </c>
      <c r="B214" s="101">
        <f t="shared" ref="B214:B219" si="31">AF214</f>
        <v>0</v>
      </c>
      <c r="C214" s="101">
        <v>0.3</v>
      </c>
      <c r="D214" s="101">
        <f t="shared" ref="D214:P219" si="32">C214</f>
        <v>0.3</v>
      </c>
      <c r="E214" s="101">
        <f t="shared" si="32"/>
        <v>0.3</v>
      </c>
      <c r="F214" s="101">
        <f t="shared" si="32"/>
        <v>0.3</v>
      </c>
      <c r="G214" s="101">
        <f t="shared" si="32"/>
        <v>0.3</v>
      </c>
      <c r="H214" s="101">
        <f t="shared" si="32"/>
        <v>0.3</v>
      </c>
      <c r="I214" s="101">
        <f t="shared" si="32"/>
        <v>0.3</v>
      </c>
      <c r="J214" s="101">
        <f t="shared" si="32"/>
        <v>0.3</v>
      </c>
      <c r="K214" s="101">
        <f t="shared" si="32"/>
        <v>0.3</v>
      </c>
      <c r="L214" s="101">
        <f t="shared" si="32"/>
        <v>0.3</v>
      </c>
      <c r="M214" s="101">
        <f t="shared" si="32"/>
        <v>0.3</v>
      </c>
      <c r="N214" s="101">
        <f t="shared" si="32"/>
        <v>0.3</v>
      </c>
      <c r="O214" s="101">
        <f t="shared" si="32"/>
        <v>0.3</v>
      </c>
      <c r="P214" s="101">
        <f t="shared" si="32"/>
        <v>0.3</v>
      </c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55">
        <v>2.4</v>
      </c>
      <c r="AH214" s="54"/>
      <c r="AI214" s="55"/>
      <c r="AK214" s="56"/>
    </row>
    <row r="215" spans="1:37" x14ac:dyDescent="0.25">
      <c r="A215" s="163" t="s">
        <v>84</v>
      </c>
      <c r="B215" s="97">
        <f t="shared" si="31"/>
        <v>0</v>
      </c>
      <c r="C215" s="97">
        <v>0.4</v>
      </c>
      <c r="D215" s="97">
        <f t="shared" si="32"/>
        <v>0.4</v>
      </c>
      <c r="E215" s="97">
        <f t="shared" si="32"/>
        <v>0.4</v>
      </c>
      <c r="F215" s="97">
        <f t="shared" si="32"/>
        <v>0.4</v>
      </c>
      <c r="G215" s="97">
        <f t="shared" si="32"/>
        <v>0.4</v>
      </c>
      <c r="H215" s="97">
        <f t="shared" si="32"/>
        <v>0.4</v>
      </c>
      <c r="I215" s="97">
        <f t="shared" si="32"/>
        <v>0.4</v>
      </c>
      <c r="J215" s="97">
        <f t="shared" si="32"/>
        <v>0.4</v>
      </c>
      <c r="K215" s="97">
        <f t="shared" si="32"/>
        <v>0.4</v>
      </c>
      <c r="L215" s="97">
        <f t="shared" si="32"/>
        <v>0.4</v>
      </c>
      <c r="M215" s="97">
        <f t="shared" si="32"/>
        <v>0.4</v>
      </c>
      <c r="N215" s="97">
        <f t="shared" si="32"/>
        <v>0.4</v>
      </c>
      <c r="O215" s="97">
        <f t="shared" si="32"/>
        <v>0.4</v>
      </c>
      <c r="P215" s="97">
        <f t="shared" si="32"/>
        <v>0.4</v>
      </c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56">
        <v>2</v>
      </c>
      <c r="AH215" s="54"/>
      <c r="AI215" s="55"/>
      <c r="AK215" s="56"/>
    </row>
    <row r="216" spans="1:37" x14ac:dyDescent="0.25">
      <c r="A216" s="163" t="s">
        <v>85</v>
      </c>
      <c r="B216" s="97">
        <f t="shared" si="31"/>
        <v>0</v>
      </c>
      <c r="C216" s="97">
        <v>1.5</v>
      </c>
      <c r="D216" s="97">
        <f t="shared" si="32"/>
        <v>1.5</v>
      </c>
      <c r="E216" s="97">
        <f t="shared" si="32"/>
        <v>1.5</v>
      </c>
      <c r="F216" s="97">
        <f t="shared" si="32"/>
        <v>1.5</v>
      </c>
      <c r="G216" s="97">
        <f t="shared" si="32"/>
        <v>1.5</v>
      </c>
      <c r="H216" s="97">
        <f t="shared" si="32"/>
        <v>1.5</v>
      </c>
      <c r="I216" s="97">
        <f t="shared" si="32"/>
        <v>1.5</v>
      </c>
      <c r="J216" s="97">
        <f t="shared" si="32"/>
        <v>1.5</v>
      </c>
      <c r="K216" s="97">
        <f t="shared" si="32"/>
        <v>1.5</v>
      </c>
      <c r="L216" s="97">
        <f t="shared" si="32"/>
        <v>1.5</v>
      </c>
      <c r="M216" s="97">
        <f t="shared" si="32"/>
        <v>1.5</v>
      </c>
      <c r="N216" s="97">
        <f t="shared" si="32"/>
        <v>1.5</v>
      </c>
      <c r="O216" s="97">
        <f t="shared" si="32"/>
        <v>1.5</v>
      </c>
      <c r="P216" s="97">
        <f t="shared" si="32"/>
        <v>1.5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1.5</v>
      </c>
      <c r="AH216" s="54"/>
      <c r="AI216" s="55"/>
      <c r="AK216" s="56"/>
    </row>
    <row r="217" spans="1:37" x14ac:dyDescent="0.25">
      <c r="A217" s="163" t="s">
        <v>86</v>
      </c>
      <c r="B217" s="97">
        <f t="shared" si="31"/>
        <v>0</v>
      </c>
      <c r="C217" s="97">
        <v>0.3</v>
      </c>
      <c r="D217" s="97">
        <f t="shared" si="32"/>
        <v>0.3</v>
      </c>
      <c r="E217" s="97">
        <f t="shared" si="32"/>
        <v>0.3</v>
      </c>
      <c r="F217" s="97">
        <f t="shared" si="32"/>
        <v>0.3</v>
      </c>
      <c r="G217" s="97">
        <f t="shared" si="32"/>
        <v>0.3</v>
      </c>
      <c r="H217" s="97">
        <f t="shared" si="32"/>
        <v>0.3</v>
      </c>
      <c r="I217" s="97">
        <f t="shared" si="32"/>
        <v>0.3</v>
      </c>
      <c r="J217" s="97">
        <f t="shared" si="32"/>
        <v>0.3</v>
      </c>
      <c r="K217" s="97">
        <f t="shared" si="32"/>
        <v>0.3</v>
      </c>
      <c r="L217" s="97">
        <f t="shared" si="32"/>
        <v>0.3</v>
      </c>
      <c r="M217" s="97">
        <f t="shared" si="32"/>
        <v>0.3</v>
      </c>
      <c r="N217" s="97">
        <f t="shared" si="32"/>
        <v>0.3</v>
      </c>
      <c r="O217" s="97">
        <f t="shared" si="32"/>
        <v>0.3</v>
      </c>
      <c r="P217" s="97">
        <f t="shared" si="32"/>
        <v>0.3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</v>
      </c>
      <c r="AH217" s="54"/>
      <c r="AI217" s="55"/>
      <c r="AK217" s="56"/>
    </row>
    <row r="218" spans="1:37" x14ac:dyDescent="0.25">
      <c r="A218" s="163" t="s">
        <v>87</v>
      </c>
      <c r="B218" s="97">
        <f t="shared" si="31"/>
        <v>0</v>
      </c>
      <c r="C218" s="97">
        <v>0.4</v>
      </c>
      <c r="D218" s="97">
        <f t="shared" si="32"/>
        <v>0.4</v>
      </c>
      <c r="E218" s="97">
        <f t="shared" si="32"/>
        <v>0.4</v>
      </c>
      <c r="F218" s="97">
        <f t="shared" si="32"/>
        <v>0.4</v>
      </c>
      <c r="G218" s="97">
        <f t="shared" si="32"/>
        <v>0.4</v>
      </c>
      <c r="H218" s="97">
        <f t="shared" si="32"/>
        <v>0.4</v>
      </c>
      <c r="I218" s="97">
        <f t="shared" si="32"/>
        <v>0.4</v>
      </c>
      <c r="J218" s="97">
        <f t="shared" si="32"/>
        <v>0.4</v>
      </c>
      <c r="K218" s="97">
        <f t="shared" si="32"/>
        <v>0.4</v>
      </c>
      <c r="L218" s="97">
        <f t="shared" si="32"/>
        <v>0.4</v>
      </c>
      <c r="M218" s="97">
        <f t="shared" si="32"/>
        <v>0.4</v>
      </c>
      <c r="N218" s="97">
        <f t="shared" si="32"/>
        <v>0.4</v>
      </c>
      <c r="O218" s="97">
        <f t="shared" si="32"/>
        <v>0.4</v>
      </c>
      <c r="P218" s="97">
        <f t="shared" si="32"/>
        <v>0.4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ht="15.75" thickBot="1" x14ac:dyDescent="0.3">
      <c r="A219" s="164" t="s">
        <v>88</v>
      </c>
      <c r="B219" s="102">
        <f t="shared" si="31"/>
        <v>0</v>
      </c>
      <c r="C219" s="102">
        <v>0.64</v>
      </c>
      <c r="D219" s="102">
        <f t="shared" si="32"/>
        <v>0.64</v>
      </c>
      <c r="E219" s="102">
        <f t="shared" si="32"/>
        <v>0.64</v>
      </c>
      <c r="F219" s="102">
        <f t="shared" si="32"/>
        <v>0.64</v>
      </c>
      <c r="G219" s="102">
        <f t="shared" si="32"/>
        <v>0.64</v>
      </c>
      <c r="H219" s="102">
        <f t="shared" si="32"/>
        <v>0.64</v>
      </c>
      <c r="I219" s="102">
        <f t="shared" si="32"/>
        <v>0.64</v>
      </c>
      <c r="J219" s="102">
        <f t="shared" si="32"/>
        <v>0.64</v>
      </c>
      <c r="K219" s="102">
        <f t="shared" si="32"/>
        <v>0.64</v>
      </c>
      <c r="L219" s="102">
        <f t="shared" si="32"/>
        <v>0.64</v>
      </c>
      <c r="M219" s="102">
        <f t="shared" si="32"/>
        <v>0.64</v>
      </c>
      <c r="N219" s="102">
        <f t="shared" si="32"/>
        <v>0.64</v>
      </c>
      <c r="O219" s="102">
        <f t="shared" si="32"/>
        <v>0.64</v>
      </c>
      <c r="P219" s="102">
        <f t="shared" si="32"/>
        <v>0.64</v>
      </c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57">
        <v>0.66</v>
      </c>
      <c r="AH219" s="54"/>
      <c r="AI219" s="55"/>
    </row>
    <row r="220" spans="1:37" ht="15.75" thickBot="1" x14ac:dyDescent="0.3">
      <c r="A220" s="173" t="s">
        <v>35</v>
      </c>
      <c r="B220" s="103">
        <f>SUM(B214:B219)</f>
        <v>0</v>
      </c>
      <c r="C220" s="103">
        <f>SUM(C214:C219)</f>
        <v>3.54</v>
      </c>
      <c r="D220" s="103">
        <f t="shared" ref="D220:L220" si="33">SUM(D214:D219)</f>
        <v>3.54</v>
      </c>
      <c r="E220" s="103">
        <f t="shared" si="33"/>
        <v>3.54</v>
      </c>
      <c r="F220" s="103">
        <f t="shared" si="33"/>
        <v>3.54</v>
      </c>
      <c r="G220" s="103">
        <f t="shared" si="33"/>
        <v>3.54</v>
      </c>
      <c r="H220" s="103">
        <f t="shared" si="33"/>
        <v>3.54</v>
      </c>
      <c r="I220" s="103">
        <f t="shared" si="33"/>
        <v>3.54</v>
      </c>
      <c r="J220" s="103">
        <f t="shared" si="33"/>
        <v>3.54</v>
      </c>
      <c r="K220" s="103">
        <f t="shared" si="33"/>
        <v>3.54</v>
      </c>
      <c r="L220" s="103">
        <f t="shared" si="33"/>
        <v>3.54</v>
      </c>
      <c r="M220" s="103">
        <f>SUM(M214:M219)</f>
        <v>3.54</v>
      </c>
      <c r="N220" s="103">
        <f t="shared" ref="N220:S220" si="34">SUM(N214:N219)</f>
        <v>3.54</v>
      </c>
      <c r="O220" s="103">
        <f t="shared" si="34"/>
        <v>3.54</v>
      </c>
      <c r="P220" s="103">
        <f t="shared" si="34"/>
        <v>3.54</v>
      </c>
      <c r="Q220" s="103">
        <f t="shared" si="34"/>
        <v>0</v>
      </c>
      <c r="R220" s="103">
        <f t="shared" si="34"/>
        <v>0</v>
      </c>
      <c r="S220" s="103">
        <f t="shared" si="34"/>
        <v>0</v>
      </c>
      <c r="T220" s="103">
        <f>SUM(T214:T219)</f>
        <v>0</v>
      </c>
      <c r="U220" s="103">
        <f t="shared" ref="U220:AG220" si="35">SUM(U214:U219)</f>
        <v>0</v>
      </c>
      <c r="V220" s="103">
        <f t="shared" si="35"/>
        <v>0</v>
      </c>
      <c r="W220" s="103">
        <f t="shared" si="35"/>
        <v>0</v>
      </c>
      <c r="X220" s="103">
        <f t="shared" si="35"/>
        <v>0</v>
      </c>
      <c r="Y220" s="103">
        <f t="shared" si="35"/>
        <v>0</v>
      </c>
      <c r="Z220" s="103">
        <f t="shared" si="35"/>
        <v>0</v>
      </c>
      <c r="AA220" s="103">
        <f t="shared" si="35"/>
        <v>0</v>
      </c>
      <c r="AB220" s="103">
        <f t="shared" si="35"/>
        <v>0</v>
      </c>
      <c r="AC220" s="103">
        <f t="shared" si="35"/>
        <v>0</v>
      </c>
      <c r="AD220" s="103">
        <f t="shared" si="35"/>
        <v>0</v>
      </c>
      <c r="AE220" s="103">
        <f t="shared" si="35"/>
        <v>0</v>
      </c>
      <c r="AF220" s="103">
        <f t="shared" si="35"/>
        <v>0</v>
      </c>
      <c r="AG220" s="158">
        <f t="shared" si="35"/>
        <v>8.56</v>
      </c>
      <c r="AH220" s="54"/>
      <c r="AI220" s="55"/>
    </row>
    <row r="221" spans="1:37" ht="15.75" thickBot="1" x14ac:dyDescent="0.3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84"/>
      <c r="AH221" s="47"/>
    </row>
    <row r="222" spans="1:37" x14ac:dyDescent="0.25">
      <c r="A222" s="79" t="s">
        <v>89</v>
      </c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5"/>
      <c r="AG222" s="47"/>
      <c r="AH222" s="54"/>
      <c r="AI222" s="55"/>
    </row>
    <row r="223" spans="1:37" x14ac:dyDescent="0.25">
      <c r="A223" s="106" t="s">
        <v>90</v>
      </c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8"/>
      <c r="AG223" s="109"/>
      <c r="AH223" s="54"/>
      <c r="AI223" s="55"/>
    </row>
    <row r="224" spans="1:37" x14ac:dyDescent="0.25">
      <c r="A224" s="81" t="s">
        <v>91</v>
      </c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1"/>
      <c r="AG224" s="109"/>
      <c r="AH224" s="54"/>
      <c r="AI224" s="55"/>
    </row>
    <row r="225" spans="1:50" x14ac:dyDescent="0.25">
      <c r="A225" s="81" t="s">
        <v>92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ht="15.75" thickBot="1" x14ac:dyDescent="0.3">
      <c r="A226" s="112" t="s">
        <v>93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4"/>
      <c r="AG226" s="109"/>
      <c r="AH226" s="54"/>
      <c r="AI226" s="55"/>
    </row>
    <row r="227" spans="1:50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50" x14ac:dyDescent="0.25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50" x14ac:dyDescent="0.25">
      <c r="A229" s="115" t="s">
        <v>94</v>
      </c>
      <c r="B229" s="116">
        <f>MAX(G79:N79)</f>
        <v>1748.34</v>
      </c>
      <c r="C229" s="117">
        <f>INDEX(G9:N9,1,MATCH(MAX(G79:N79),G79:N79,0))</f>
        <v>0.33333333333333331</v>
      </c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50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118" t="str">
        <f ca="1">MID(CELL("filename",C7),FIND("]",CELL("filename",C7))+1,600)</f>
        <v>11</v>
      </c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50" x14ac:dyDescent="0.25">
      <c r="A231" s="208" t="s">
        <v>95</v>
      </c>
      <c r="B231" s="208"/>
      <c r="C231" s="47"/>
      <c r="D231" s="118" t="str">
        <f ca="1">"Pie Chart of Daily Peak Demand(Inclusive of Export) of Nepal ("&amp;A4&amp;" "&amp;B4&amp;")"</f>
        <v>Pie Chart of Daily Peak Demand(Inclusive of Export) of Nepal (Nepali Date: 2079/02/11)</v>
      </c>
      <c r="E231" s="47"/>
      <c r="F231" s="47"/>
      <c r="G231" s="118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118" t="str">
        <f ca="1">"Daily Load Curve(Excluding of Export) of Nepal ("&amp;A4&amp;" "&amp;B4&amp;")"</f>
        <v>Daily Load Curve(Excluding of Export) of Nepal (Nepali Date: 2079/02/11)</v>
      </c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50" ht="12.75" customHeight="1" thickBot="1" x14ac:dyDescent="0.3">
      <c r="A232" s="119" t="s">
        <v>7</v>
      </c>
      <c r="B232" s="120"/>
      <c r="C232" s="47"/>
      <c r="D232" s="121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50" ht="15.75" thickTop="1" x14ac:dyDescent="0.25">
      <c r="A233" s="119" t="s">
        <v>96</v>
      </c>
      <c r="B233" s="120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122" t="s">
        <v>97</v>
      </c>
      <c r="T233" s="123">
        <v>0</v>
      </c>
      <c r="U233" s="124">
        <v>4.1666666666666664E-2</v>
      </c>
      <c r="V233" s="125">
        <v>8.3333333333333301E-2</v>
      </c>
      <c r="W233" s="125">
        <v>0.125</v>
      </c>
      <c r="X233" s="125">
        <v>0.16666666666666699</v>
      </c>
      <c r="Y233" s="125">
        <v>0.20833333333333301</v>
      </c>
      <c r="Z233" s="125">
        <v>0.22916666666666666</v>
      </c>
      <c r="AA233" s="125">
        <v>0.25</v>
      </c>
      <c r="AB233" s="125">
        <v>0.27083333333333331</v>
      </c>
      <c r="AC233" s="125">
        <v>0.29166666666666669</v>
      </c>
      <c r="AD233" s="125">
        <v>0.3125</v>
      </c>
      <c r="AE233" s="126">
        <v>0.33333333333333331</v>
      </c>
      <c r="AF233" s="126">
        <v>0.375</v>
      </c>
      <c r="AG233" s="126">
        <v>0.41666666666666702</v>
      </c>
      <c r="AH233" s="126">
        <v>0.45833333333333298</v>
      </c>
      <c r="AI233" s="126">
        <v>0.5</v>
      </c>
      <c r="AJ233" s="126">
        <v>0.54166666666666696</v>
      </c>
      <c r="AK233" s="126">
        <v>0.58333333333333304</v>
      </c>
      <c r="AL233" s="126">
        <v>0.625</v>
      </c>
      <c r="AM233" s="126">
        <v>0.66666666666666696</v>
      </c>
      <c r="AN233" s="126">
        <v>0.70833333333333304</v>
      </c>
      <c r="AO233" s="126">
        <v>0.72916666666666663</v>
      </c>
      <c r="AP233" s="126">
        <v>0.75</v>
      </c>
      <c r="AQ233" s="126">
        <v>0.77083333333333337</v>
      </c>
      <c r="AR233" s="126">
        <v>0.79166666666666663</v>
      </c>
      <c r="AS233" s="126">
        <v>0.8125</v>
      </c>
      <c r="AT233" s="125">
        <v>0.83333333333333337</v>
      </c>
      <c r="AU233" s="125">
        <v>0.85416666666666663</v>
      </c>
      <c r="AV233" s="125">
        <v>0.875</v>
      </c>
      <c r="AW233" s="125">
        <v>0.91666666666666696</v>
      </c>
      <c r="AX233" s="125">
        <v>0.95833333333333304</v>
      </c>
    </row>
    <row r="234" spans="1:50" x14ac:dyDescent="0.25">
      <c r="A234" s="119" t="s">
        <v>98</v>
      </c>
      <c r="B234" s="120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 t="s">
        <v>99</v>
      </c>
      <c r="T234" s="127">
        <f t="shared" ref="T234:AX234" si="36">B79</f>
        <v>1783.54</v>
      </c>
      <c r="U234" s="127">
        <f t="shared" si="36"/>
        <v>1770.04</v>
      </c>
      <c r="V234" s="127">
        <f t="shared" si="36"/>
        <v>1740.94</v>
      </c>
      <c r="W234" s="127">
        <f t="shared" si="36"/>
        <v>1715.44</v>
      </c>
      <c r="X234" s="127">
        <f t="shared" si="36"/>
        <v>1713.64</v>
      </c>
      <c r="Y234" s="127">
        <f t="shared" si="36"/>
        <v>1713.64</v>
      </c>
      <c r="Z234" s="127">
        <f t="shared" si="36"/>
        <v>1713.64</v>
      </c>
      <c r="AA234" s="127">
        <f t="shared" si="36"/>
        <v>1690.34</v>
      </c>
      <c r="AB234" s="127">
        <f t="shared" si="36"/>
        <v>1694.04</v>
      </c>
      <c r="AC234" s="127">
        <f t="shared" si="36"/>
        <v>1704.6399999999999</v>
      </c>
      <c r="AD234" s="127">
        <f t="shared" si="36"/>
        <v>1725.94</v>
      </c>
      <c r="AE234" s="127">
        <f t="shared" si="36"/>
        <v>1748.34</v>
      </c>
      <c r="AF234" s="127">
        <f t="shared" si="36"/>
        <v>1745.14</v>
      </c>
      <c r="AG234" s="127">
        <f t="shared" si="36"/>
        <v>1765.04</v>
      </c>
      <c r="AH234" s="127">
        <f t="shared" si="36"/>
        <v>1702.34</v>
      </c>
      <c r="AI234" s="127">
        <f t="shared" si="36"/>
        <v>1735.0399999999997</v>
      </c>
      <c r="AJ234" s="127">
        <f t="shared" si="36"/>
        <v>1727.54</v>
      </c>
      <c r="AK234" s="127">
        <f t="shared" si="36"/>
        <v>1716.04</v>
      </c>
      <c r="AL234" s="127">
        <f t="shared" si="36"/>
        <v>1750.14</v>
      </c>
      <c r="AM234" s="127">
        <f t="shared" si="36"/>
        <v>1750.14</v>
      </c>
      <c r="AN234" s="127">
        <f t="shared" si="36"/>
        <v>1782.24</v>
      </c>
      <c r="AO234" s="127">
        <f t="shared" si="36"/>
        <v>1784.24</v>
      </c>
      <c r="AP234" s="127">
        <f t="shared" si="36"/>
        <v>1784.24</v>
      </c>
      <c r="AQ234" s="127">
        <f t="shared" si="36"/>
        <v>1775.24</v>
      </c>
      <c r="AR234" s="127">
        <f t="shared" si="36"/>
        <v>1777.24</v>
      </c>
      <c r="AS234" s="127">
        <f t="shared" si="36"/>
        <v>1802.14</v>
      </c>
      <c r="AT234" s="127">
        <f t="shared" si="36"/>
        <v>1815.74</v>
      </c>
      <c r="AU234" s="127">
        <f t="shared" si="36"/>
        <v>1781.34</v>
      </c>
      <c r="AV234" s="127">
        <f t="shared" si="36"/>
        <v>1818.04</v>
      </c>
      <c r="AW234" s="127">
        <f t="shared" si="36"/>
        <v>1778.1399999999999</v>
      </c>
      <c r="AX234" s="127">
        <f t="shared" si="36"/>
        <v>1668.3400000000001</v>
      </c>
    </row>
    <row r="235" spans="1:50" x14ac:dyDescent="0.25">
      <c r="A235" s="119" t="s">
        <v>100</v>
      </c>
      <c r="B235" s="120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</row>
    <row r="236" spans="1:50" x14ac:dyDescent="0.25">
      <c r="A236" s="119" t="s">
        <v>101</v>
      </c>
      <c r="B236" s="120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</row>
    <row r="237" spans="1:50" x14ac:dyDescent="0.25">
      <c r="A237" s="119" t="s">
        <v>102</v>
      </c>
      <c r="B237" s="120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50" x14ac:dyDescent="0.25">
      <c r="A238" s="119" t="s">
        <v>103</v>
      </c>
      <c r="B238" s="128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50" x14ac:dyDescent="0.25">
      <c r="A239" s="119" t="s">
        <v>104</v>
      </c>
      <c r="B239" s="120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50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1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1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1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1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1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</row>
    <row r="246" spans="1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J246"/>
    </row>
    <row r="247" spans="1:36" x14ac:dyDescent="0.25"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J247"/>
    </row>
    <row r="248" spans="1:36" x14ac:dyDescent="0.25"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J248"/>
    </row>
    <row r="249" spans="1:36" x14ac:dyDescent="0.25"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J249"/>
    </row>
    <row r="250" spans="1:36" x14ac:dyDescent="0.25"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J250"/>
    </row>
    <row r="251" spans="1:36" x14ac:dyDescent="0.25"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J251"/>
    </row>
    <row r="252" spans="1:36" x14ac:dyDescent="0.25"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J252"/>
    </row>
    <row r="253" spans="1:36" x14ac:dyDescent="0.25"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J253"/>
    </row>
    <row r="254" spans="1:36" x14ac:dyDescent="0.25"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J254"/>
    </row>
    <row r="255" spans="1:36" x14ac:dyDescent="0.25">
      <c r="A255" s="129" t="s">
        <v>89</v>
      </c>
      <c r="B255" s="130">
        <f t="shared" ref="B255:AE255" si="37">C219</f>
        <v>0.64</v>
      </c>
      <c r="C255" s="130">
        <f t="shared" si="37"/>
        <v>0.64</v>
      </c>
      <c r="D255" s="130">
        <f t="shared" si="37"/>
        <v>0.64</v>
      </c>
      <c r="E255" s="130">
        <f t="shared" si="37"/>
        <v>0.64</v>
      </c>
      <c r="F255" s="130">
        <f t="shared" si="37"/>
        <v>0.64</v>
      </c>
      <c r="G255" s="130">
        <f t="shared" si="37"/>
        <v>0.64</v>
      </c>
      <c r="H255" s="130">
        <f t="shared" si="37"/>
        <v>0.64</v>
      </c>
      <c r="I255" s="130">
        <f t="shared" si="37"/>
        <v>0.64</v>
      </c>
      <c r="J255" s="130">
        <f t="shared" si="37"/>
        <v>0.64</v>
      </c>
      <c r="K255" s="130">
        <f t="shared" si="37"/>
        <v>0.64</v>
      </c>
      <c r="L255" s="130">
        <f t="shared" si="37"/>
        <v>0.64</v>
      </c>
      <c r="M255" s="130">
        <f t="shared" si="37"/>
        <v>0.64</v>
      </c>
      <c r="N255" s="130">
        <f t="shared" si="37"/>
        <v>0.64</v>
      </c>
      <c r="O255" s="130">
        <f t="shared" si="37"/>
        <v>0.64</v>
      </c>
      <c r="P255" s="130">
        <f t="shared" si="37"/>
        <v>0</v>
      </c>
      <c r="Q255" s="130">
        <f t="shared" si="37"/>
        <v>0</v>
      </c>
      <c r="R255" s="130">
        <f t="shared" si="37"/>
        <v>0</v>
      </c>
      <c r="S255" s="130">
        <f t="shared" si="37"/>
        <v>0</v>
      </c>
      <c r="T255" s="130">
        <f t="shared" si="37"/>
        <v>0</v>
      </c>
      <c r="U255" s="130">
        <f t="shared" si="37"/>
        <v>0</v>
      </c>
      <c r="V255" s="130">
        <f t="shared" si="37"/>
        <v>0</v>
      </c>
      <c r="W255" s="130">
        <f t="shared" si="37"/>
        <v>0</v>
      </c>
      <c r="X255" s="130">
        <f t="shared" si="37"/>
        <v>0</v>
      </c>
      <c r="Y255" s="130">
        <f t="shared" si="37"/>
        <v>0</v>
      </c>
      <c r="Z255" s="130">
        <f t="shared" si="37"/>
        <v>0</v>
      </c>
      <c r="AA255" s="130">
        <f t="shared" si="37"/>
        <v>0</v>
      </c>
      <c r="AB255" s="130">
        <f t="shared" si="37"/>
        <v>0</v>
      </c>
      <c r="AC255" s="130">
        <f t="shared" si="37"/>
        <v>0</v>
      </c>
      <c r="AD255" s="130">
        <f t="shared" si="37"/>
        <v>0</v>
      </c>
      <c r="AE255" s="130">
        <f t="shared" si="37"/>
        <v>0</v>
      </c>
      <c r="AF255" s="130">
        <f>B219</f>
        <v>0</v>
      </c>
      <c r="AG255" s="47"/>
      <c r="AH255" s="47"/>
      <c r="AJ255"/>
    </row>
    <row r="256" spans="1:36" x14ac:dyDescent="0.25">
      <c r="A256" s="88" t="str">
        <f>A223</f>
        <v>KGA</v>
      </c>
      <c r="B256" s="88" t="str">
        <f>IF(B223&lt;100,"",B223-520)</f>
        <v/>
      </c>
      <c r="C256" s="88" t="str">
        <f t="shared" ref="C256:AF256" si="38">IF(C223&lt;100,"",C223-520)</f>
        <v/>
      </c>
      <c r="D256" s="88" t="str">
        <f t="shared" si="38"/>
        <v/>
      </c>
      <c r="E256" s="88" t="str">
        <f t="shared" si="38"/>
        <v/>
      </c>
      <c r="F256" s="88" t="str">
        <f t="shared" si="38"/>
        <v/>
      </c>
      <c r="G256" s="88" t="str">
        <f t="shared" si="38"/>
        <v/>
      </c>
      <c r="H256" s="88" t="str">
        <f t="shared" si="38"/>
        <v/>
      </c>
      <c r="I256" s="88" t="str">
        <f t="shared" si="38"/>
        <v/>
      </c>
      <c r="J256" s="88" t="str">
        <f t="shared" si="38"/>
        <v/>
      </c>
      <c r="K256" s="88" t="str">
        <f t="shared" si="38"/>
        <v/>
      </c>
      <c r="L256" s="88" t="str">
        <f t="shared" si="38"/>
        <v/>
      </c>
      <c r="M256" s="88" t="str">
        <f t="shared" si="38"/>
        <v/>
      </c>
      <c r="N256" s="88" t="str">
        <f t="shared" si="38"/>
        <v/>
      </c>
      <c r="O256" s="88" t="str">
        <f t="shared" si="38"/>
        <v/>
      </c>
      <c r="P256" s="88" t="str">
        <f t="shared" si="38"/>
        <v/>
      </c>
      <c r="Q256" s="88" t="str">
        <f t="shared" si="38"/>
        <v/>
      </c>
      <c r="R256" s="88" t="str">
        <f t="shared" si="38"/>
        <v/>
      </c>
      <c r="S256" s="88" t="str">
        <f t="shared" si="38"/>
        <v/>
      </c>
      <c r="T256" s="88" t="str">
        <f t="shared" si="38"/>
        <v/>
      </c>
      <c r="U256" s="88" t="str">
        <f t="shared" si="38"/>
        <v/>
      </c>
      <c r="V256" s="88" t="str">
        <f t="shared" si="38"/>
        <v/>
      </c>
      <c r="W256" s="88" t="str">
        <f t="shared" si="38"/>
        <v/>
      </c>
      <c r="X256" s="88" t="str">
        <f t="shared" si="38"/>
        <v/>
      </c>
      <c r="Y256" s="88" t="str">
        <f t="shared" si="38"/>
        <v/>
      </c>
      <c r="Z256" s="88" t="str">
        <f t="shared" si="38"/>
        <v/>
      </c>
      <c r="AA256" s="88" t="str">
        <f t="shared" si="38"/>
        <v/>
      </c>
      <c r="AB256" s="88" t="str">
        <f t="shared" si="38"/>
        <v/>
      </c>
      <c r="AC256" s="88" t="str">
        <f t="shared" si="38"/>
        <v/>
      </c>
      <c r="AD256" s="88" t="str">
        <f t="shared" si="38"/>
        <v/>
      </c>
      <c r="AE256" s="88" t="str">
        <f t="shared" si="38"/>
        <v/>
      </c>
      <c r="AF256" s="88" t="str">
        <f t="shared" si="38"/>
        <v/>
      </c>
      <c r="AG256" s="47"/>
      <c r="AH256" s="47"/>
      <c r="AJ256"/>
    </row>
    <row r="257" spans="1:36" x14ac:dyDescent="0.25">
      <c r="A257" s="88" t="str">
        <f>A224</f>
        <v>MMRS</v>
      </c>
      <c r="B257" s="88" t="str">
        <f t="shared" ref="B257:AF257" si="39">IF(B224&lt;100,"",B224-620)</f>
        <v/>
      </c>
      <c r="C257" s="88" t="str">
        <f t="shared" si="39"/>
        <v/>
      </c>
      <c r="D257" s="88" t="str">
        <f t="shared" si="39"/>
        <v/>
      </c>
      <c r="E257" s="88" t="str">
        <f t="shared" si="39"/>
        <v/>
      </c>
      <c r="F257" s="88" t="str">
        <f t="shared" si="39"/>
        <v/>
      </c>
      <c r="G257" s="88" t="str">
        <f t="shared" si="39"/>
        <v/>
      </c>
      <c r="H257" s="88" t="str">
        <f t="shared" si="39"/>
        <v/>
      </c>
      <c r="I257" s="88" t="str">
        <f t="shared" si="39"/>
        <v/>
      </c>
      <c r="J257" s="88" t="str">
        <f t="shared" si="39"/>
        <v/>
      </c>
      <c r="K257" s="88" t="str">
        <f t="shared" si="39"/>
        <v/>
      </c>
      <c r="L257" s="88" t="str">
        <f t="shared" si="39"/>
        <v/>
      </c>
      <c r="M257" s="88" t="str">
        <f t="shared" si="39"/>
        <v/>
      </c>
      <c r="N257" s="88" t="str">
        <f t="shared" si="39"/>
        <v/>
      </c>
      <c r="O257" s="88" t="str">
        <f t="shared" si="39"/>
        <v/>
      </c>
      <c r="P257" s="88" t="str">
        <f t="shared" si="39"/>
        <v/>
      </c>
      <c r="Q257" s="88" t="str">
        <f t="shared" si="39"/>
        <v/>
      </c>
      <c r="R257" s="88" t="str">
        <f t="shared" si="39"/>
        <v/>
      </c>
      <c r="S257" s="88" t="str">
        <f t="shared" si="39"/>
        <v/>
      </c>
      <c r="T257" s="88" t="str">
        <f t="shared" si="39"/>
        <v/>
      </c>
      <c r="U257" s="88" t="str">
        <f t="shared" si="39"/>
        <v/>
      </c>
      <c r="V257" s="88" t="str">
        <f t="shared" si="39"/>
        <v/>
      </c>
      <c r="W257" s="88" t="str">
        <f t="shared" si="39"/>
        <v/>
      </c>
      <c r="X257" s="88" t="str">
        <f t="shared" si="39"/>
        <v/>
      </c>
      <c r="Y257" s="88" t="str">
        <f t="shared" si="39"/>
        <v/>
      </c>
      <c r="Z257" s="88" t="str">
        <f t="shared" si="39"/>
        <v/>
      </c>
      <c r="AA257" s="88" t="str">
        <f t="shared" si="39"/>
        <v/>
      </c>
      <c r="AB257" s="88" t="str">
        <f t="shared" si="39"/>
        <v/>
      </c>
      <c r="AC257" s="88" t="str">
        <f t="shared" si="39"/>
        <v/>
      </c>
      <c r="AD257" s="88" t="str">
        <f t="shared" si="39"/>
        <v/>
      </c>
      <c r="AE257" s="88" t="str">
        <f t="shared" si="39"/>
        <v/>
      </c>
      <c r="AF257" s="88" t="str">
        <f t="shared" si="39"/>
        <v/>
      </c>
      <c r="AG257" s="47"/>
      <c r="AH257" s="47"/>
      <c r="AJ257"/>
    </row>
    <row r="258" spans="1:36" x14ac:dyDescent="0.25">
      <c r="A258" s="88" t="str">
        <f>A225</f>
        <v>MRS</v>
      </c>
      <c r="B258" s="88" t="str">
        <f t="shared" ref="B258:AF258" si="40">IF(B225&lt;100,"",B225-330)</f>
        <v/>
      </c>
      <c r="C258" s="88" t="str">
        <f t="shared" si="40"/>
        <v/>
      </c>
      <c r="D258" s="88" t="str">
        <f t="shared" si="40"/>
        <v/>
      </c>
      <c r="E258" s="88" t="str">
        <f t="shared" si="40"/>
        <v/>
      </c>
      <c r="F258" s="88" t="str">
        <f t="shared" si="40"/>
        <v/>
      </c>
      <c r="G258" s="88" t="str">
        <f t="shared" si="40"/>
        <v/>
      </c>
      <c r="H258" s="88" t="str">
        <f t="shared" si="40"/>
        <v/>
      </c>
      <c r="I258" s="88" t="str">
        <f t="shared" si="40"/>
        <v/>
      </c>
      <c r="J258" s="88" t="str">
        <f t="shared" si="40"/>
        <v/>
      </c>
      <c r="K258" s="88" t="str">
        <f t="shared" si="40"/>
        <v/>
      </c>
      <c r="L258" s="88" t="str">
        <f t="shared" si="40"/>
        <v/>
      </c>
      <c r="M258" s="88" t="str">
        <f t="shared" si="40"/>
        <v/>
      </c>
      <c r="N258" s="88" t="str">
        <f t="shared" si="40"/>
        <v/>
      </c>
      <c r="O258" s="88" t="str">
        <f t="shared" si="40"/>
        <v/>
      </c>
      <c r="P258" s="88" t="str">
        <f t="shared" si="40"/>
        <v/>
      </c>
      <c r="Q258" s="88" t="str">
        <f t="shared" si="40"/>
        <v/>
      </c>
      <c r="R258" s="88" t="str">
        <f t="shared" si="40"/>
        <v/>
      </c>
      <c r="S258" s="88" t="str">
        <f t="shared" si="40"/>
        <v/>
      </c>
      <c r="T258" s="88" t="str">
        <f t="shared" si="40"/>
        <v/>
      </c>
      <c r="U258" s="88" t="str">
        <f t="shared" si="40"/>
        <v/>
      </c>
      <c r="V258" s="88" t="str">
        <f t="shared" si="40"/>
        <v/>
      </c>
      <c r="W258" s="88" t="str">
        <f t="shared" si="40"/>
        <v/>
      </c>
      <c r="X258" s="88" t="str">
        <f t="shared" si="40"/>
        <v/>
      </c>
      <c r="Y258" s="88" t="str">
        <f t="shared" si="40"/>
        <v/>
      </c>
      <c r="Z258" s="88" t="str">
        <f t="shared" si="40"/>
        <v/>
      </c>
      <c r="AA258" s="88" t="str">
        <f t="shared" si="40"/>
        <v/>
      </c>
      <c r="AB258" s="88" t="str">
        <f t="shared" si="40"/>
        <v/>
      </c>
      <c r="AC258" s="88" t="str">
        <f t="shared" si="40"/>
        <v/>
      </c>
      <c r="AD258" s="88" t="str">
        <f t="shared" si="40"/>
        <v/>
      </c>
      <c r="AE258" s="88" t="str">
        <f t="shared" si="40"/>
        <v/>
      </c>
      <c r="AF258" s="88" t="str">
        <f t="shared" si="40"/>
        <v/>
      </c>
      <c r="AG258" s="47"/>
      <c r="AH258" s="47"/>
      <c r="AJ258"/>
    </row>
    <row r="259" spans="1:36" x14ac:dyDescent="0.25">
      <c r="A259" s="88" t="str">
        <f>A226</f>
        <v>KL 1</v>
      </c>
      <c r="B259" s="88" t="str">
        <f>IF(B226&lt;100,"",B226-1500)</f>
        <v/>
      </c>
      <c r="C259" s="88" t="str">
        <f t="shared" ref="C259:AF259" si="41">IF(C226&lt;100,"",C226-1500)</f>
        <v/>
      </c>
      <c r="D259" s="88" t="str">
        <f t="shared" si="41"/>
        <v/>
      </c>
      <c r="E259" s="88" t="str">
        <f t="shared" si="41"/>
        <v/>
      </c>
      <c r="F259" s="88" t="str">
        <f t="shared" si="41"/>
        <v/>
      </c>
      <c r="G259" s="88" t="str">
        <f t="shared" si="41"/>
        <v/>
      </c>
      <c r="H259" s="88" t="str">
        <f t="shared" si="41"/>
        <v/>
      </c>
      <c r="I259" s="88" t="str">
        <f t="shared" si="41"/>
        <v/>
      </c>
      <c r="J259" s="88" t="str">
        <f t="shared" si="41"/>
        <v/>
      </c>
      <c r="K259" s="88" t="str">
        <f t="shared" si="41"/>
        <v/>
      </c>
      <c r="L259" s="88" t="str">
        <f t="shared" si="41"/>
        <v/>
      </c>
      <c r="M259" s="88" t="str">
        <f t="shared" si="41"/>
        <v/>
      </c>
      <c r="N259" s="88" t="str">
        <f t="shared" si="41"/>
        <v/>
      </c>
      <c r="O259" s="88" t="str">
        <f t="shared" si="41"/>
        <v/>
      </c>
      <c r="P259" s="88" t="str">
        <f t="shared" si="41"/>
        <v/>
      </c>
      <c r="Q259" s="88" t="str">
        <f t="shared" si="41"/>
        <v/>
      </c>
      <c r="R259" s="88" t="str">
        <f t="shared" si="41"/>
        <v/>
      </c>
      <c r="S259" s="88" t="str">
        <f t="shared" si="41"/>
        <v/>
      </c>
      <c r="T259" s="88" t="str">
        <f t="shared" si="41"/>
        <v/>
      </c>
      <c r="U259" s="88" t="str">
        <f t="shared" si="41"/>
        <v/>
      </c>
      <c r="V259" s="88" t="str">
        <f t="shared" si="41"/>
        <v/>
      </c>
      <c r="W259" s="88" t="str">
        <f t="shared" si="41"/>
        <v/>
      </c>
      <c r="X259" s="88" t="str">
        <f t="shared" si="41"/>
        <v/>
      </c>
      <c r="Y259" s="88" t="str">
        <f t="shared" si="41"/>
        <v/>
      </c>
      <c r="Z259" s="88" t="str">
        <f t="shared" si="41"/>
        <v/>
      </c>
      <c r="AA259" s="88" t="str">
        <f t="shared" si="41"/>
        <v/>
      </c>
      <c r="AB259" s="88" t="str">
        <f t="shared" si="41"/>
        <v/>
      </c>
      <c r="AC259" s="88" t="str">
        <f t="shared" si="41"/>
        <v/>
      </c>
      <c r="AD259" s="88" t="str">
        <f t="shared" si="41"/>
        <v/>
      </c>
      <c r="AE259" s="88" t="str">
        <f t="shared" si="41"/>
        <v/>
      </c>
      <c r="AF259" s="88" t="str">
        <f t="shared" si="41"/>
        <v/>
      </c>
      <c r="AG259" s="47"/>
      <c r="AH259" s="47"/>
      <c r="AJ259"/>
    </row>
    <row r="260" spans="1:36" x14ac:dyDescent="0.25"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J260"/>
    </row>
    <row r="261" spans="1:36" x14ac:dyDescent="0.25"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J261"/>
    </row>
    <row r="262" spans="1:36" x14ac:dyDescent="0.25"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J262"/>
    </row>
    <row r="263" spans="1:36" x14ac:dyDescent="0.25"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J263"/>
    </row>
    <row r="264" spans="1:36" x14ac:dyDescent="0.25"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J264"/>
    </row>
    <row r="265" spans="1:36" x14ac:dyDescent="0.25"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J265"/>
    </row>
    <row r="266" spans="1:36" x14ac:dyDescent="0.25"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J266"/>
    </row>
    <row r="490" spans="36:38" x14ac:dyDescent="0.25">
      <c r="AK490" s="1"/>
    </row>
    <row r="491" spans="36:38" x14ac:dyDescent="0.25">
      <c r="AK491" s="1"/>
      <c r="AL491" s="1"/>
    </row>
    <row r="492" spans="36:38" x14ac:dyDescent="0.25">
      <c r="AJ492"/>
    </row>
  </sheetData>
  <mergeCells count="48">
    <mergeCell ref="A231:B23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D214:AF220 B214:B220 B212:AF212 U233:AF233 B9:AF10 C99:AF105 AB11:AF11">
    <cfRule type="expression" dxfId="4904" priority="229">
      <formula>B$9&gt;=20/24</formula>
    </cfRule>
    <cfRule type="expression" dxfId="4903" priority="230">
      <formula>AND(B$9&gt;=14/24,B$9&lt;20/24)</formula>
    </cfRule>
    <cfRule type="expression" dxfId="4902" priority="231">
      <formula>AND(B$9&gt;=8/24,B$9&lt;14/24)</formula>
    </cfRule>
    <cfRule type="expression" dxfId="4901" priority="232">
      <formula>B$9&lt;8/24</formula>
    </cfRule>
  </conditionalFormatting>
  <conditionalFormatting sqref="AL4:AL6">
    <cfRule type="iconSet" priority="228">
      <iconSet iconSet="3TrafficLights2" reverse="1">
        <cfvo type="percent" val="0"/>
        <cfvo type="num" val="1"/>
        <cfvo type="num" val="1"/>
      </iconSet>
    </cfRule>
  </conditionalFormatting>
  <conditionalFormatting sqref="AB37:AF37">
    <cfRule type="expression" dxfId="4900" priority="224">
      <formula>AB$9&gt;=20/24</formula>
    </cfRule>
    <cfRule type="expression" dxfId="4899" priority="225">
      <formula>AND(AB$9&gt;=14/24,AB$9&lt;20/24)</formula>
    </cfRule>
    <cfRule type="expression" dxfId="4898" priority="226">
      <formula>AND(AB$9&gt;=8/24,AB$9&lt;14/24)</formula>
    </cfRule>
    <cfRule type="expression" dxfId="4897" priority="227">
      <formula>AB$9&lt;8/24</formula>
    </cfRule>
  </conditionalFormatting>
  <conditionalFormatting sqref="AG55 B12:L16 M11:AA11 AB11:AF15 M16:AF16 AB37:AF37 B35:AF35">
    <cfRule type="expression" dxfId="4896" priority="223">
      <formula>B11&gt;$AG11</formula>
    </cfRule>
  </conditionalFormatting>
  <conditionalFormatting sqref="A89:A102 A11:A14 A49:A76 A85:A87 A190:A220 A16:A30 A36:A47 A106:A177 A32:A33 A81:A83 A78:A79">
    <cfRule type="expression" dxfId="4895" priority="222">
      <formula>$AH11=0</formula>
    </cfRule>
  </conditionalFormatting>
  <conditionalFormatting sqref="A103">
    <cfRule type="expression" dxfId="4894" priority="221">
      <formula>$AH103=0</formula>
    </cfRule>
  </conditionalFormatting>
  <conditionalFormatting sqref="AL33">
    <cfRule type="iconSet" priority="220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4893" priority="219">
      <formula>$AH35=0</formula>
    </cfRule>
  </conditionalFormatting>
  <conditionalFormatting sqref="A88">
    <cfRule type="expression" dxfId="4892" priority="218">
      <formula>$AH88=0</formula>
    </cfRule>
  </conditionalFormatting>
  <conditionalFormatting sqref="A15">
    <cfRule type="expression" dxfId="4891" priority="217">
      <formula>$AH15=0</formula>
    </cfRule>
  </conditionalFormatting>
  <conditionalFormatting sqref="A184:A189">
    <cfRule type="expression" dxfId="4890" priority="216">
      <formula>$AH184=0</formula>
    </cfRule>
  </conditionalFormatting>
  <conditionalFormatting sqref="A178:A183">
    <cfRule type="expression" dxfId="4889" priority="215">
      <formula>$AH178=0</formula>
    </cfRule>
  </conditionalFormatting>
  <conditionalFormatting sqref="A48">
    <cfRule type="expression" dxfId="4888" priority="214">
      <formula>$AH48=0</formula>
    </cfRule>
  </conditionalFormatting>
  <conditionalFormatting sqref="A84">
    <cfRule type="expression" dxfId="4887" priority="213">
      <formula>$AH84=0</formula>
    </cfRule>
  </conditionalFormatting>
  <conditionalFormatting sqref="C89:AF89">
    <cfRule type="expression" dxfId="4886" priority="209">
      <formula>C$9&gt;=20/24</formula>
    </cfRule>
    <cfRule type="expression" dxfId="4885" priority="210">
      <formula>AND(C$9&gt;=14/24,C$9&lt;20/24)</formula>
    </cfRule>
    <cfRule type="expression" dxfId="4884" priority="211">
      <formula>AND(C$9&gt;=8/24,C$9&lt;14/24)</formula>
    </cfRule>
    <cfRule type="expression" dxfId="4883" priority="212">
      <formula>C$9&lt;8/24</formula>
    </cfRule>
  </conditionalFormatting>
  <conditionalFormatting sqref="AL34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882" priority="235">
      <formula>C$9&gt;=20/24</formula>
    </cfRule>
    <cfRule type="expression" dxfId="4881" priority="236">
      <formula>AND(C$9&gt;=14/24,C$9&lt;20/24)</formula>
    </cfRule>
    <cfRule type="expression" dxfId="4880" priority="237">
      <formula>AND(C$9&gt;=8/24,C$9&lt;14/24)</formula>
    </cfRule>
    <cfRule type="expression" dxfId="4879" priority="238">
      <formula>C$9&lt;8/24</formula>
    </cfRule>
  </conditionalFormatting>
  <conditionalFormatting sqref="A221">
    <cfRule type="expression" dxfId="4878" priority="239">
      <formula>$AH221=0</formula>
    </cfRule>
  </conditionalFormatting>
  <conditionalFormatting sqref="AG233">
    <cfRule type="expression" dxfId="4877" priority="240">
      <formula>B$9&gt;=20/24</formula>
    </cfRule>
    <cfRule type="expression" dxfId="4876" priority="241">
      <formula>AND(B$9&gt;=14/24,B$9&lt;20/24)</formula>
    </cfRule>
    <cfRule type="expression" dxfId="4875" priority="242">
      <formula>AND(B$9&gt;=8/24,B$9&lt;14/24)</formula>
    </cfRule>
    <cfRule type="expression" dxfId="4874" priority="243">
      <formula>B$9&lt;8/24</formula>
    </cfRule>
  </conditionalFormatting>
  <conditionalFormatting sqref="S8">
    <cfRule type="expression" dxfId="4873" priority="204">
      <formula>U$9&gt;=20/24</formula>
    </cfRule>
    <cfRule type="expression" dxfId="4872" priority="205">
      <formula>AND(U$9&gt;=14/24,U$9&lt;20/24)</formula>
    </cfRule>
    <cfRule type="expression" dxfId="4871" priority="206">
      <formula>AND(U$9&gt;=8/24,U$9&lt;14/24)</formula>
    </cfRule>
    <cfRule type="expression" dxfId="4870" priority="207">
      <formula>U$9&lt;8/24</formula>
    </cfRule>
  </conditionalFormatting>
  <conditionalFormatting sqref="AB8">
    <cfRule type="expression" dxfId="4869" priority="200">
      <formula>AD$9&gt;=20/24</formula>
    </cfRule>
    <cfRule type="expression" dxfId="4868" priority="201">
      <formula>AND(AD$9&gt;=14/24,AD$9&lt;20/24)</formula>
    </cfRule>
    <cfRule type="expression" dxfId="4867" priority="202">
      <formula>AND(AD$9&gt;=8/24,AD$9&lt;14/24)</formula>
    </cfRule>
    <cfRule type="expression" dxfId="4866" priority="203">
      <formula>AD$9&lt;8/24</formula>
    </cfRule>
  </conditionalFormatting>
  <conditionalFormatting sqref="AH233:AX233">
    <cfRule type="expression" dxfId="4865" priority="244">
      <formula>AG$9&gt;=20/24</formula>
    </cfRule>
    <cfRule type="expression" dxfId="4864" priority="245">
      <formula>AND(AG$9&gt;=14/24,AG$9&lt;20/24)</formula>
    </cfRule>
    <cfRule type="expression" dxfId="4863" priority="246">
      <formula>AND(AG$9&gt;=8/24,AG$9&lt;14/24)</formula>
    </cfRule>
    <cfRule type="expression" dxfId="4862" priority="247">
      <formula>AG$9&lt;8/24</formula>
    </cfRule>
  </conditionalFormatting>
  <conditionalFormatting sqref="T233">
    <cfRule type="expression" dxfId="4861" priority="248">
      <formula>AX$9&gt;=20/24</formula>
    </cfRule>
    <cfRule type="expression" dxfId="4860" priority="249">
      <formula>AND(AX$9&gt;=14/24,AX$9&lt;20/24)</formula>
    </cfRule>
    <cfRule type="expression" dxfId="4859" priority="250">
      <formula>AND(AX$9&gt;=8/24,AX$9&lt;14/24)</formula>
    </cfRule>
    <cfRule type="expression" dxfId="4858" priority="251">
      <formula>AX$9&lt;8/24</formula>
    </cfRule>
  </conditionalFormatting>
  <conditionalFormatting sqref="A104:A105">
    <cfRule type="expression" dxfId="4857" priority="199">
      <formula>$AH104=0</formula>
    </cfRule>
  </conditionalFormatting>
  <conditionalFormatting sqref="C61:AF61 AB36:AF36 AB44:AF45">
    <cfRule type="expression" dxfId="4856" priority="195">
      <formula>C$9&gt;=20/24</formula>
    </cfRule>
    <cfRule type="expression" dxfId="4855" priority="196">
      <formula>AND(C$9&gt;=14/24,C$9&lt;20/24)</formula>
    </cfRule>
    <cfRule type="expression" dxfId="4854" priority="197">
      <formula>AND(C$9&gt;=8/24,C$9&lt;14/24)</formula>
    </cfRule>
    <cfRule type="expression" dxfId="4853" priority="198">
      <formula>C$9&lt;8/24</formula>
    </cfRule>
  </conditionalFormatting>
  <conditionalFormatting sqref="S43:AF43">
    <cfRule type="expression" dxfId="4852" priority="191">
      <formula>S$9&gt;=20/24</formula>
    </cfRule>
    <cfRule type="expression" dxfId="4851" priority="192">
      <formula>AND(S$9&gt;=14/24,S$9&lt;20/24)</formula>
    </cfRule>
    <cfRule type="expression" dxfId="4850" priority="193">
      <formula>AND(S$9&gt;=8/24,S$9&lt;14/24)</formula>
    </cfRule>
    <cfRule type="expression" dxfId="4849" priority="194">
      <formula>S$9&lt;8/24</formula>
    </cfRule>
  </conditionalFormatting>
  <conditionalFormatting sqref="S43:AA43 AB36:AF36 AB43:AF45">
    <cfRule type="expression" dxfId="4848" priority="190">
      <formula>S36&gt;$AG36</formula>
    </cfRule>
  </conditionalFormatting>
  <conditionalFormatting sqref="C86:AF86 C76:AF76 K64:K67 C62:K63 M64:R70 L62:L67 C71:R71 M62:V63 S64:W71 M36:AA37 M11:AA14 C90:AF96 AB12:AF14 M16:AF16 M28:AF30 M24:AF26 M18:AF22 M32:AF32 F57:AF59 W62:AF71 M73:AF75">
    <cfRule type="expression" dxfId="4847" priority="186">
      <formula>C$9&gt;=20/24</formula>
    </cfRule>
    <cfRule type="expression" dxfId="4846" priority="187">
      <formula>AND(C$9&gt;=14/24,C$9&lt;20/24)</formula>
    </cfRule>
    <cfRule type="expression" dxfId="4845" priority="188">
      <formula>AND(C$9&gt;=8/24,C$9&lt;14/24)</formula>
    </cfRule>
    <cfRule type="expression" dxfId="4844" priority="189">
      <formula>C$9&lt;8/24</formula>
    </cfRule>
  </conditionalFormatting>
  <conditionalFormatting sqref="M33:AF33">
    <cfRule type="expression" dxfId="4843" priority="182">
      <formula>M$9&gt;=20/24</formula>
    </cfRule>
    <cfRule type="expression" dxfId="4842" priority="183">
      <formula>AND(M$9&gt;=14/24,M$9&lt;20/24)</formula>
    </cfRule>
    <cfRule type="expression" dxfId="4841" priority="184">
      <formula>AND(M$9&gt;=8/24,M$9&lt;14/24)</formula>
    </cfRule>
    <cfRule type="expression" dxfId="4840" priority="185">
      <formula>M$9&lt;8/24</formula>
    </cfRule>
  </conditionalFormatting>
  <conditionalFormatting sqref="C55:AF55 M36:AA37 M11:AA15 M24:AF30 M18:AF22 M32:AF33 AB46:AF47 F57:AF59">
    <cfRule type="expression" dxfId="4839" priority="181">
      <formula>C11&gt;$AG11</formula>
    </cfRule>
  </conditionalFormatting>
  <conditionalFormatting sqref="M35:AF35">
    <cfRule type="expression" dxfId="4838" priority="177">
      <formula>M$9&gt;=20/24</formula>
    </cfRule>
    <cfRule type="expression" dxfId="4837" priority="178">
      <formula>AND(M$9&gt;=14/24,M$9&lt;20/24)</formula>
    </cfRule>
    <cfRule type="expression" dxfId="4836" priority="179">
      <formula>AND(M$9&gt;=8/24,M$9&lt;14/24)</formula>
    </cfRule>
    <cfRule type="expression" dxfId="4835" priority="180">
      <formula>M$9&lt;8/24</formula>
    </cfRule>
  </conditionalFormatting>
  <conditionalFormatting sqref="M15:AF15">
    <cfRule type="expression" dxfId="4834" priority="173">
      <formula>M$9&gt;=20/24</formula>
    </cfRule>
    <cfRule type="expression" dxfId="4833" priority="174">
      <formula>AND(M$9&gt;=14/24,M$9&lt;20/24)</formula>
    </cfRule>
    <cfRule type="expression" dxfId="4832" priority="175">
      <formula>AND(M$9&gt;=8/24,M$9&lt;14/24)</formula>
    </cfRule>
    <cfRule type="expression" dxfId="4831" priority="176">
      <formula>M$9&lt;8/24</formula>
    </cfRule>
  </conditionalFormatting>
  <conditionalFormatting sqref="M34:AF34">
    <cfRule type="expression" dxfId="4830" priority="169">
      <formula>M$9&gt;=20/24</formula>
    </cfRule>
    <cfRule type="expression" dxfId="4829" priority="170">
      <formula>AND(M$9&gt;=14/24,M$9&lt;20/24)</formula>
    </cfRule>
    <cfRule type="expression" dxfId="4828" priority="171">
      <formula>AND(M$9&gt;=8/24,M$9&lt;14/24)</formula>
    </cfRule>
    <cfRule type="expression" dxfId="4827" priority="172">
      <formula>M$9&lt;8/24</formula>
    </cfRule>
  </conditionalFormatting>
  <conditionalFormatting sqref="M34:AF34">
    <cfRule type="expression" dxfId="4826" priority="168">
      <formula>M34&gt;$AG34</formula>
    </cfRule>
  </conditionalFormatting>
  <conditionalFormatting sqref="AB48:AF51">
    <cfRule type="expression" dxfId="4825" priority="160">
      <formula>AB$9&gt;=20/24</formula>
    </cfRule>
    <cfRule type="expression" dxfId="4824" priority="161">
      <formula>AND(AB$9&gt;=14/24,AB$9&lt;20/24)</formula>
    </cfRule>
    <cfRule type="expression" dxfId="4823" priority="162">
      <formula>AND(AB$9&gt;=8/24,AB$9&lt;14/24)</formula>
    </cfRule>
    <cfRule type="expression" dxfId="4822" priority="163">
      <formula>AB$9&lt;8/24</formula>
    </cfRule>
  </conditionalFormatting>
  <conditionalFormatting sqref="AB48:AF51">
    <cfRule type="expression" dxfId="4821" priority="159">
      <formula>AB48&gt;$AG48</formula>
    </cfRule>
  </conditionalFormatting>
  <conditionalFormatting sqref="Q43:R54 S44:AA54 AB52:AF54">
    <cfRule type="expression" dxfId="4820" priority="155">
      <formula>Q$9&gt;=20/24</formula>
    </cfRule>
    <cfRule type="expression" dxfId="4819" priority="156">
      <formula>AND(Q$9&gt;=14/24,Q$9&lt;20/24)</formula>
    </cfRule>
    <cfRule type="expression" dxfId="4818" priority="157">
      <formula>AND(Q$9&gt;=8/24,Q$9&lt;14/24)</formula>
    </cfRule>
    <cfRule type="expression" dxfId="4817" priority="158">
      <formula>Q$9&lt;8/24</formula>
    </cfRule>
  </conditionalFormatting>
  <conditionalFormatting sqref="Q43:R54 S44:AA54 AB52:AF54">
    <cfRule type="expression" dxfId="4816" priority="154">
      <formula>Q43&gt;$AG43</formula>
    </cfRule>
  </conditionalFormatting>
  <conditionalFormatting sqref="M27:AF27">
    <cfRule type="expression" dxfId="4815" priority="150">
      <formula>M$9&gt;=20/24</formula>
    </cfRule>
    <cfRule type="expression" dxfId="4814" priority="151">
      <formula>AND(M$9&gt;=14/24,M$9&lt;20/24)</formula>
    </cfRule>
    <cfRule type="expression" dxfId="4813" priority="152">
      <formula>AND(M$9&gt;=8/24,M$9&lt;14/24)</formula>
    </cfRule>
    <cfRule type="expression" dxfId="4812" priority="153">
      <formula>M$9&lt;8/24</formula>
    </cfRule>
  </conditionalFormatting>
  <conditionalFormatting sqref="M17:AF17 M23:AF23">
    <cfRule type="expression" dxfId="4811" priority="146">
      <formula>M$9&gt;=20/24</formula>
    </cfRule>
    <cfRule type="expression" dxfId="4810" priority="147">
      <formula>AND(M$9&gt;=14/24,M$9&lt;20/24)</formula>
    </cfRule>
    <cfRule type="expression" dxfId="4809" priority="148">
      <formula>AND(M$9&gt;=8/24,M$9&lt;14/24)</formula>
    </cfRule>
    <cfRule type="expression" dxfId="4808" priority="149">
      <formula>M$9&lt;8/24</formula>
    </cfRule>
  </conditionalFormatting>
  <conditionalFormatting sqref="M17:AF17 M23:AF23">
    <cfRule type="expression" dxfId="4807" priority="141">
      <formula>M17&gt;$AG17</formula>
    </cfRule>
  </conditionalFormatting>
  <conditionalFormatting sqref="K68:L70">
    <cfRule type="expression" dxfId="4806" priority="115">
      <formula>K$9&gt;=20/24</formula>
    </cfRule>
    <cfRule type="expression" dxfId="4805" priority="116">
      <formula>AND(K$9&gt;=14/24,K$9&lt;20/24)</formula>
    </cfRule>
    <cfRule type="expression" dxfId="4804" priority="117">
      <formula>AND(K$9&gt;=8/24,K$9&lt;14/24)</formula>
    </cfRule>
    <cfRule type="expression" dxfId="4803" priority="118">
      <formula>K$9&lt;8/24</formula>
    </cfRule>
  </conditionalFormatting>
  <conditionalFormatting sqref="B99:B105 B78:AF78 B87:AF87 B11:L11">
    <cfRule type="expression" dxfId="4802" priority="96">
      <formula>B$9&gt;=20/24</formula>
    </cfRule>
    <cfRule type="expression" dxfId="4801" priority="97">
      <formula>AND(B$9&gt;=14/24,B$9&lt;20/24)</formula>
    </cfRule>
    <cfRule type="expression" dxfId="4800" priority="98">
      <formula>AND(B$9&gt;=8/24,B$9&lt;14/24)</formula>
    </cfRule>
    <cfRule type="expression" dxfId="4799" priority="99">
      <formula>B$9&lt;8/24</formula>
    </cfRule>
  </conditionalFormatting>
  <conditionalFormatting sqref="B37:L37">
    <cfRule type="expression" dxfId="4798" priority="92">
      <formula>B$9&gt;=20/24</formula>
    </cfRule>
    <cfRule type="expression" dxfId="4797" priority="93">
      <formula>AND(B$9&gt;=14/24,B$9&lt;20/24)</formula>
    </cfRule>
    <cfRule type="expression" dxfId="4796" priority="94">
      <formula>AND(B$9&gt;=8/24,B$9&lt;14/24)</formula>
    </cfRule>
    <cfRule type="expression" dxfId="4795" priority="95">
      <formula>B$9&lt;8/24</formula>
    </cfRule>
  </conditionalFormatting>
  <conditionalFormatting sqref="B37:L37 B11:L11">
    <cfRule type="expression" dxfId="4794" priority="91">
      <formula>B11&gt;$AG11</formula>
    </cfRule>
  </conditionalFormatting>
  <conditionalFormatting sqref="B89">
    <cfRule type="expression" dxfId="4793" priority="87">
      <formula>B$9&gt;=20/24</formula>
    </cfRule>
    <cfRule type="expression" dxfId="4792" priority="88">
      <formula>AND(B$9&gt;=14/24,B$9&lt;20/24)</formula>
    </cfRule>
    <cfRule type="expression" dxfId="4791" priority="89">
      <formula>AND(B$9&gt;=8/24,B$9&lt;14/24)</formula>
    </cfRule>
    <cfRule type="expression" dxfId="4790" priority="90">
      <formula>B$9&lt;8/24</formula>
    </cfRule>
  </conditionalFormatting>
  <conditionalFormatting sqref="B61 B36:L36 B44:P45">
    <cfRule type="expression" dxfId="4789" priority="83">
      <formula>B$9&gt;=20/24</formula>
    </cfRule>
    <cfRule type="expression" dxfId="4788" priority="84">
      <formula>AND(B$9&gt;=14/24,B$9&lt;20/24)</formula>
    </cfRule>
    <cfRule type="expression" dxfId="4787" priority="85">
      <formula>AND(B$9&gt;=8/24,B$9&lt;14/24)</formula>
    </cfRule>
    <cfRule type="expression" dxfId="4786" priority="86">
      <formula>B$9&lt;8/24</formula>
    </cfRule>
  </conditionalFormatting>
  <conditionalFormatting sqref="B43:P43">
    <cfRule type="expression" dxfId="4785" priority="79">
      <formula>B$9&gt;=20/24</formula>
    </cfRule>
    <cfRule type="expression" dxfId="4784" priority="80">
      <formula>AND(B$9&gt;=14/24,B$9&lt;20/24)</formula>
    </cfRule>
    <cfRule type="expression" dxfId="4783" priority="81">
      <formula>AND(B$9&gt;=8/24,B$9&lt;14/24)</formula>
    </cfRule>
    <cfRule type="expression" dxfId="4782" priority="82">
      <formula>B$9&lt;8/24</formula>
    </cfRule>
  </conditionalFormatting>
  <conditionalFormatting sqref="B36:L36 B43:P45">
    <cfRule type="expression" dxfId="4781" priority="78">
      <formula>B36&gt;$AG36</formula>
    </cfRule>
  </conditionalFormatting>
  <conditionalFormatting sqref="B90:B96 B57:B60 B62:B71 B73:B77 B79:AF79 B86 C60:AG60 C77:AG77 B88:AF88 C57:E59 C64:J70 B12:L14 B16:L16 B18:L22 B32:L32 C73:L75 B24:L26 B28:L30">
    <cfRule type="expression" dxfId="4780" priority="74">
      <formula>B$9&gt;=20/24</formula>
    </cfRule>
    <cfRule type="expression" dxfId="4779" priority="75">
      <formula>AND(B$9&gt;=14/24,B$9&lt;20/24)</formula>
    </cfRule>
    <cfRule type="expression" dxfId="4778" priority="76">
      <formula>AND(B$9&gt;=8/24,B$9&lt;14/24)</formula>
    </cfRule>
    <cfRule type="expression" dxfId="4777" priority="77">
      <formula>B$9&lt;8/24</formula>
    </cfRule>
  </conditionalFormatting>
  <conditionalFormatting sqref="B33:L33">
    <cfRule type="expression" dxfId="4776" priority="70">
      <formula>B$9&gt;=20/24</formula>
    </cfRule>
    <cfRule type="expression" dxfId="4775" priority="71">
      <formula>AND(B$9&gt;=14/24,B$9&lt;20/24)</formula>
    </cfRule>
    <cfRule type="expression" dxfId="4774" priority="72">
      <formula>AND(B$9&gt;=8/24,B$9&lt;14/24)</formula>
    </cfRule>
    <cfRule type="expression" dxfId="4773" priority="73">
      <formula>B$9&lt;8/24</formula>
    </cfRule>
  </conditionalFormatting>
  <conditionalFormatting sqref="B55:B60 B38:AG38 C56:AG56 C60:AG60 C57:E59 B18:L22 B32:L33 B47:L47 B46:P46 B24:L30">
    <cfRule type="expression" dxfId="4772" priority="69">
      <formula>B18&gt;$AG18</formula>
    </cfRule>
  </conditionalFormatting>
  <conditionalFormatting sqref="B35:L35">
    <cfRule type="expression" dxfId="4771" priority="65">
      <formula>B$9&gt;=20/24</formula>
    </cfRule>
    <cfRule type="expression" dxfId="4770" priority="66">
      <formula>AND(B$9&gt;=14/24,B$9&lt;20/24)</formula>
    </cfRule>
    <cfRule type="expression" dxfId="4769" priority="67">
      <formula>AND(B$9&gt;=8/24,B$9&lt;14/24)</formula>
    </cfRule>
    <cfRule type="expression" dxfId="4768" priority="68">
      <formula>B$9&lt;8/24</formula>
    </cfRule>
  </conditionalFormatting>
  <conditionalFormatting sqref="B15:L15">
    <cfRule type="expression" dxfId="4767" priority="61">
      <formula>B$9&gt;=20/24</formula>
    </cfRule>
    <cfRule type="expression" dxfId="4766" priority="62">
      <formula>AND(B$9&gt;=14/24,B$9&lt;20/24)</formula>
    </cfRule>
    <cfRule type="expression" dxfId="4765" priority="63">
      <formula>AND(B$9&gt;=8/24,B$9&lt;14/24)</formula>
    </cfRule>
    <cfRule type="expression" dxfId="4764" priority="64">
      <formula>B$9&lt;8/24</formula>
    </cfRule>
  </conditionalFormatting>
  <conditionalFormatting sqref="B34:L34">
    <cfRule type="expression" dxfId="4763" priority="57">
      <formula>B$9&gt;=20/24</formula>
    </cfRule>
    <cfRule type="expression" dxfId="4762" priority="58">
      <formula>AND(B$9&gt;=14/24,B$9&lt;20/24)</formula>
    </cfRule>
    <cfRule type="expression" dxfId="4761" priority="59">
      <formula>AND(B$9&gt;=8/24,B$9&lt;14/24)</formula>
    </cfRule>
    <cfRule type="expression" dxfId="4760" priority="60">
      <formula>B$9&lt;8/24</formula>
    </cfRule>
  </conditionalFormatting>
  <conditionalFormatting sqref="B34:L34">
    <cfRule type="expression" dxfId="4759" priority="56">
      <formula>B34&gt;$AG34</formula>
    </cfRule>
  </conditionalFormatting>
  <conditionalFormatting sqref="B48:P54">
    <cfRule type="expression" dxfId="4758" priority="52">
      <formula>B$9&gt;=20/24</formula>
    </cfRule>
    <cfRule type="expression" dxfId="4757" priority="53">
      <formula>AND(B$9&gt;=14/24,B$9&lt;20/24)</formula>
    </cfRule>
    <cfRule type="expression" dxfId="4756" priority="54">
      <formula>AND(B$9&gt;=8/24,B$9&lt;14/24)</formula>
    </cfRule>
    <cfRule type="expression" dxfId="4755" priority="55">
      <formula>B$9&lt;8/24</formula>
    </cfRule>
  </conditionalFormatting>
  <conditionalFormatting sqref="B48:P54">
    <cfRule type="expression" dxfId="4754" priority="51">
      <formula>B48&gt;$AG48</formula>
    </cfRule>
  </conditionalFormatting>
  <conditionalFormatting sqref="B27:L27">
    <cfRule type="expression" dxfId="4753" priority="47">
      <formula>B$9&gt;=20/24</formula>
    </cfRule>
    <cfRule type="expression" dxfId="4752" priority="48">
      <formula>AND(B$9&gt;=14/24,B$9&lt;20/24)</formula>
    </cfRule>
    <cfRule type="expression" dxfId="4751" priority="49">
      <formula>AND(B$9&gt;=8/24,B$9&lt;14/24)</formula>
    </cfRule>
    <cfRule type="expression" dxfId="4750" priority="50">
      <formula>B$9&lt;8/24</formula>
    </cfRule>
  </conditionalFormatting>
  <conditionalFormatting sqref="B17:L17 B23:L23">
    <cfRule type="expression" dxfId="4749" priority="43">
      <formula>B$9&gt;=20/24</formula>
    </cfRule>
    <cfRule type="expression" dxfId="4748" priority="44">
      <formula>AND(B$9&gt;=14/24,B$9&lt;20/24)</formula>
    </cfRule>
    <cfRule type="expression" dxfId="4747" priority="45">
      <formula>AND(B$9&gt;=8/24,B$9&lt;14/24)</formula>
    </cfRule>
    <cfRule type="expression" dxfId="4746" priority="46">
      <formula>B$9&lt;8/24</formula>
    </cfRule>
  </conditionalFormatting>
  <conditionalFormatting sqref="B17:L17 B23:L23">
    <cfRule type="expression" dxfId="4745" priority="42">
      <formula>B17&gt;$AG17</formula>
    </cfRule>
  </conditionalFormatting>
  <conditionalFormatting sqref="A34">
    <cfRule type="expression" dxfId="4744" priority="41">
      <formula>$AH34=0</formula>
    </cfRule>
  </conditionalFormatting>
  <conditionalFormatting sqref="B72:AF72">
    <cfRule type="expression" dxfId="4743" priority="37">
      <formula>B$9&gt;=20/24</formula>
    </cfRule>
    <cfRule type="expression" dxfId="4742" priority="38">
      <formula>AND(B$9&gt;=14/24,B$9&lt;20/24)</formula>
    </cfRule>
    <cfRule type="expression" dxfId="4741" priority="39">
      <formula>AND(B$9&gt;=8/24,B$9&lt;14/24)</formula>
    </cfRule>
    <cfRule type="expression" dxfId="4740" priority="40">
      <formula>B$9&lt;8/24</formula>
    </cfRule>
  </conditionalFormatting>
  <conditionalFormatting sqref="B81:AF85">
    <cfRule type="expression" dxfId="4739" priority="33">
      <formula>B$9&gt;=20/24</formula>
    </cfRule>
    <cfRule type="expression" dxfId="4738" priority="34">
      <formula>AND(B$9&gt;=14/24,B$9&lt;20/24)</formula>
    </cfRule>
    <cfRule type="expression" dxfId="4737" priority="35">
      <formula>AND(B$9&gt;=8/24,B$9&lt;14/24)</formula>
    </cfRule>
    <cfRule type="expression" dxfId="4736" priority="36">
      <formula>B$9&lt;8/24</formula>
    </cfRule>
  </conditionalFormatting>
  <conditionalFormatting sqref="AL35 AL7:AL30 AL32">
    <cfRule type="iconSet" priority="252">
      <iconSet iconSet="3TrafficLights2" reverse="1">
        <cfvo type="percent" val="0"/>
        <cfvo type="num" val="1"/>
        <cfvo type="num" val="1"/>
      </iconSet>
    </cfRule>
  </conditionalFormatting>
  <conditionalFormatting sqref="M39:AF41">
    <cfRule type="expression" dxfId="4735" priority="29">
      <formula>M$9&gt;=20/24</formula>
    </cfRule>
    <cfRule type="expression" dxfId="4734" priority="30">
      <formula>AND(M$9&gt;=14/24,M$9&lt;20/24)</formula>
    </cfRule>
    <cfRule type="expression" dxfId="4733" priority="31">
      <formula>AND(M$9&gt;=8/24,M$9&lt;14/24)</formula>
    </cfRule>
    <cfRule type="expression" dxfId="4732" priority="32">
      <formula>M$9&lt;8/24</formula>
    </cfRule>
  </conditionalFormatting>
  <conditionalFormatting sqref="M39:AF41">
    <cfRule type="expression" dxfId="4731" priority="28">
      <formula>M39&gt;$AG39</formula>
    </cfRule>
  </conditionalFormatting>
  <conditionalFormatting sqref="B39:B42 C42:AG42 C39:L41">
    <cfRule type="expression" dxfId="4730" priority="24">
      <formula>B$9&gt;=20/24</formula>
    </cfRule>
    <cfRule type="expression" dxfId="4729" priority="25">
      <formula>AND(B$9&gt;=14/24,B$9&lt;20/24)</formula>
    </cfRule>
    <cfRule type="expression" dxfId="4728" priority="26">
      <formula>AND(B$9&gt;=8/24,B$9&lt;14/24)</formula>
    </cfRule>
    <cfRule type="expression" dxfId="4727" priority="27">
      <formula>B$9&lt;8/24</formula>
    </cfRule>
  </conditionalFormatting>
  <conditionalFormatting sqref="B39:B42 C42:AG42 C39:L41">
    <cfRule type="expression" dxfId="4726" priority="23">
      <formula>B39&gt;$AG39</formula>
    </cfRule>
  </conditionalFormatting>
  <conditionalFormatting sqref="C97:AF97">
    <cfRule type="expression" dxfId="4725" priority="19">
      <formula>C$9&gt;=20/24</formula>
    </cfRule>
    <cfRule type="expression" dxfId="4724" priority="20">
      <formula>AND(C$9&gt;=14/24,C$9&lt;20/24)</formula>
    </cfRule>
    <cfRule type="expression" dxfId="4723" priority="21">
      <formula>AND(C$9&gt;=8/24,C$9&lt;14/24)</formula>
    </cfRule>
    <cfRule type="expression" dxfId="4722" priority="22">
      <formula>C$9&lt;8/24</formula>
    </cfRule>
  </conditionalFormatting>
  <conditionalFormatting sqref="B97">
    <cfRule type="expression" dxfId="4721" priority="15">
      <formula>B$9&gt;=20/24</formula>
    </cfRule>
    <cfRule type="expression" dxfId="4720" priority="16">
      <formula>AND(B$9&gt;=14/24,B$9&lt;20/24)</formula>
    </cfRule>
    <cfRule type="expression" dxfId="4719" priority="17">
      <formula>AND(B$9&gt;=8/24,B$9&lt;14/24)</formula>
    </cfRule>
    <cfRule type="expression" dxfId="4718" priority="18">
      <formula>B$9&lt;8/24</formula>
    </cfRule>
  </conditionalFormatting>
  <conditionalFormatting sqref="AL31">
    <cfRule type="iconSet" priority="14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4717" priority="8">
      <formula>$AH31=0</formula>
    </cfRule>
  </conditionalFormatting>
  <conditionalFormatting sqref="A80">
    <cfRule type="expression" dxfId="4716" priority="6">
      <formula>$AH80=0</formula>
    </cfRule>
  </conditionalFormatting>
  <conditionalFormatting sqref="A77">
    <cfRule type="expression" dxfId="4715" priority="7">
      <formula>$AH77=0</formula>
    </cfRule>
  </conditionalFormatting>
  <conditionalFormatting sqref="M47:P47">
    <cfRule type="expression" dxfId="4714" priority="2">
      <formula>M$9&gt;=20/24</formula>
    </cfRule>
    <cfRule type="expression" dxfId="4713" priority="3">
      <formula>AND(M$9&gt;=14/24,M$9&lt;20/24)</formula>
    </cfRule>
    <cfRule type="expression" dxfId="4712" priority="4">
      <formula>AND(M$9&gt;=8/24,M$9&lt;14/24)</formula>
    </cfRule>
    <cfRule type="expression" dxfId="4711" priority="5">
      <formula>M$9&lt;8/24</formula>
    </cfRule>
  </conditionalFormatting>
  <conditionalFormatting sqref="M47:P47">
    <cfRule type="expression" dxfId="4710" priority="1">
      <formula>M47&gt;$AG47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9C1ECD87-A1E5-4B60-AA39-A2D2ED8F56E8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" id="{D6DE4ABC-D354-45EB-AA3B-D4308019874F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" id="{FD9AC3A0-7879-425D-AE9A-BBEBF3EDAFE8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" id="{0F1ADFCE-D0F5-4034-8397-B5014E4EDF92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9" id="{0E8BEAF4-E18C-4F43-B0FF-39DBF0DF4298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2"/>
  <sheetViews>
    <sheetView zoomScale="90" zoomScaleNormal="90" workbookViewId="0">
      <pane xSplit="1" ySplit="10" topLeftCell="B80" activePane="bottomRight" state="frozen"/>
      <selection activeCell="AF88" sqref="AF88"/>
      <selection pane="topRight" activeCell="AF88" sqref="AF88"/>
      <selection pane="bottomLeft" activeCell="AF88" sqref="AF88"/>
      <selection pane="bottomRight" activeCell="AA105" sqref="AA105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2079/02/12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("&amp;ROUND(B237,0)&amp;" MW)"&amp;"    IPP   = "&amp;ROUND(B232,0)&amp;" MW     NEA RoR = "&amp;ROUND(B233,0)&amp;" MWImport   = "&amp;ROUND(B235,0)&amp;" MW      KL1+KL2+K3 = "&amp;ROUND(B234,0) &amp;" MW    EXPORT = "&amp;ROUND(B236,0)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11</v>
      </c>
      <c r="C5" s="32">
        <f t="shared" si="0"/>
        <v>9.6999999999999993</v>
      </c>
      <c r="D5" s="32">
        <f t="shared" si="0"/>
        <v>4</v>
      </c>
      <c r="E5" s="32">
        <f t="shared" si="0"/>
        <v>2.7</v>
      </c>
      <c r="F5" s="32">
        <f t="shared" si="0"/>
        <v>1.1000000000000001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14.8</v>
      </c>
      <c r="O5" s="32">
        <f t="shared" si="0"/>
        <v>26.7</v>
      </c>
      <c r="P5" s="32">
        <f t="shared" si="0"/>
        <v>25.3</v>
      </c>
      <c r="Q5" s="32">
        <f t="shared" si="0"/>
        <v>28.3</v>
      </c>
      <c r="R5" s="32">
        <f t="shared" si="0"/>
        <v>29.6</v>
      </c>
      <c r="S5" s="32">
        <f t="shared" si="0"/>
        <v>28.1</v>
      </c>
      <c r="T5" s="32">
        <f t="shared" si="0"/>
        <v>18.399999999999999</v>
      </c>
      <c r="U5" s="32">
        <f t="shared" si="0"/>
        <v>41.5</v>
      </c>
      <c r="V5" s="32">
        <f t="shared" si="0"/>
        <v>39</v>
      </c>
      <c r="W5" s="32">
        <f t="shared" si="0"/>
        <v>28</v>
      </c>
      <c r="X5" s="32">
        <f t="shared" si="0"/>
        <v>10.9</v>
      </c>
      <c r="Y5" s="32">
        <f t="shared" si="0"/>
        <v>20</v>
      </c>
      <c r="Z5" s="32">
        <f t="shared" si="0"/>
        <v>31.6</v>
      </c>
      <c r="AA5" s="32">
        <f t="shared" si="0"/>
        <v>26</v>
      </c>
      <c r="AB5" s="32">
        <f t="shared" si="0"/>
        <v>28</v>
      </c>
      <c r="AC5" s="32">
        <f t="shared" si="0"/>
        <v>33</v>
      </c>
      <c r="AD5" s="32">
        <f t="shared" si="0"/>
        <v>30.1</v>
      </c>
      <c r="AE5" s="32">
        <f t="shared" si="0"/>
        <v>0</v>
      </c>
      <c r="AF5" s="32">
        <f>B72</f>
        <v>12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"&amp;ROUND(B237,0)&amp;"MW at "&amp;TRUNC(B238*24,0)&amp;":"&amp;ROUND((B238*24-TRUNC(B238*24,0))*60,0)&amp;"hr at "&amp;ROUND(B239,1)&amp;"Hz     "&amp;A229&amp;" "&amp;ROUND(B229,0)&amp;"MW at "&amp;TRUNC(C229*24,0)&amp;":"&amp;ROUND((C229*24-TRUNC(C229*24,0))*6,0)&amp;"0hr"</f>
        <v>Evening Peak 0MW at 0:0hr at 0Hz     Morning Peak 1771MW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Load=1580</v>
      </c>
      <c r="B7" s="37">
        <f>B79</f>
        <v>1744.1399999999999</v>
      </c>
      <c r="C7" s="37">
        <f t="shared" ref="C7:AF7" si="1">C79</f>
        <v>1733.3400000000001</v>
      </c>
      <c r="D7" s="37">
        <f t="shared" si="1"/>
        <v>1713.64</v>
      </c>
      <c r="E7" s="37">
        <f t="shared" si="1"/>
        <v>1698.84</v>
      </c>
      <c r="F7" s="37">
        <f t="shared" si="1"/>
        <v>1656.64</v>
      </c>
      <c r="G7" s="37">
        <f t="shared" si="1"/>
        <v>1579.54</v>
      </c>
      <c r="H7" s="37">
        <f t="shared" si="1"/>
        <v>1580.94</v>
      </c>
      <c r="I7" s="37">
        <f t="shared" si="1"/>
        <v>1590.04</v>
      </c>
      <c r="J7" s="37">
        <f t="shared" si="1"/>
        <v>1588.1399999999999</v>
      </c>
      <c r="K7" s="37">
        <f t="shared" si="1"/>
        <v>1589.04</v>
      </c>
      <c r="L7" s="37">
        <f t="shared" si="1"/>
        <v>1639.54</v>
      </c>
      <c r="M7" s="37">
        <f t="shared" si="1"/>
        <v>1743.74</v>
      </c>
      <c r="N7" s="37">
        <f t="shared" si="1"/>
        <v>1771.24</v>
      </c>
      <c r="O7" s="37">
        <f t="shared" si="1"/>
        <v>1786.04</v>
      </c>
      <c r="P7" s="37">
        <f t="shared" si="1"/>
        <v>1780.2400000000002</v>
      </c>
      <c r="Q7" s="37">
        <f t="shared" si="1"/>
        <v>1762.64</v>
      </c>
      <c r="R7" s="37">
        <f t="shared" si="1"/>
        <v>1789.34</v>
      </c>
      <c r="S7" s="37">
        <f t="shared" si="1"/>
        <v>1816.94</v>
      </c>
      <c r="T7" s="37">
        <f t="shared" si="1"/>
        <v>1822.54</v>
      </c>
      <c r="U7" s="37">
        <f>U79</f>
        <v>1814.8400000000001</v>
      </c>
      <c r="V7" s="37">
        <f t="shared" si="1"/>
        <v>1795.44</v>
      </c>
      <c r="W7" s="37">
        <f t="shared" si="1"/>
        <v>1792.44</v>
      </c>
      <c r="X7" s="37">
        <f t="shared" si="1"/>
        <v>1781.44</v>
      </c>
      <c r="Y7" s="37">
        <f t="shared" si="1"/>
        <v>1764.3400000000001</v>
      </c>
      <c r="Z7" s="37">
        <f t="shared" si="1"/>
        <v>1802.24</v>
      </c>
      <c r="AA7" s="37">
        <f t="shared" si="1"/>
        <v>1807.2399999999998</v>
      </c>
      <c r="AB7" s="37">
        <f t="shared" si="1"/>
        <v>1794.54</v>
      </c>
      <c r="AC7" s="37">
        <f t="shared" si="1"/>
        <v>1797.2399999999998</v>
      </c>
      <c r="AD7" s="37">
        <f t="shared" si="1"/>
        <v>1788.2399999999998</v>
      </c>
      <c r="AE7" s="37">
        <f t="shared" si="1"/>
        <v>1774.04</v>
      </c>
      <c r="AF7" s="37">
        <f t="shared" si="1"/>
        <v>1696.94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0">
        <v>54</v>
      </c>
      <c r="C11" s="49">
        <v>53.9</v>
      </c>
      <c r="D11" s="49">
        <v>53.9</v>
      </c>
      <c r="E11" s="49">
        <v>53.9</v>
      </c>
      <c r="F11" s="50">
        <v>53.7</v>
      </c>
      <c r="G11" s="50">
        <v>53.8</v>
      </c>
      <c r="H11" s="50">
        <v>53.8</v>
      </c>
      <c r="I11" s="50">
        <v>53.8</v>
      </c>
      <c r="J11" s="50">
        <v>53.8</v>
      </c>
      <c r="K11" s="50">
        <v>53.8</v>
      </c>
      <c r="L11" s="50">
        <v>53.8</v>
      </c>
      <c r="M11" s="50">
        <v>53.8</v>
      </c>
      <c r="N11" s="50">
        <v>53.8</v>
      </c>
      <c r="O11" s="50">
        <v>53.8</v>
      </c>
      <c r="P11" s="50">
        <v>53.8</v>
      </c>
      <c r="Q11" s="50">
        <v>53.8</v>
      </c>
      <c r="R11" s="50">
        <v>53.8</v>
      </c>
      <c r="S11" s="52">
        <v>53.6</v>
      </c>
      <c r="T11" s="52">
        <v>53.6</v>
      </c>
      <c r="U11" s="52">
        <v>53.6</v>
      </c>
      <c r="V11" s="52">
        <v>53.6</v>
      </c>
      <c r="W11" s="52">
        <v>53.6</v>
      </c>
      <c r="X11" s="52">
        <v>53.6</v>
      </c>
      <c r="Y11" s="52">
        <v>53.6</v>
      </c>
      <c r="Z11" s="52">
        <v>53.6</v>
      </c>
      <c r="AA11" s="52">
        <v>53.6</v>
      </c>
      <c r="AB11" s="52">
        <v>53.6</v>
      </c>
      <c r="AC11" s="52">
        <v>53.6</v>
      </c>
      <c r="AD11" s="52">
        <v>53.6</v>
      </c>
      <c r="AE11" s="52">
        <v>53.7</v>
      </c>
      <c r="AF11" s="52">
        <v>53.6</v>
      </c>
      <c r="AG11" s="133">
        <v>52.4</v>
      </c>
      <c r="AH11" s="54">
        <f>MAX(B11:AF11)</f>
        <v>54</v>
      </c>
      <c r="AI11" s="55">
        <f>MIN(B11:AF11)</f>
        <v>53.6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50.4</v>
      </c>
      <c r="C12" s="50">
        <v>50.4</v>
      </c>
      <c r="D12" s="50">
        <v>50.4</v>
      </c>
      <c r="E12" s="50">
        <v>50.4</v>
      </c>
      <c r="F12" s="50">
        <v>50.3</v>
      </c>
      <c r="G12" s="50">
        <v>50.3</v>
      </c>
      <c r="H12" s="50">
        <v>50.3</v>
      </c>
      <c r="I12" s="50">
        <v>50.3</v>
      </c>
      <c r="J12" s="50">
        <v>50.3</v>
      </c>
      <c r="K12" s="50">
        <v>50.3</v>
      </c>
      <c r="L12" s="50">
        <v>50.3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25</v>
      </c>
      <c r="S12" s="50">
        <v>50.5</v>
      </c>
      <c r="T12" s="50">
        <v>50.5</v>
      </c>
      <c r="U12" s="50">
        <v>50.5</v>
      </c>
      <c r="V12" s="50">
        <v>50.5</v>
      </c>
      <c r="W12" s="50">
        <v>50.5</v>
      </c>
      <c r="X12" s="50">
        <v>50.5</v>
      </c>
      <c r="Y12" s="50">
        <v>50.5</v>
      </c>
      <c r="Z12" s="50">
        <v>50.5</v>
      </c>
      <c r="AA12" s="50">
        <v>50.5</v>
      </c>
      <c r="AB12" s="50">
        <v>50.5</v>
      </c>
      <c r="AC12" s="50">
        <v>50.5</v>
      </c>
      <c r="AD12" s="50">
        <v>50.5</v>
      </c>
      <c r="AE12" s="50">
        <v>50.4</v>
      </c>
      <c r="AF12" s="50">
        <v>50.2</v>
      </c>
      <c r="AG12" s="134">
        <v>50</v>
      </c>
      <c r="AH12" s="54">
        <f t="shared" ref="AH12:AH79" si="2">MAX(B12:AF12)</f>
        <v>50.5</v>
      </c>
      <c r="AI12" s="55">
        <f t="shared" ref="AI12:AI79" si="3">MIN(B12:AF12)</f>
        <v>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45.9</v>
      </c>
      <c r="C13" s="50">
        <v>45.9</v>
      </c>
      <c r="D13" s="50">
        <v>45.8</v>
      </c>
      <c r="E13" s="50">
        <v>45.8</v>
      </c>
      <c r="F13" s="50">
        <v>45.8</v>
      </c>
      <c r="G13" s="50">
        <v>45.8</v>
      </c>
      <c r="H13" s="50">
        <v>45.8</v>
      </c>
      <c r="I13" s="50">
        <v>45.8</v>
      </c>
      <c r="J13" s="50">
        <v>45.8</v>
      </c>
      <c r="K13" s="50">
        <v>45.8</v>
      </c>
      <c r="L13" s="50">
        <v>45.8</v>
      </c>
      <c r="M13" s="50">
        <v>45.8</v>
      </c>
      <c r="N13" s="50">
        <v>45.8</v>
      </c>
      <c r="O13" s="50">
        <v>45.8</v>
      </c>
      <c r="P13" s="50">
        <v>45.8</v>
      </c>
      <c r="Q13" s="50">
        <v>45.8</v>
      </c>
      <c r="R13" s="50">
        <v>45.8</v>
      </c>
      <c r="S13" s="50">
        <v>45.8</v>
      </c>
      <c r="T13" s="50">
        <v>45.8</v>
      </c>
      <c r="U13" s="50">
        <v>45.8</v>
      </c>
      <c r="V13" s="50">
        <v>45.8</v>
      </c>
      <c r="W13" s="50">
        <v>45.8</v>
      </c>
      <c r="X13" s="50">
        <v>45.8</v>
      </c>
      <c r="Y13" s="50">
        <v>45.8</v>
      </c>
      <c r="Z13" s="50">
        <v>45.8</v>
      </c>
      <c r="AA13" s="50">
        <v>45.8</v>
      </c>
      <c r="AB13" s="50">
        <v>45.8</v>
      </c>
      <c r="AC13" s="50">
        <v>45.8</v>
      </c>
      <c r="AD13" s="50">
        <v>45.8</v>
      </c>
      <c r="AE13" s="50">
        <v>45.8</v>
      </c>
      <c r="AF13" s="50">
        <v>45.9</v>
      </c>
      <c r="AG13" s="134">
        <v>45</v>
      </c>
      <c r="AH13" s="54">
        <f t="shared" si="2"/>
        <v>45.9</v>
      </c>
      <c r="AI13" s="55">
        <f t="shared" si="3"/>
        <v>45.8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24</v>
      </c>
      <c r="C14" s="50">
        <v>26</v>
      </c>
      <c r="D14" s="50">
        <v>26</v>
      </c>
      <c r="E14" s="50">
        <v>26</v>
      </c>
      <c r="F14" s="50">
        <v>26</v>
      </c>
      <c r="G14" s="50">
        <v>26</v>
      </c>
      <c r="H14" s="50">
        <v>26</v>
      </c>
      <c r="I14" s="50">
        <v>26</v>
      </c>
      <c r="J14" s="50">
        <v>26</v>
      </c>
      <c r="K14" s="50">
        <v>26</v>
      </c>
      <c r="L14" s="50">
        <v>26</v>
      </c>
      <c r="M14" s="50">
        <v>26</v>
      </c>
      <c r="N14" s="50">
        <v>26</v>
      </c>
      <c r="O14" s="50">
        <v>26</v>
      </c>
      <c r="P14" s="50">
        <v>26</v>
      </c>
      <c r="Q14" s="50">
        <v>26</v>
      </c>
      <c r="R14" s="50">
        <v>26</v>
      </c>
      <c r="S14" s="50">
        <v>26</v>
      </c>
      <c r="T14" s="50">
        <v>26</v>
      </c>
      <c r="U14" s="50">
        <v>28</v>
      </c>
      <c r="V14" s="50">
        <v>28</v>
      </c>
      <c r="W14" s="50">
        <v>28</v>
      </c>
      <c r="X14" s="50">
        <v>28</v>
      </c>
      <c r="Y14" s="50">
        <v>28</v>
      </c>
      <c r="Z14" s="50">
        <v>28</v>
      </c>
      <c r="AA14" s="50">
        <v>26</v>
      </c>
      <c r="AB14" s="50">
        <v>26</v>
      </c>
      <c r="AC14" s="50">
        <v>26</v>
      </c>
      <c r="AD14" s="50">
        <v>26</v>
      </c>
      <c r="AE14" s="50">
        <v>26</v>
      </c>
      <c r="AF14" s="50">
        <v>26</v>
      </c>
      <c r="AG14" s="134">
        <v>42</v>
      </c>
      <c r="AH14" s="54">
        <f t="shared" si="2"/>
        <v>28</v>
      </c>
      <c r="AI14" s="55">
        <f t="shared" si="3"/>
        <v>24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0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30</v>
      </c>
      <c r="Q15" s="50">
        <v>30</v>
      </c>
      <c r="R15" s="50">
        <v>30</v>
      </c>
      <c r="S15" s="50">
        <v>30</v>
      </c>
      <c r="T15" s="50">
        <v>30</v>
      </c>
      <c r="U15" s="50">
        <v>30</v>
      </c>
      <c r="V15" s="50">
        <v>30</v>
      </c>
      <c r="W15" s="50">
        <v>20</v>
      </c>
      <c r="X15" s="50">
        <v>20</v>
      </c>
      <c r="Y15" s="50">
        <v>20</v>
      </c>
      <c r="Z15" s="50">
        <v>20</v>
      </c>
      <c r="AA15" s="50">
        <v>15</v>
      </c>
      <c r="AB15" s="50">
        <v>10</v>
      </c>
      <c r="AC15" s="50">
        <v>10</v>
      </c>
      <c r="AD15" s="50">
        <v>0</v>
      </c>
      <c r="AE15" s="50">
        <v>0</v>
      </c>
      <c r="AF15" s="50">
        <v>0</v>
      </c>
      <c r="AG15" s="135">
        <v>30</v>
      </c>
      <c r="AH15" s="54">
        <f t="shared" si="2"/>
        <v>30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25.1</v>
      </c>
      <c r="C16" s="50">
        <v>25.1</v>
      </c>
      <c r="D16" s="50">
        <v>25.5</v>
      </c>
      <c r="E16" s="50">
        <v>25.5</v>
      </c>
      <c r="F16" s="50">
        <v>25.4</v>
      </c>
      <c r="G16" s="50">
        <v>25.4</v>
      </c>
      <c r="H16" s="50">
        <v>25.4</v>
      </c>
      <c r="I16" s="50">
        <v>25.4</v>
      </c>
      <c r="J16" s="50">
        <v>25.4</v>
      </c>
      <c r="K16" s="50">
        <v>25.4</v>
      </c>
      <c r="L16" s="50">
        <v>26.1</v>
      </c>
      <c r="M16" s="50">
        <v>26.1</v>
      </c>
      <c r="N16" s="50">
        <v>26.1</v>
      </c>
      <c r="O16" s="50">
        <v>26.1</v>
      </c>
      <c r="P16" s="50">
        <v>26.1</v>
      </c>
      <c r="Q16" s="50">
        <v>26.1</v>
      </c>
      <c r="R16" s="50">
        <v>26.1</v>
      </c>
      <c r="S16" s="50">
        <v>26.1</v>
      </c>
      <c r="T16" s="50">
        <v>26.1</v>
      </c>
      <c r="U16" s="50">
        <v>26.1</v>
      </c>
      <c r="V16" s="50">
        <v>26.1</v>
      </c>
      <c r="W16" s="50">
        <v>26.1</v>
      </c>
      <c r="X16" s="50">
        <v>26.1</v>
      </c>
      <c r="Y16" s="50">
        <v>26.1</v>
      </c>
      <c r="Z16" s="50">
        <v>26.1</v>
      </c>
      <c r="AA16" s="50">
        <v>26.1</v>
      </c>
      <c r="AB16" s="50">
        <v>25</v>
      </c>
      <c r="AC16" s="50">
        <v>25</v>
      </c>
      <c r="AD16" s="50">
        <v>25</v>
      </c>
      <c r="AE16" s="50">
        <v>25</v>
      </c>
      <c r="AF16" s="50">
        <v>25.3</v>
      </c>
      <c r="AG16" s="134">
        <v>25</v>
      </c>
      <c r="AH16" s="54">
        <f t="shared" si="2"/>
        <v>26.1</v>
      </c>
      <c r="AI16" s="55">
        <f t="shared" si="3"/>
        <v>25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25</v>
      </c>
      <c r="D18" s="50">
        <v>25</v>
      </c>
      <c r="E18" s="50">
        <v>25</v>
      </c>
      <c r="F18" s="50">
        <v>25</v>
      </c>
      <c r="G18" s="50">
        <v>25</v>
      </c>
      <c r="H18" s="50">
        <v>25</v>
      </c>
      <c r="I18" s="50">
        <v>25</v>
      </c>
      <c r="J18" s="50">
        <v>25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25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24</v>
      </c>
      <c r="C19" s="50">
        <v>24</v>
      </c>
      <c r="D19" s="50">
        <v>24</v>
      </c>
      <c r="E19" s="50">
        <v>24</v>
      </c>
      <c r="F19" s="50">
        <v>25.1</v>
      </c>
      <c r="G19" s="50">
        <v>25.1</v>
      </c>
      <c r="H19" s="50">
        <v>25.1</v>
      </c>
      <c r="I19" s="50">
        <v>25.1</v>
      </c>
      <c r="J19" s="50">
        <v>25.1</v>
      </c>
      <c r="K19" s="50">
        <v>25.1</v>
      </c>
      <c r="L19" s="50">
        <v>25.1</v>
      </c>
      <c r="M19" s="50">
        <v>25.1</v>
      </c>
      <c r="N19" s="50">
        <v>25.1</v>
      </c>
      <c r="O19" s="50">
        <v>25.1</v>
      </c>
      <c r="P19" s="50">
        <v>33</v>
      </c>
      <c r="Q19" s="50">
        <v>33</v>
      </c>
      <c r="R19" s="50">
        <v>33</v>
      </c>
      <c r="S19" s="50">
        <v>33</v>
      </c>
      <c r="T19" s="50">
        <v>33</v>
      </c>
      <c r="U19" s="50">
        <v>33</v>
      </c>
      <c r="V19" s="50">
        <v>33</v>
      </c>
      <c r="W19" s="50">
        <v>26</v>
      </c>
      <c r="X19" s="50">
        <v>26</v>
      </c>
      <c r="Y19" s="50">
        <v>26</v>
      </c>
      <c r="Z19" s="50">
        <v>26</v>
      </c>
      <c r="AA19" s="50">
        <v>26</v>
      </c>
      <c r="AB19" s="50">
        <v>25</v>
      </c>
      <c r="AC19" s="50">
        <v>25</v>
      </c>
      <c r="AD19" s="50">
        <v>25</v>
      </c>
      <c r="AE19" s="50">
        <v>25</v>
      </c>
      <c r="AF19" s="50">
        <v>25</v>
      </c>
      <c r="AG19" s="134">
        <v>24.2</v>
      </c>
      <c r="AH19" s="54">
        <f t="shared" si="2"/>
        <v>33</v>
      </c>
      <c r="AI19" s="55">
        <f t="shared" si="3"/>
        <v>24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24.2</v>
      </c>
      <c r="C20" s="50">
        <v>24.2</v>
      </c>
      <c r="D20" s="50">
        <v>24.4</v>
      </c>
      <c r="E20" s="50">
        <v>24.4</v>
      </c>
      <c r="F20" s="50">
        <v>24.2</v>
      </c>
      <c r="G20" s="50">
        <v>24.2</v>
      </c>
      <c r="H20" s="50">
        <v>24.2</v>
      </c>
      <c r="I20" s="50">
        <v>24.2</v>
      </c>
      <c r="J20" s="50">
        <v>24.2</v>
      </c>
      <c r="K20" s="50">
        <v>24.2</v>
      </c>
      <c r="L20" s="50">
        <v>24.2</v>
      </c>
      <c r="M20" s="50">
        <v>24.2</v>
      </c>
      <c r="N20" s="50">
        <v>24.2</v>
      </c>
      <c r="O20" s="50">
        <v>24.2</v>
      </c>
      <c r="P20" s="50">
        <v>24.2</v>
      </c>
      <c r="Q20" s="50">
        <v>24.2</v>
      </c>
      <c r="R20" s="50">
        <v>24.2</v>
      </c>
      <c r="S20" s="50">
        <v>24.2</v>
      </c>
      <c r="T20" s="50">
        <v>24.2</v>
      </c>
      <c r="U20" s="50">
        <v>24.2</v>
      </c>
      <c r="V20" s="50">
        <v>24.2</v>
      </c>
      <c r="W20" s="50">
        <v>24.2</v>
      </c>
      <c r="X20" s="50">
        <v>24.2</v>
      </c>
      <c r="Y20" s="50">
        <v>24.2</v>
      </c>
      <c r="Z20" s="50">
        <v>24.2</v>
      </c>
      <c r="AA20" s="50">
        <v>24.2</v>
      </c>
      <c r="AB20" s="50">
        <v>24.2</v>
      </c>
      <c r="AC20" s="50">
        <v>24.2</v>
      </c>
      <c r="AD20" s="50">
        <v>24.2</v>
      </c>
      <c r="AE20" s="50">
        <v>24.1</v>
      </c>
      <c r="AF20" s="50">
        <v>24.1</v>
      </c>
      <c r="AG20" s="134">
        <v>23.5</v>
      </c>
      <c r="AH20" s="54">
        <f t="shared" si="2"/>
        <v>24.4</v>
      </c>
      <c r="AI20" s="55">
        <f t="shared" si="3"/>
        <v>24.1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20.6</v>
      </c>
      <c r="C21" s="50">
        <v>20.6</v>
      </c>
      <c r="D21" s="50">
        <v>20.6</v>
      </c>
      <c r="E21" s="50">
        <v>20.6</v>
      </c>
      <c r="F21" s="50">
        <v>20.6</v>
      </c>
      <c r="G21" s="50">
        <v>20.6</v>
      </c>
      <c r="H21" s="50">
        <v>20.6</v>
      </c>
      <c r="I21" s="50">
        <v>20.6</v>
      </c>
      <c r="J21" s="50">
        <v>20.6</v>
      </c>
      <c r="K21" s="50">
        <v>20.6</v>
      </c>
      <c r="L21" s="50">
        <v>20.6</v>
      </c>
      <c r="M21" s="50">
        <v>20.6</v>
      </c>
      <c r="N21" s="50">
        <v>20.6</v>
      </c>
      <c r="O21" s="50">
        <v>20.6</v>
      </c>
      <c r="P21" s="50">
        <v>20.6</v>
      </c>
      <c r="Q21" s="50">
        <v>20.6</v>
      </c>
      <c r="R21" s="50">
        <v>20.6</v>
      </c>
      <c r="S21" s="50">
        <v>20.6</v>
      </c>
      <c r="T21" s="50">
        <v>20.6</v>
      </c>
      <c r="U21" s="50">
        <v>20.6</v>
      </c>
      <c r="V21" s="50">
        <v>20.6</v>
      </c>
      <c r="W21" s="50">
        <v>20.6</v>
      </c>
      <c r="X21" s="50">
        <v>20.6</v>
      </c>
      <c r="Y21" s="50">
        <v>20.6</v>
      </c>
      <c r="Z21" s="50">
        <v>20.6</v>
      </c>
      <c r="AA21" s="50">
        <v>20.6</v>
      </c>
      <c r="AB21" s="50">
        <v>20.6</v>
      </c>
      <c r="AC21" s="50">
        <v>20.6</v>
      </c>
      <c r="AD21" s="50">
        <v>20.6</v>
      </c>
      <c r="AE21" s="50">
        <v>20.6</v>
      </c>
      <c r="AF21" s="50">
        <v>20.6</v>
      </c>
      <c r="AG21" s="134">
        <v>22.2</v>
      </c>
      <c r="AH21" s="54">
        <f t="shared" si="2"/>
        <v>20.6</v>
      </c>
      <c r="AI21" s="55">
        <f t="shared" si="3"/>
        <v>20.6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134">
        <v>22.1</v>
      </c>
      <c r="AH22" s="54">
        <f t="shared" si="2"/>
        <v>22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22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0</v>
      </c>
      <c r="R24" s="50">
        <v>0</v>
      </c>
      <c r="S24" s="50">
        <v>0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22</v>
      </c>
      <c r="AI24" s="55">
        <f t="shared" si="3"/>
        <v>0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0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10</v>
      </c>
      <c r="Q25" s="50">
        <v>10</v>
      </c>
      <c r="R25" s="50">
        <v>10</v>
      </c>
      <c r="S25" s="50">
        <v>10</v>
      </c>
      <c r="T25" s="50">
        <v>10</v>
      </c>
      <c r="U25" s="50">
        <v>10</v>
      </c>
      <c r="V25" s="50">
        <v>10</v>
      </c>
      <c r="W25" s="50">
        <v>10</v>
      </c>
      <c r="X25" s="50">
        <v>10</v>
      </c>
      <c r="Y25" s="50">
        <v>10</v>
      </c>
      <c r="Z25" s="50">
        <v>10</v>
      </c>
      <c r="AA25" s="50">
        <v>4</v>
      </c>
      <c r="AB25" s="50">
        <v>4</v>
      </c>
      <c r="AC25" s="50">
        <v>4</v>
      </c>
      <c r="AD25" s="50">
        <v>0</v>
      </c>
      <c r="AE25" s="50">
        <v>0</v>
      </c>
      <c r="AF25" s="50">
        <v>0</v>
      </c>
      <c r="AG25" s="134">
        <v>20</v>
      </c>
      <c r="AH25" s="54">
        <f t="shared" si="2"/>
        <v>10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14.9</v>
      </c>
      <c r="C26" s="50">
        <v>14.9</v>
      </c>
      <c r="D26" s="50">
        <v>14.9</v>
      </c>
      <c r="E26" s="50">
        <v>14.9</v>
      </c>
      <c r="F26" s="50">
        <v>14.9</v>
      </c>
      <c r="G26" s="50">
        <v>14.9</v>
      </c>
      <c r="H26" s="50">
        <v>14.9</v>
      </c>
      <c r="I26" s="50">
        <v>14.9</v>
      </c>
      <c r="J26" s="50">
        <v>14.9</v>
      </c>
      <c r="K26" s="50">
        <v>14.9</v>
      </c>
      <c r="L26" s="50">
        <v>14.9</v>
      </c>
      <c r="M26" s="50">
        <v>14.9</v>
      </c>
      <c r="N26" s="50">
        <v>14.9</v>
      </c>
      <c r="O26" s="50">
        <v>14.9</v>
      </c>
      <c r="P26" s="50">
        <v>14.9</v>
      </c>
      <c r="Q26" s="50">
        <v>14.9</v>
      </c>
      <c r="R26" s="50">
        <v>14.9</v>
      </c>
      <c r="S26" s="50">
        <v>14.9</v>
      </c>
      <c r="T26" s="50">
        <v>0</v>
      </c>
      <c r="U26" s="50">
        <v>0</v>
      </c>
      <c r="V26" s="50">
        <v>0</v>
      </c>
      <c r="W26" s="50">
        <v>7</v>
      </c>
      <c r="X26" s="50">
        <v>7</v>
      </c>
      <c r="Y26" s="50">
        <v>7</v>
      </c>
      <c r="Z26" s="50">
        <v>14.9</v>
      </c>
      <c r="AA26" s="50">
        <v>14.9</v>
      </c>
      <c r="AB26" s="50">
        <v>14.9</v>
      </c>
      <c r="AC26" s="50">
        <v>14.9</v>
      </c>
      <c r="AD26" s="50">
        <v>14.9</v>
      </c>
      <c r="AE26" s="50">
        <v>14.9</v>
      </c>
      <c r="AF26" s="50">
        <v>14.9</v>
      </c>
      <c r="AG26" s="134">
        <v>14.9</v>
      </c>
      <c r="AH26" s="54">
        <f t="shared" si="2"/>
        <v>14.9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10</v>
      </c>
      <c r="C27" s="50">
        <v>10</v>
      </c>
      <c r="D27" s="50">
        <v>10</v>
      </c>
      <c r="E27" s="50">
        <v>10</v>
      </c>
      <c r="F27" s="50">
        <v>10</v>
      </c>
      <c r="G27" s="50">
        <v>10</v>
      </c>
      <c r="H27" s="50">
        <v>10</v>
      </c>
      <c r="I27" s="50">
        <v>10</v>
      </c>
      <c r="J27" s="50">
        <v>10</v>
      </c>
      <c r="K27" s="50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134">
        <v>13.6</v>
      </c>
      <c r="AH27" s="54">
        <f t="shared" si="2"/>
        <v>10</v>
      </c>
      <c r="AI27" s="55">
        <f t="shared" si="3"/>
        <v>10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12</v>
      </c>
      <c r="C28" s="50">
        <v>12</v>
      </c>
      <c r="D28" s="50">
        <v>12</v>
      </c>
      <c r="E28" s="50">
        <v>12</v>
      </c>
      <c r="F28" s="50">
        <v>13</v>
      </c>
      <c r="G28" s="50">
        <v>13</v>
      </c>
      <c r="H28" s="50">
        <v>13</v>
      </c>
      <c r="I28" s="50">
        <v>13</v>
      </c>
      <c r="J28" s="50">
        <v>13</v>
      </c>
      <c r="K28" s="50">
        <v>13</v>
      </c>
      <c r="L28" s="50">
        <v>13</v>
      </c>
      <c r="M28" s="50">
        <v>13</v>
      </c>
      <c r="N28" s="50">
        <v>13</v>
      </c>
      <c r="O28" s="50">
        <v>13</v>
      </c>
      <c r="P28" s="50">
        <v>13</v>
      </c>
      <c r="Q28" s="50">
        <v>13</v>
      </c>
      <c r="R28" s="50">
        <v>13</v>
      </c>
      <c r="S28" s="50">
        <v>13</v>
      </c>
      <c r="T28" s="50">
        <v>13</v>
      </c>
      <c r="U28" s="50">
        <v>13</v>
      </c>
      <c r="V28" s="50">
        <v>13</v>
      </c>
      <c r="W28" s="50">
        <v>13</v>
      </c>
      <c r="X28" s="50">
        <v>13</v>
      </c>
      <c r="Y28" s="50">
        <v>13</v>
      </c>
      <c r="Z28" s="50">
        <v>13</v>
      </c>
      <c r="AA28" s="50">
        <v>13</v>
      </c>
      <c r="AB28" s="50">
        <v>13</v>
      </c>
      <c r="AC28" s="50">
        <v>13</v>
      </c>
      <c r="AD28" s="50">
        <v>13</v>
      </c>
      <c r="AE28" s="50">
        <v>13</v>
      </c>
      <c r="AF28" s="50">
        <v>13</v>
      </c>
      <c r="AG28" s="134">
        <v>13</v>
      </c>
      <c r="AH28" s="54">
        <f t="shared" si="2"/>
        <v>13</v>
      </c>
      <c r="AI28" s="55">
        <f t="shared" si="3"/>
        <v>12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12</v>
      </c>
      <c r="C29" s="50">
        <v>12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4</v>
      </c>
      <c r="N29" s="50">
        <v>8</v>
      </c>
      <c r="O29" s="50">
        <v>8</v>
      </c>
      <c r="P29" s="50">
        <v>8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0</v>
      </c>
      <c r="AF29" s="50">
        <v>0</v>
      </c>
      <c r="AG29" s="134">
        <v>12</v>
      </c>
      <c r="AH29" s="54">
        <f t="shared" si="2"/>
        <v>12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7</v>
      </c>
      <c r="C30" s="50">
        <v>7</v>
      </c>
      <c r="D30" s="50">
        <v>7</v>
      </c>
      <c r="E30" s="50">
        <v>7</v>
      </c>
      <c r="F30" s="50">
        <v>7</v>
      </c>
      <c r="G30" s="50">
        <v>7</v>
      </c>
      <c r="H30" s="50">
        <v>7</v>
      </c>
      <c r="I30" s="50">
        <v>7</v>
      </c>
      <c r="J30" s="50">
        <v>7</v>
      </c>
      <c r="K30" s="50">
        <v>7</v>
      </c>
      <c r="L30" s="50">
        <v>7</v>
      </c>
      <c r="M30" s="50">
        <v>7</v>
      </c>
      <c r="N30" s="50">
        <v>7</v>
      </c>
      <c r="O30" s="50">
        <v>7</v>
      </c>
      <c r="P30" s="50">
        <v>7</v>
      </c>
      <c r="Q30" s="50">
        <v>7</v>
      </c>
      <c r="R30" s="50">
        <v>7</v>
      </c>
      <c r="S30" s="50">
        <v>7</v>
      </c>
      <c r="T30" s="50">
        <v>7</v>
      </c>
      <c r="U30" s="50">
        <v>7</v>
      </c>
      <c r="V30" s="50">
        <v>7</v>
      </c>
      <c r="W30" s="50">
        <v>7</v>
      </c>
      <c r="X30" s="50">
        <v>7</v>
      </c>
      <c r="Y30" s="50">
        <v>7</v>
      </c>
      <c r="Z30" s="50">
        <v>7</v>
      </c>
      <c r="AA30" s="50">
        <v>7</v>
      </c>
      <c r="AB30" s="50">
        <v>7</v>
      </c>
      <c r="AC30" s="50">
        <v>7</v>
      </c>
      <c r="AD30" s="50">
        <v>7</v>
      </c>
      <c r="AE30" s="50">
        <v>7</v>
      </c>
      <c r="AF30" s="50">
        <v>7</v>
      </c>
      <c r="AG30" s="134">
        <v>12</v>
      </c>
      <c r="AH30" s="54">
        <f t="shared" si="2"/>
        <v>7</v>
      </c>
      <c r="AI30" s="55">
        <f t="shared" si="3"/>
        <v>7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9</v>
      </c>
      <c r="C31" s="50">
        <v>9</v>
      </c>
      <c r="D31" s="50">
        <v>9</v>
      </c>
      <c r="E31" s="50">
        <v>9</v>
      </c>
      <c r="F31" s="50">
        <v>9</v>
      </c>
      <c r="G31" s="50">
        <v>9</v>
      </c>
      <c r="H31" s="50">
        <v>9</v>
      </c>
      <c r="I31" s="50">
        <v>9</v>
      </c>
      <c r="J31" s="50">
        <v>9</v>
      </c>
      <c r="K31" s="50">
        <v>9</v>
      </c>
      <c r="L31" s="50">
        <v>9</v>
      </c>
      <c r="M31" s="50">
        <v>9</v>
      </c>
      <c r="N31" s="50">
        <v>9</v>
      </c>
      <c r="O31" s="50">
        <v>9</v>
      </c>
      <c r="P31" s="50">
        <v>9</v>
      </c>
      <c r="Q31" s="50">
        <v>9</v>
      </c>
      <c r="R31" s="50">
        <v>9</v>
      </c>
      <c r="S31" s="50">
        <v>9</v>
      </c>
      <c r="T31" s="50">
        <v>9</v>
      </c>
      <c r="U31" s="50">
        <v>9</v>
      </c>
      <c r="V31" s="50">
        <v>9</v>
      </c>
      <c r="W31" s="50">
        <v>9</v>
      </c>
      <c r="X31" s="50">
        <v>9</v>
      </c>
      <c r="Y31" s="50">
        <v>9</v>
      </c>
      <c r="Z31" s="50">
        <v>9</v>
      </c>
      <c r="AA31" s="50">
        <v>9</v>
      </c>
      <c r="AB31" s="50">
        <v>9</v>
      </c>
      <c r="AC31" s="50">
        <v>9</v>
      </c>
      <c r="AD31" s="50">
        <v>9</v>
      </c>
      <c r="AE31" s="50">
        <v>9</v>
      </c>
      <c r="AF31" s="50">
        <v>9</v>
      </c>
      <c r="AG31" s="178">
        <v>22</v>
      </c>
      <c r="AH31" s="54">
        <f>MAX(B31:AF31)</f>
        <v>9</v>
      </c>
      <c r="AI31" s="55">
        <f>MIN(B31:AF31)</f>
        <v>9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11</v>
      </c>
      <c r="C32" s="50">
        <v>11</v>
      </c>
      <c r="D32" s="50">
        <v>11</v>
      </c>
      <c r="E32" s="50">
        <v>11</v>
      </c>
      <c r="F32" s="50">
        <v>11</v>
      </c>
      <c r="G32" s="50">
        <v>11</v>
      </c>
      <c r="H32" s="50">
        <v>11</v>
      </c>
      <c r="I32" s="50">
        <v>11</v>
      </c>
      <c r="J32" s="50">
        <v>11</v>
      </c>
      <c r="K32" s="50">
        <v>11</v>
      </c>
      <c r="L32" s="50">
        <v>11</v>
      </c>
      <c r="M32" s="50">
        <v>11</v>
      </c>
      <c r="N32" s="50">
        <v>11</v>
      </c>
      <c r="O32" s="50">
        <v>11</v>
      </c>
      <c r="P32" s="50">
        <v>11</v>
      </c>
      <c r="Q32" s="50">
        <v>11</v>
      </c>
      <c r="R32" s="50">
        <v>11</v>
      </c>
      <c r="S32" s="50">
        <v>11</v>
      </c>
      <c r="T32" s="50">
        <v>11</v>
      </c>
      <c r="U32" s="50">
        <v>11</v>
      </c>
      <c r="V32" s="50">
        <v>11</v>
      </c>
      <c r="W32" s="50">
        <v>11</v>
      </c>
      <c r="X32" s="50">
        <v>11</v>
      </c>
      <c r="Y32" s="50">
        <v>11</v>
      </c>
      <c r="Z32" s="50">
        <v>11</v>
      </c>
      <c r="AA32" s="50">
        <v>11</v>
      </c>
      <c r="AB32" s="50">
        <v>11</v>
      </c>
      <c r="AC32" s="50">
        <v>11</v>
      </c>
      <c r="AD32" s="50">
        <v>11</v>
      </c>
      <c r="AE32" s="50">
        <v>11</v>
      </c>
      <c r="AF32" s="50">
        <v>11</v>
      </c>
      <c r="AG32" s="135">
        <v>11.88</v>
      </c>
      <c r="AH32" s="54">
        <f t="shared" si="2"/>
        <v>11</v>
      </c>
      <c r="AI32" s="55">
        <f t="shared" si="3"/>
        <v>11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11</v>
      </c>
      <c r="D33" s="50">
        <v>11</v>
      </c>
      <c r="E33" s="50">
        <v>11</v>
      </c>
      <c r="F33" s="50">
        <v>11</v>
      </c>
      <c r="G33" s="50">
        <v>11</v>
      </c>
      <c r="H33" s="50">
        <v>11</v>
      </c>
      <c r="I33" s="50">
        <v>11</v>
      </c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11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8</v>
      </c>
      <c r="C34" s="50">
        <v>8</v>
      </c>
      <c r="D34" s="50">
        <v>8</v>
      </c>
      <c r="E34" s="50">
        <v>8</v>
      </c>
      <c r="F34" s="50">
        <v>8</v>
      </c>
      <c r="G34" s="50">
        <v>8</v>
      </c>
      <c r="H34" s="50">
        <v>8</v>
      </c>
      <c r="I34" s="50">
        <v>8</v>
      </c>
      <c r="J34" s="50">
        <v>8</v>
      </c>
      <c r="K34" s="50">
        <v>8</v>
      </c>
      <c r="L34" s="50">
        <v>8</v>
      </c>
      <c r="M34" s="50">
        <v>8</v>
      </c>
      <c r="N34" s="50">
        <v>8</v>
      </c>
      <c r="O34" s="50">
        <v>8</v>
      </c>
      <c r="P34" s="50">
        <v>8</v>
      </c>
      <c r="Q34" s="50">
        <v>8</v>
      </c>
      <c r="R34" s="50">
        <v>8</v>
      </c>
      <c r="S34" s="50">
        <v>8</v>
      </c>
      <c r="T34" s="50">
        <v>8</v>
      </c>
      <c r="U34" s="50">
        <v>8</v>
      </c>
      <c r="V34" s="50">
        <v>8</v>
      </c>
      <c r="W34" s="50">
        <v>8</v>
      </c>
      <c r="X34" s="50">
        <v>8</v>
      </c>
      <c r="Y34" s="50">
        <v>8</v>
      </c>
      <c r="Z34" s="50">
        <v>8</v>
      </c>
      <c r="AA34" s="50">
        <v>8</v>
      </c>
      <c r="AB34" s="50">
        <v>8</v>
      </c>
      <c r="AC34" s="50">
        <v>8</v>
      </c>
      <c r="AD34" s="50">
        <v>8</v>
      </c>
      <c r="AE34" s="50">
        <v>8</v>
      </c>
      <c r="AF34" s="50">
        <v>8</v>
      </c>
      <c r="AG34" s="136">
        <v>10</v>
      </c>
      <c r="AH34" s="54">
        <f t="shared" si="2"/>
        <v>8</v>
      </c>
      <c r="AI34" s="55">
        <f t="shared" si="3"/>
        <v>8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4</v>
      </c>
      <c r="N35" s="50">
        <v>4</v>
      </c>
      <c r="O35" s="50">
        <v>4</v>
      </c>
      <c r="P35" s="50">
        <v>4</v>
      </c>
      <c r="Q35" s="50">
        <v>4</v>
      </c>
      <c r="R35" s="50">
        <v>4</v>
      </c>
      <c r="S35" s="50">
        <v>4</v>
      </c>
      <c r="T35" s="50">
        <v>4</v>
      </c>
      <c r="U35" s="50">
        <v>4</v>
      </c>
      <c r="V35" s="50">
        <v>4</v>
      </c>
      <c r="W35" s="50">
        <v>4</v>
      </c>
      <c r="X35" s="50">
        <v>4</v>
      </c>
      <c r="Y35" s="50">
        <v>4</v>
      </c>
      <c r="Z35" s="50">
        <v>4</v>
      </c>
      <c r="AA35" s="50">
        <v>4</v>
      </c>
      <c r="AB35" s="50">
        <v>4</v>
      </c>
      <c r="AC35" s="50">
        <v>4</v>
      </c>
      <c r="AD35" s="50">
        <v>4</v>
      </c>
      <c r="AE35" s="50">
        <v>4</v>
      </c>
      <c r="AF35" s="50">
        <v>4</v>
      </c>
      <c r="AG35" s="136">
        <v>10</v>
      </c>
      <c r="AH35" s="54">
        <f t="shared" si="2"/>
        <v>4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303</v>
      </c>
      <c r="C36" s="62">
        <v>303</v>
      </c>
      <c r="D36" s="62">
        <v>303</v>
      </c>
      <c r="E36" s="62">
        <v>303</v>
      </c>
      <c r="F36" s="62">
        <v>303</v>
      </c>
      <c r="G36" s="62">
        <v>303</v>
      </c>
      <c r="H36" s="62">
        <v>303</v>
      </c>
      <c r="I36" s="62">
        <v>303</v>
      </c>
      <c r="J36" s="62">
        <v>303</v>
      </c>
      <c r="K36" s="62">
        <v>303</v>
      </c>
      <c r="L36" s="62">
        <v>303</v>
      </c>
      <c r="M36" s="62">
        <v>303</v>
      </c>
      <c r="N36" s="62">
        <v>303</v>
      </c>
      <c r="O36" s="62">
        <v>303</v>
      </c>
      <c r="P36" s="62">
        <v>303</v>
      </c>
      <c r="Q36" s="62">
        <v>303</v>
      </c>
      <c r="R36" s="62">
        <v>303</v>
      </c>
      <c r="S36" s="62">
        <v>303</v>
      </c>
      <c r="T36" s="62">
        <v>303</v>
      </c>
      <c r="U36" s="62">
        <v>303</v>
      </c>
      <c r="V36" s="62">
        <v>303</v>
      </c>
      <c r="W36" s="62">
        <v>303</v>
      </c>
      <c r="X36" s="62">
        <v>303</v>
      </c>
      <c r="Y36" s="62">
        <v>303</v>
      </c>
      <c r="Z36" s="62">
        <v>303</v>
      </c>
      <c r="AA36" s="62">
        <v>303</v>
      </c>
      <c r="AB36" s="62">
        <v>303</v>
      </c>
      <c r="AC36" s="62">
        <v>303</v>
      </c>
      <c r="AD36" s="62">
        <v>303</v>
      </c>
      <c r="AE36" s="62">
        <v>303</v>
      </c>
      <c r="AF36" s="62">
        <v>303</v>
      </c>
      <c r="AG36" s="136">
        <v>85</v>
      </c>
      <c r="AH36" s="54">
        <f t="shared" si="2"/>
        <v>303</v>
      </c>
      <c r="AI36" s="55">
        <f t="shared" si="3"/>
        <v>303</v>
      </c>
      <c r="AK36" s="56"/>
    </row>
    <row r="37" spans="1:88" ht="15.75" thickBot="1" x14ac:dyDescent="0.3">
      <c r="A37" s="63" t="s">
        <v>21</v>
      </c>
      <c r="B37" s="64">
        <f>99.2+72.5</f>
        <v>171.7</v>
      </c>
      <c r="C37" s="62">
        <f>99.3+72.5</f>
        <v>171.8</v>
      </c>
      <c r="D37" s="62">
        <f>99.6+72.5</f>
        <v>172.1</v>
      </c>
      <c r="E37" s="62">
        <f>99.1+77.2</f>
        <v>176.3</v>
      </c>
      <c r="F37" s="62">
        <f>99.3+72.3</f>
        <v>171.6</v>
      </c>
      <c r="G37" s="62">
        <f>98.9+71.6</f>
        <v>170.5</v>
      </c>
      <c r="H37" s="62">
        <f>98.6+72</f>
        <v>170.6</v>
      </c>
      <c r="I37" s="62">
        <f>98.8+72</f>
        <v>170.8</v>
      </c>
      <c r="J37" s="62">
        <f>97.9+71.6</f>
        <v>169.5</v>
      </c>
      <c r="K37" s="62">
        <f>98+71.3</f>
        <v>169.3</v>
      </c>
      <c r="L37" s="62">
        <f>97.7+70.8</f>
        <v>168.5</v>
      </c>
      <c r="M37" s="62">
        <f>71+95.9</f>
        <v>166.9</v>
      </c>
      <c r="N37" s="62">
        <f>70.6+97.8</f>
        <v>168.39999999999998</v>
      </c>
      <c r="O37" s="62">
        <f>71.2+92.1</f>
        <v>163.30000000000001</v>
      </c>
      <c r="P37" s="62">
        <f>71.2+97.8</f>
        <v>169</v>
      </c>
      <c r="Q37" s="62">
        <f>71.7+95.5</f>
        <v>167.2</v>
      </c>
      <c r="R37" s="62">
        <f>71.2+97.3</f>
        <v>168.5</v>
      </c>
      <c r="S37" s="64">
        <f>71.3+98</f>
        <v>169.3</v>
      </c>
      <c r="T37" s="64">
        <f>71.2+98.2</f>
        <v>169.4</v>
      </c>
      <c r="U37" s="64">
        <f>97.9+56.6</f>
        <v>154.5</v>
      </c>
      <c r="V37" s="64">
        <f>95.9+56.6</f>
        <v>152.5</v>
      </c>
      <c r="W37" s="64">
        <f>95.9+56.6</f>
        <v>152.5</v>
      </c>
      <c r="X37" s="64">
        <f>95.9+56.6</f>
        <v>152.5</v>
      </c>
      <c r="Y37" s="64">
        <f>96.5+71.6</f>
        <v>168.1</v>
      </c>
      <c r="Z37" s="64">
        <f>95.3+70.9</f>
        <v>166.2</v>
      </c>
      <c r="AA37" s="64">
        <v>166.2</v>
      </c>
      <c r="AB37" s="64">
        <v>166.2</v>
      </c>
      <c r="AC37" s="64">
        <f>70.8+96.1</f>
        <v>166.89999999999998</v>
      </c>
      <c r="AD37" s="64">
        <f>70.8+96.1</f>
        <v>166.89999999999998</v>
      </c>
      <c r="AE37" s="64">
        <f>71.5+98.1</f>
        <v>169.6</v>
      </c>
      <c r="AF37" s="64">
        <f>71.8+99</f>
        <v>170.8</v>
      </c>
      <c r="AG37" s="136">
        <v>240</v>
      </c>
      <c r="AH37" s="54">
        <f t="shared" si="2"/>
        <v>176.3</v>
      </c>
      <c r="AI37" s="55">
        <f t="shared" si="3"/>
        <v>152.5</v>
      </c>
      <c r="AK37" s="56"/>
    </row>
    <row r="38" spans="1:88" ht="15.75" thickBot="1" x14ac:dyDescent="0.3">
      <c r="A38" s="131" t="s">
        <v>22</v>
      </c>
      <c r="B38" s="66">
        <f t="shared" ref="B38:AG38" si="4">SUM(B11:B36)</f>
        <v>782.09999999999991</v>
      </c>
      <c r="C38" s="66">
        <f t="shared" si="4"/>
        <v>784</v>
      </c>
      <c r="D38" s="66">
        <f t="shared" si="4"/>
        <v>772.5</v>
      </c>
      <c r="E38" s="66">
        <f t="shared" si="4"/>
        <v>772.5</v>
      </c>
      <c r="F38" s="66">
        <f t="shared" si="4"/>
        <v>774</v>
      </c>
      <c r="G38" s="66">
        <f t="shared" si="4"/>
        <v>774.09999999999991</v>
      </c>
      <c r="H38" s="66">
        <f t="shared" si="4"/>
        <v>774.09999999999991</v>
      </c>
      <c r="I38" s="66">
        <f t="shared" si="4"/>
        <v>774.09999999999991</v>
      </c>
      <c r="J38" s="66">
        <f t="shared" si="4"/>
        <v>774.09999999999991</v>
      </c>
      <c r="K38" s="66">
        <f t="shared" si="4"/>
        <v>774.09999999999991</v>
      </c>
      <c r="L38" s="66">
        <f t="shared" si="4"/>
        <v>774.8</v>
      </c>
      <c r="M38" s="66">
        <f t="shared" si="4"/>
        <v>732.5</v>
      </c>
      <c r="N38" s="66">
        <f t="shared" si="4"/>
        <v>736.5</v>
      </c>
      <c r="O38" s="66">
        <f t="shared" si="4"/>
        <v>736.5</v>
      </c>
      <c r="P38" s="66">
        <f t="shared" si="4"/>
        <v>784.4</v>
      </c>
      <c r="Q38" s="66">
        <f t="shared" si="4"/>
        <v>766.4</v>
      </c>
      <c r="R38" s="66">
        <f t="shared" si="4"/>
        <v>791.4</v>
      </c>
      <c r="S38" s="66">
        <f t="shared" si="4"/>
        <v>816.7</v>
      </c>
      <c r="T38" s="66">
        <f t="shared" si="4"/>
        <v>823.8</v>
      </c>
      <c r="U38" s="66">
        <f t="shared" si="4"/>
        <v>825.8</v>
      </c>
      <c r="V38" s="66">
        <f t="shared" si="4"/>
        <v>825.8</v>
      </c>
      <c r="W38" s="66">
        <f t="shared" si="4"/>
        <v>815.8</v>
      </c>
      <c r="X38" s="66">
        <f t="shared" si="4"/>
        <v>815.8</v>
      </c>
      <c r="Y38" s="66">
        <f t="shared" si="4"/>
        <v>815.8</v>
      </c>
      <c r="Z38" s="66">
        <f t="shared" si="4"/>
        <v>823.7</v>
      </c>
      <c r="AA38" s="66">
        <f t="shared" si="4"/>
        <v>810.7</v>
      </c>
      <c r="AB38" s="66">
        <f t="shared" si="4"/>
        <v>803.59999999999991</v>
      </c>
      <c r="AC38" s="66">
        <f t="shared" si="4"/>
        <v>803.59999999999991</v>
      </c>
      <c r="AD38" s="66">
        <f t="shared" si="4"/>
        <v>789.59999999999991</v>
      </c>
      <c r="AE38" s="66">
        <f t="shared" si="4"/>
        <v>777.5</v>
      </c>
      <c r="AF38" s="66">
        <f t="shared" si="4"/>
        <v>777.6</v>
      </c>
      <c r="AG38" s="143">
        <f t="shared" si="4"/>
        <v>665.78</v>
      </c>
      <c r="AH38" s="54">
        <f t="shared" si="2"/>
        <v>825.8</v>
      </c>
      <c r="AI38" s="55">
        <f t="shared" si="3"/>
        <v>732.5</v>
      </c>
      <c r="AK38" s="56"/>
    </row>
    <row r="39" spans="1:88" x14ac:dyDescent="0.25">
      <c r="A39" s="159" t="s">
        <v>130</v>
      </c>
      <c r="B39" s="50">
        <v>456</v>
      </c>
      <c r="C39" s="50">
        <v>456</v>
      </c>
      <c r="D39" s="50">
        <v>456</v>
      </c>
      <c r="E39" s="50">
        <v>456</v>
      </c>
      <c r="F39" s="50">
        <v>456</v>
      </c>
      <c r="G39" s="50">
        <v>380</v>
      </c>
      <c r="H39" s="50">
        <v>380</v>
      </c>
      <c r="I39" s="50">
        <v>380</v>
      </c>
      <c r="J39" s="50">
        <v>380</v>
      </c>
      <c r="K39" s="50">
        <v>380</v>
      </c>
      <c r="L39" s="50">
        <v>380</v>
      </c>
      <c r="M39" s="50">
        <v>380</v>
      </c>
      <c r="N39" s="50">
        <v>400</v>
      </c>
      <c r="O39" s="50">
        <v>400</v>
      </c>
      <c r="P39" s="50">
        <v>456</v>
      </c>
      <c r="Q39" s="50">
        <v>456</v>
      </c>
      <c r="R39" s="50">
        <v>456</v>
      </c>
      <c r="S39" s="50">
        <v>456</v>
      </c>
      <c r="T39" s="50">
        <v>456</v>
      </c>
      <c r="U39" s="50">
        <v>456</v>
      </c>
      <c r="V39" s="50">
        <v>456</v>
      </c>
      <c r="W39" s="50">
        <v>456</v>
      </c>
      <c r="X39" s="50">
        <v>456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456</v>
      </c>
      <c r="AF39" s="50">
        <v>410</v>
      </c>
      <c r="AG39" s="135">
        <v>456</v>
      </c>
      <c r="AH39" s="54">
        <f t="shared" si="2"/>
        <v>456</v>
      </c>
      <c r="AI39" s="55">
        <f t="shared" si="3"/>
        <v>380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f t="shared" ref="B42" si="5">SUM(B39:B41)</f>
        <v>538</v>
      </c>
      <c r="C42" s="66">
        <f t="shared" ref="C42:AG42" si="6">SUM(C39:C41)</f>
        <v>538</v>
      </c>
      <c r="D42" s="66">
        <f t="shared" si="6"/>
        <v>538</v>
      </c>
      <c r="E42" s="66">
        <f t="shared" si="6"/>
        <v>538</v>
      </c>
      <c r="F42" s="66">
        <f t="shared" si="6"/>
        <v>538</v>
      </c>
      <c r="G42" s="66">
        <f t="shared" si="6"/>
        <v>462</v>
      </c>
      <c r="H42" s="66">
        <f t="shared" si="6"/>
        <v>462</v>
      </c>
      <c r="I42" s="66">
        <f t="shared" si="6"/>
        <v>462</v>
      </c>
      <c r="J42" s="66">
        <f t="shared" si="6"/>
        <v>462</v>
      </c>
      <c r="K42" s="66">
        <f t="shared" si="6"/>
        <v>462</v>
      </c>
      <c r="L42" s="66">
        <f t="shared" si="6"/>
        <v>462</v>
      </c>
      <c r="M42" s="66">
        <f t="shared" si="6"/>
        <v>462</v>
      </c>
      <c r="N42" s="66">
        <f t="shared" si="6"/>
        <v>482</v>
      </c>
      <c r="O42" s="66">
        <f t="shared" si="6"/>
        <v>482</v>
      </c>
      <c r="P42" s="66">
        <f t="shared" si="6"/>
        <v>538</v>
      </c>
      <c r="Q42" s="66">
        <f t="shared" si="6"/>
        <v>538</v>
      </c>
      <c r="R42" s="66">
        <f t="shared" si="6"/>
        <v>538</v>
      </c>
      <c r="S42" s="66">
        <f t="shared" si="6"/>
        <v>538</v>
      </c>
      <c r="T42" s="66">
        <f t="shared" si="6"/>
        <v>538</v>
      </c>
      <c r="U42" s="66">
        <f t="shared" si="6"/>
        <v>538</v>
      </c>
      <c r="V42" s="66">
        <f t="shared" si="6"/>
        <v>538</v>
      </c>
      <c r="W42" s="66">
        <f t="shared" si="6"/>
        <v>538</v>
      </c>
      <c r="X42" s="66">
        <f t="shared" si="6"/>
        <v>538</v>
      </c>
      <c r="Y42" s="66">
        <f t="shared" si="6"/>
        <v>538</v>
      </c>
      <c r="Z42" s="66">
        <f t="shared" si="6"/>
        <v>538</v>
      </c>
      <c r="AA42" s="66">
        <f t="shared" si="6"/>
        <v>538</v>
      </c>
      <c r="AB42" s="66">
        <f t="shared" si="6"/>
        <v>538</v>
      </c>
      <c r="AC42" s="66">
        <f t="shared" si="6"/>
        <v>538</v>
      </c>
      <c r="AD42" s="66">
        <f t="shared" si="6"/>
        <v>538</v>
      </c>
      <c r="AE42" s="66">
        <f t="shared" si="6"/>
        <v>538</v>
      </c>
      <c r="AF42" s="66">
        <f t="shared" si="6"/>
        <v>492</v>
      </c>
      <c r="AG42" s="143">
        <f t="shared" si="6"/>
        <v>538.1</v>
      </c>
      <c r="AH42" s="54">
        <f t="shared" si="2"/>
        <v>538</v>
      </c>
      <c r="AI42" s="55">
        <f t="shared" si="3"/>
        <v>462</v>
      </c>
      <c r="AK42" s="56"/>
    </row>
    <row r="43" spans="1:88" x14ac:dyDescent="0.25">
      <c r="A43" s="57" t="s">
        <v>23</v>
      </c>
      <c r="B43" s="50">
        <v>141.4</v>
      </c>
      <c r="C43" s="50">
        <v>141.4</v>
      </c>
      <c r="D43" s="50">
        <v>140.69999999999999</v>
      </c>
      <c r="E43" s="50">
        <v>126</v>
      </c>
      <c r="F43" s="50">
        <v>126</v>
      </c>
      <c r="G43" s="50">
        <v>126</v>
      </c>
      <c r="H43" s="50">
        <v>126.2</v>
      </c>
      <c r="I43" s="50">
        <v>126.2</v>
      </c>
      <c r="J43" s="50">
        <v>126.2</v>
      </c>
      <c r="K43" s="50">
        <v>126.4</v>
      </c>
      <c r="L43" s="50">
        <v>140.19999999999999</v>
      </c>
      <c r="M43" s="50">
        <v>140.19999999999999</v>
      </c>
      <c r="N43" s="50">
        <v>140.19999999999999</v>
      </c>
      <c r="O43" s="50">
        <v>140.19999999999999</v>
      </c>
      <c r="P43" s="50">
        <v>140</v>
      </c>
      <c r="Q43" s="50">
        <v>140</v>
      </c>
      <c r="R43" s="50">
        <v>140</v>
      </c>
      <c r="S43" s="50">
        <v>141</v>
      </c>
      <c r="T43" s="50">
        <v>141</v>
      </c>
      <c r="U43" s="50">
        <v>141</v>
      </c>
      <c r="V43" s="50">
        <v>141</v>
      </c>
      <c r="W43" s="50">
        <v>141</v>
      </c>
      <c r="X43" s="50">
        <v>141</v>
      </c>
      <c r="Y43" s="50">
        <v>141</v>
      </c>
      <c r="Z43" s="50">
        <v>141</v>
      </c>
      <c r="AA43" s="50">
        <v>141</v>
      </c>
      <c r="AB43" s="50">
        <v>141</v>
      </c>
      <c r="AC43" s="50">
        <v>142.19999999999999</v>
      </c>
      <c r="AD43" s="50">
        <v>142.19999999999999</v>
      </c>
      <c r="AE43" s="50">
        <v>121.3</v>
      </c>
      <c r="AF43" s="50">
        <v>141.4</v>
      </c>
      <c r="AG43" s="135">
        <v>144</v>
      </c>
      <c r="AH43" s="54">
        <f t="shared" si="2"/>
        <v>142.19999999999999</v>
      </c>
      <c r="AI43" s="55">
        <f t="shared" si="3"/>
        <v>121.3</v>
      </c>
      <c r="AK43" s="56"/>
    </row>
    <row r="44" spans="1:88" x14ac:dyDescent="0.25">
      <c r="A44" s="60" t="s">
        <v>24</v>
      </c>
      <c r="B44" s="48">
        <v>72</v>
      </c>
      <c r="C44" s="48">
        <v>71.8</v>
      </c>
      <c r="D44" s="48">
        <v>72.400000000000006</v>
      </c>
      <c r="E44" s="48">
        <v>70.900000000000006</v>
      </c>
      <c r="F44" s="48">
        <v>55.7</v>
      </c>
      <c r="G44" s="48">
        <v>56</v>
      </c>
      <c r="H44" s="48">
        <v>56.3</v>
      </c>
      <c r="I44" s="48">
        <v>56.6</v>
      </c>
      <c r="J44" s="48">
        <v>56.2</v>
      </c>
      <c r="K44" s="48">
        <v>56.1</v>
      </c>
      <c r="L44" s="48">
        <v>72.599999999999994</v>
      </c>
      <c r="M44" s="48">
        <v>72.599999999999994</v>
      </c>
      <c r="N44" s="48">
        <v>72.599999999999994</v>
      </c>
      <c r="O44" s="48">
        <v>72.599999999999994</v>
      </c>
      <c r="P44" s="50">
        <v>70.400000000000006</v>
      </c>
      <c r="Q44" s="50">
        <v>72.400000000000006</v>
      </c>
      <c r="R44" s="50">
        <v>70.7</v>
      </c>
      <c r="S44" s="50">
        <v>70.7</v>
      </c>
      <c r="T44" s="50">
        <v>70.7</v>
      </c>
      <c r="U44" s="50">
        <v>70.7</v>
      </c>
      <c r="V44" s="50">
        <v>70.7</v>
      </c>
      <c r="W44" s="50">
        <v>70.7</v>
      </c>
      <c r="X44" s="50">
        <v>70.7</v>
      </c>
      <c r="Y44" s="50">
        <v>70.7</v>
      </c>
      <c r="Z44" s="50">
        <v>70.7</v>
      </c>
      <c r="AA44" s="48">
        <v>70.7</v>
      </c>
      <c r="AB44" s="48">
        <v>70.7</v>
      </c>
      <c r="AC44" s="48">
        <v>71.7</v>
      </c>
      <c r="AD44" s="48">
        <v>71.7</v>
      </c>
      <c r="AE44" s="48">
        <v>71.900000000000006</v>
      </c>
      <c r="AF44" s="48">
        <v>72.2</v>
      </c>
      <c r="AG44" s="136">
        <v>70</v>
      </c>
      <c r="AH44" s="54">
        <f t="shared" si="2"/>
        <v>72.599999999999994</v>
      </c>
      <c r="AI44" s="55">
        <f t="shared" si="3"/>
        <v>55.7</v>
      </c>
      <c r="AK44" s="56"/>
    </row>
    <row r="45" spans="1:88" x14ac:dyDescent="0.25">
      <c r="A45" s="60" t="s">
        <v>25</v>
      </c>
      <c r="B45" s="48">
        <v>63.6</v>
      </c>
      <c r="C45" s="48">
        <v>63.6</v>
      </c>
      <c r="D45" s="48">
        <v>50</v>
      </c>
      <c r="E45" s="48">
        <v>62.4</v>
      </c>
      <c r="F45" s="48">
        <v>53.7</v>
      </c>
      <c r="G45" s="48">
        <v>53.7</v>
      </c>
      <c r="H45" s="48">
        <v>53.9</v>
      </c>
      <c r="I45" s="48">
        <v>54</v>
      </c>
      <c r="J45" s="48">
        <v>53.9</v>
      </c>
      <c r="K45" s="48">
        <v>54</v>
      </c>
      <c r="L45" s="48">
        <v>63.5</v>
      </c>
      <c r="M45" s="48">
        <v>53</v>
      </c>
      <c r="N45" s="48">
        <v>53</v>
      </c>
      <c r="O45" s="48">
        <v>53</v>
      </c>
      <c r="P45" s="50">
        <v>61.6</v>
      </c>
      <c r="Q45" s="50">
        <v>61.3</v>
      </c>
      <c r="R45" s="50">
        <v>61.7</v>
      </c>
      <c r="S45" s="50">
        <v>61.7</v>
      </c>
      <c r="T45" s="50">
        <v>61.7</v>
      </c>
      <c r="U45" s="50">
        <v>61.7</v>
      </c>
      <c r="V45" s="50">
        <v>61.7</v>
      </c>
      <c r="W45" s="50">
        <v>63.4</v>
      </c>
      <c r="X45" s="50">
        <v>63.4</v>
      </c>
      <c r="Y45" s="50">
        <v>63.4</v>
      </c>
      <c r="Z45" s="50">
        <v>63.4</v>
      </c>
      <c r="AA45" s="48">
        <v>63.4</v>
      </c>
      <c r="AB45" s="48">
        <v>63.4</v>
      </c>
      <c r="AC45" s="48">
        <v>62.9</v>
      </c>
      <c r="AD45" s="48">
        <v>62.9</v>
      </c>
      <c r="AE45" s="48">
        <v>62.5</v>
      </c>
      <c r="AF45" s="48">
        <v>62.6</v>
      </c>
      <c r="AG45" s="136">
        <v>69</v>
      </c>
      <c r="AH45" s="54">
        <f t="shared" si="2"/>
        <v>63.6</v>
      </c>
      <c r="AI45" s="55">
        <f t="shared" si="3"/>
        <v>50</v>
      </c>
      <c r="AK45" s="56"/>
    </row>
    <row r="46" spans="1:88" x14ac:dyDescent="0.25">
      <c r="A46" s="60" t="s">
        <v>26</v>
      </c>
      <c r="B46" s="62">
        <v>61.5</v>
      </c>
      <c r="C46" s="62">
        <v>50</v>
      </c>
      <c r="D46" s="62">
        <v>60.9</v>
      </c>
      <c r="E46" s="62">
        <v>60.9</v>
      </c>
      <c r="F46" s="62">
        <v>40.299999999999997</v>
      </c>
      <c r="G46" s="62">
        <v>40.299999999999997</v>
      </c>
      <c r="H46" s="62">
        <v>40.299999999999997</v>
      </c>
      <c r="I46" s="62">
        <v>50</v>
      </c>
      <c r="J46" s="62">
        <v>49.6</v>
      </c>
      <c r="K46" s="62">
        <v>50</v>
      </c>
      <c r="L46" s="62">
        <v>60</v>
      </c>
      <c r="M46" s="62">
        <v>60</v>
      </c>
      <c r="N46" s="62">
        <v>60</v>
      </c>
      <c r="O46" s="62">
        <v>60</v>
      </c>
      <c r="P46" s="50">
        <v>61.3</v>
      </c>
      <c r="Q46" s="50">
        <v>61.4</v>
      </c>
      <c r="R46" s="50">
        <v>61.4</v>
      </c>
      <c r="S46" s="50">
        <v>61.4</v>
      </c>
      <c r="T46" s="50">
        <v>61.4</v>
      </c>
      <c r="U46" s="50">
        <v>61.4</v>
      </c>
      <c r="V46" s="50">
        <v>61.4</v>
      </c>
      <c r="W46" s="50">
        <v>61.4</v>
      </c>
      <c r="X46" s="50">
        <v>61.4</v>
      </c>
      <c r="Y46" s="50">
        <v>61.4</v>
      </c>
      <c r="Z46" s="50">
        <v>61.4</v>
      </c>
      <c r="AA46" s="48">
        <v>61.4</v>
      </c>
      <c r="AB46" s="48">
        <v>61.4</v>
      </c>
      <c r="AC46" s="62">
        <v>60.4</v>
      </c>
      <c r="AD46" s="62">
        <v>60.4</v>
      </c>
      <c r="AE46" s="62">
        <v>49.4</v>
      </c>
      <c r="AF46" s="62">
        <v>62.5</v>
      </c>
      <c r="AG46" s="136">
        <v>60</v>
      </c>
      <c r="AH46" s="54">
        <f t="shared" si="2"/>
        <v>62.5</v>
      </c>
      <c r="AI46" s="55">
        <f t="shared" si="3"/>
        <v>40.299999999999997</v>
      </c>
      <c r="AK46" s="56"/>
    </row>
    <row r="47" spans="1:88" x14ac:dyDescent="0.25">
      <c r="A47" s="60" t="s">
        <v>27</v>
      </c>
      <c r="B47" s="62">
        <v>14.8</v>
      </c>
      <c r="C47" s="62">
        <v>14.8</v>
      </c>
      <c r="D47" s="62">
        <v>14.7</v>
      </c>
      <c r="E47" s="62">
        <v>14.7</v>
      </c>
      <c r="F47" s="62">
        <v>14.7</v>
      </c>
      <c r="G47" s="62">
        <v>14.8</v>
      </c>
      <c r="H47" s="62">
        <v>14.8</v>
      </c>
      <c r="I47" s="62">
        <v>13.4</v>
      </c>
      <c r="J47" s="62">
        <v>13.4</v>
      </c>
      <c r="K47" s="62">
        <v>13.4</v>
      </c>
      <c r="L47" s="62">
        <v>13.4</v>
      </c>
      <c r="M47" s="62">
        <v>13.4</v>
      </c>
      <c r="N47" s="62">
        <v>13.4</v>
      </c>
      <c r="O47" s="62">
        <v>13.4</v>
      </c>
      <c r="P47" s="50">
        <v>28.2</v>
      </c>
      <c r="Q47" s="50">
        <v>28.2</v>
      </c>
      <c r="R47" s="50">
        <v>28.2</v>
      </c>
      <c r="S47" s="50">
        <v>28.2</v>
      </c>
      <c r="T47" s="50">
        <v>28.2</v>
      </c>
      <c r="U47" s="50">
        <v>28.2</v>
      </c>
      <c r="V47" s="50">
        <v>0</v>
      </c>
      <c r="W47" s="50">
        <v>0</v>
      </c>
      <c r="X47" s="50">
        <v>0</v>
      </c>
      <c r="Y47" s="50">
        <v>0</v>
      </c>
      <c r="Z47" s="50">
        <v>28.9</v>
      </c>
      <c r="AA47" s="48">
        <v>28.9</v>
      </c>
      <c r="AB47" s="48">
        <v>28.9</v>
      </c>
      <c r="AC47" s="48">
        <v>28.9</v>
      </c>
      <c r="AD47" s="48">
        <v>28.9</v>
      </c>
      <c r="AE47" s="62">
        <v>28.4</v>
      </c>
      <c r="AF47" s="62">
        <v>26.4</v>
      </c>
      <c r="AG47" s="136">
        <v>30</v>
      </c>
      <c r="AH47" s="54">
        <f t="shared" si="2"/>
        <v>28.9</v>
      </c>
      <c r="AI47" s="55">
        <f t="shared" si="3"/>
        <v>0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62">
        <v>0</v>
      </c>
      <c r="G48" s="62">
        <v>0</v>
      </c>
      <c r="H48" s="62">
        <v>0</v>
      </c>
      <c r="I48" s="62">
        <v>0</v>
      </c>
      <c r="J48" s="62">
        <v>0</v>
      </c>
      <c r="K48" s="62">
        <v>0</v>
      </c>
      <c r="L48" s="62">
        <v>0</v>
      </c>
      <c r="M48" s="62">
        <v>7</v>
      </c>
      <c r="N48" s="62">
        <v>8</v>
      </c>
      <c r="O48" s="62">
        <v>8</v>
      </c>
      <c r="P48" s="50">
        <v>8</v>
      </c>
      <c r="Q48" s="50">
        <v>8</v>
      </c>
      <c r="R48" s="50">
        <v>8</v>
      </c>
      <c r="S48" s="50">
        <v>8</v>
      </c>
      <c r="T48" s="50">
        <v>8</v>
      </c>
      <c r="U48" s="50">
        <v>8</v>
      </c>
      <c r="V48" s="50">
        <v>8</v>
      </c>
      <c r="W48" s="50">
        <v>8</v>
      </c>
      <c r="X48" s="50">
        <v>8</v>
      </c>
      <c r="Y48" s="50">
        <v>8</v>
      </c>
      <c r="Z48" s="50">
        <v>0</v>
      </c>
      <c r="AA48" s="50">
        <v>0</v>
      </c>
      <c r="AB48" s="50">
        <v>0</v>
      </c>
      <c r="AC48" s="50">
        <v>0</v>
      </c>
      <c r="AD48" s="50">
        <v>0</v>
      </c>
      <c r="AE48" s="48">
        <v>0</v>
      </c>
      <c r="AF48" s="48">
        <v>0</v>
      </c>
      <c r="AG48" s="136">
        <v>25</v>
      </c>
      <c r="AH48" s="54">
        <f t="shared" si="2"/>
        <v>8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16.5</v>
      </c>
      <c r="C49" s="48">
        <v>16.5</v>
      </c>
      <c r="D49" s="48">
        <v>16.5</v>
      </c>
      <c r="E49" s="48">
        <v>16.5</v>
      </c>
      <c r="F49" s="48">
        <v>16.399999999999999</v>
      </c>
      <c r="G49" s="48">
        <v>16.399999999999999</v>
      </c>
      <c r="H49" s="48">
        <v>16.399999999999999</v>
      </c>
      <c r="I49" s="48">
        <v>16.399999999999999</v>
      </c>
      <c r="J49" s="48">
        <v>16.399999999999999</v>
      </c>
      <c r="K49" s="48">
        <v>16.399999999999999</v>
      </c>
      <c r="L49" s="48">
        <v>16.399999999999999</v>
      </c>
      <c r="M49" s="48">
        <v>16.399999999999999</v>
      </c>
      <c r="N49" s="48">
        <v>16.399999999999999</v>
      </c>
      <c r="O49" s="48">
        <v>16.399999999999999</v>
      </c>
      <c r="P49" s="50">
        <v>16.8</v>
      </c>
      <c r="Q49" s="50">
        <v>16.8</v>
      </c>
      <c r="R49" s="50">
        <v>16.8</v>
      </c>
      <c r="S49" s="50">
        <v>16.8</v>
      </c>
      <c r="T49" s="50">
        <v>16.8</v>
      </c>
      <c r="U49" s="50">
        <v>16.8</v>
      </c>
      <c r="V49" s="50">
        <v>16.8</v>
      </c>
      <c r="W49" s="50">
        <v>16.8</v>
      </c>
      <c r="X49" s="50">
        <v>16.8</v>
      </c>
      <c r="Y49" s="50">
        <v>16.8</v>
      </c>
      <c r="Z49" s="50">
        <v>16.8</v>
      </c>
      <c r="AA49" s="50">
        <v>16.8</v>
      </c>
      <c r="AB49" s="50">
        <v>16.8</v>
      </c>
      <c r="AC49" s="50">
        <v>16.8</v>
      </c>
      <c r="AD49" s="50">
        <v>16.8</v>
      </c>
      <c r="AE49" s="48">
        <v>16.8</v>
      </c>
      <c r="AF49" s="48">
        <v>16.8</v>
      </c>
      <c r="AG49" s="136">
        <v>24</v>
      </c>
      <c r="AH49" s="54">
        <f t="shared" si="2"/>
        <v>16.8</v>
      </c>
      <c r="AI49" s="55">
        <f t="shared" si="3"/>
        <v>16.399999999999999</v>
      </c>
      <c r="AK49" s="56"/>
    </row>
    <row r="50" spans="1:41" x14ac:dyDescent="0.25">
      <c r="A50" s="60" t="s">
        <v>30</v>
      </c>
      <c r="B50" s="48">
        <v>0</v>
      </c>
      <c r="C50" s="48">
        <v>0</v>
      </c>
      <c r="D50" s="48">
        <v>0</v>
      </c>
      <c r="E50" s="48">
        <v>0</v>
      </c>
      <c r="F50" s="48">
        <v>0</v>
      </c>
      <c r="G50" s="48">
        <v>0</v>
      </c>
      <c r="H50" s="48">
        <v>0</v>
      </c>
      <c r="I50" s="48">
        <v>0</v>
      </c>
      <c r="J50" s="48">
        <v>0</v>
      </c>
      <c r="K50" s="48">
        <v>0</v>
      </c>
      <c r="L50" s="48">
        <v>0</v>
      </c>
      <c r="M50" s="48">
        <v>0</v>
      </c>
      <c r="N50" s="48">
        <v>2.5</v>
      </c>
      <c r="O50" s="48">
        <v>2.5</v>
      </c>
      <c r="P50" s="50">
        <v>2.5</v>
      </c>
      <c r="Q50" s="50">
        <v>2.5</v>
      </c>
      <c r="R50" s="50">
        <v>2.5</v>
      </c>
      <c r="S50" s="50">
        <v>2.5</v>
      </c>
      <c r="T50" s="50">
        <v>2.5</v>
      </c>
      <c r="U50" s="50">
        <v>2.5</v>
      </c>
      <c r="V50" s="50">
        <v>2.5</v>
      </c>
      <c r="W50" s="50">
        <v>2.5</v>
      </c>
      <c r="X50" s="50">
        <v>2.5</v>
      </c>
      <c r="Y50" s="50">
        <v>2.5</v>
      </c>
      <c r="Z50" s="50">
        <v>2.5</v>
      </c>
      <c r="AA50" s="50">
        <v>2.5</v>
      </c>
      <c r="AB50" s="50">
        <v>2.5</v>
      </c>
      <c r="AC50" s="50">
        <v>2.5</v>
      </c>
      <c r="AD50" s="50">
        <v>2.5</v>
      </c>
      <c r="AE50" s="48">
        <v>2.5</v>
      </c>
      <c r="AF50" s="48">
        <v>2.5</v>
      </c>
      <c r="AG50" s="136">
        <v>15</v>
      </c>
      <c r="AH50" s="54">
        <f t="shared" si="2"/>
        <v>2.5</v>
      </c>
      <c r="AI50" s="55">
        <f t="shared" si="3"/>
        <v>0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12.3</v>
      </c>
      <c r="C51" s="48">
        <v>12.3</v>
      </c>
      <c r="D51" s="48">
        <v>12.3</v>
      </c>
      <c r="E51" s="48">
        <v>12.3</v>
      </c>
      <c r="F51" s="48">
        <v>12.5</v>
      </c>
      <c r="G51" s="48">
        <v>12.5</v>
      </c>
      <c r="H51" s="48">
        <v>12.3</v>
      </c>
      <c r="I51" s="48">
        <v>12.1</v>
      </c>
      <c r="J51" s="48">
        <v>12.1</v>
      </c>
      <c r="K51" s="48">
        <v>11.8</v>
      </c>
      <c r="L51" s="48">
        <v>11.8</v>
      </c>
      <c r="M51" s="48">
        <v>11.8</v>
      </c>
      <c r="N51" s="48">
        <v>11.8</v>
      </c>
      <c r="O51" s="48">
        <v>11.8</v>
      </c>
      <c r="P51" s="50">
        <v>12.3</v>
      </c>
      <c r="Q51" s="50">
        <v>12.3</v>
      </c>
      <c r="R51" s="50">
        <v>12.3</v>
      </c>
      <c r="S51" s="50">
        <v>12.3</v>
      </c>
      <c r="T51" s="50">
        <v>12.3</v>
      </c>
      <c r="U51" s="50">
        <v>12.3</v>
      </c>
      <c r="V51" s="50">
        <v>12.3</v>
      </c>
      <c r="W51" s="50">
        <v>12.3</v>
      </c>
      <c r="X51" s="50">
        <v>12.3</v>
      </c>
      <c r="Y51" s="50">
        <v>12.3</v>
      </c>
      <c r="Z51" s="50">
        <v>12.3</v>
      </c>
      <c r="AA51" s="50">
        <v>12.3</v>
      </c>
      <c r="AB51" s="50">
        <v>12.3</v>
      </c>
      <c r="AC51" s="50">
        <v>12.3</v>
      </c>
      <c r="AD51" s="50">
        <v>12.3</v>
      </c>
      <c r="AE51" s="48">
        <v>12.5</v>
      </c>
      <c r="AF51" s="48">
        <v>12.4</v>
      </c>
      <c r="AG51" s="136">
        <v>14.1</v>
      </c>
      <c r="AH51" s="54">
        <f t="shared" si="2"/>
        <v>12.5</v>
      </c>
      <c r="AI51" s="55">
        <f t="shared" si="3"/>
        <v>11.8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14</v>
      </c>
      <c r="C52" s="48">
        <v>14</v>
      </c>
      <c r="D52" s="48">
        <v>10</v>
      </c>
      <c r="E52" s="48">
        <v>4.7</v>
      </c>
      <c r="F52" s="48">
        <v>6.6</v>
      </c>
      <c r="G52" s="48">
        <v>6.6</v>
      </c>
      <c r="H52" s="48">
        <v>8.6</v>
      </c>
      <c r="I52" s="48">
        <v>9.1999999999999993</v>
      </c>
      <c r="J52" s="48">
        <v>8.1999999999999993</v>
      </c>
      <c r="K52" s="48">
        <v>8.8000000000000007</v>
      </c>
      <c r="L52" s="48">
        <v>8.8000000000000007</v>
      </c>
      <c r="M52" s="48">
        <v>8.8000000000000007</v>
      </c>
      <c r="N52" s="48">
        <v>8.8000000000000007</v>
      </c>
      <c r="O52" s="48">
        <v>8.8000000000000007</v>
      </c>
      <c r="P52" s="50">
        <v>14</v>
      </c>
      <c r="Q52" s="50">
        <v>14</v>
      </c>
      <c r="R52" s="50">
        <v>14</v>
      </c>
      <c r="S52" s="50">
        <v>14</v>
      </c>
      <c r="T52" s="50">
        <v>14</v>
      </c>
      <c r="U52" s="50">
        <v>14</v>
      </c>
      <c r="V52" s="50">
        <v>6</v>
      </c>
      <c r="W52" s="50">
        <v>13.8</v>
      </c>
      <c r="X52" s="50">
        <v>13.8</v>
      </c>
      <c r="Y52" s="50">
        <v>13.8</v>
      </c>
      <c r="Z52" s="50">
        <v>13.8</v>
      </c>
      <c r="AA52" s="50">
        <v>13.8</v>
      </c>
      <c r="AB52" s="50">
        <v>13.8</v>
      </c>
      <c r="AC52" s="50">
        <v>13.8</v>
      </c>
      <c r="AD52" s="50">
        <v>13.8</v>
      </c>
      <c r="AE52" s="48">
        <v>13.8</v>
      </c>
      <c r="AF52" s="48">
        <v>11.2</v>
      </c>
      <c r="AG52" s="136">
        <v>14</v>
      </c>
      <c r="AH52" s="54">
        <f t="shared" si="2"/>
        <v>14</v>
      </c>
      <c r="AI52" s="55">
        <f t="shared" si="3"/>
        <v>4.7</v>
      </c>
      <c r="AK52" s="56"/>
    </row>
    <row r="53" spans="1:41" x14ac:dyDescent="0.25">
      <c r="A53" s="60" t="s">
        <v>33</v>
      </c>
      <c r="B53" s="48">
        <v>6.2</v>
      </c>
      <c r="C53" s="48">
        <v>6.2</v>
      </c>
      <c r="D53" s="48">
        <v>6.2</v>
      </c>
      <c r="E53" s="48">
        <v>6.2</v>
      </c>
      <c r="F53" s="48">
        <v>6.3</v>
      </c>
      <c r="G53" s="48">
        <v>6.3</v>
      </c>
      <c r="H53" s="48">
        <v>6.3</v>
      </c>
      <c r="I53" s="48">
        <v>6.3</v>
      </c>
      <c r="J53" s="48">
        <v>6.3</v>
      </c>
      <c r="K53" s="48">
        <v>6.3</v>
      </c>
      <c r="L53" s="48">
        <v>6.3</v>
      </c>
      <c r="M53" s="48">
        <v>6.3</v>
      </c>
      <c r="N53" s="48">
        <v>6.3</v>
      </c>
      <c r="O53" s="48">
        <v>6.3</v>
      </c>
      <c r="P53" s="50">
        <v>6.3</v>
      </c>
      <c r="Q53" s="50">
        <v>6.3</v>
      </c>
      <c r="R53" s="50">
        <v>6.3</v>
      </c>
      <c r="S53" s="50">
        <v>6.3</v>
      </c>
      <c r="T53" s="50">
        <v>6.3</v>
      </c>
      <c r="U53" s="50">
        <v>6.3</v>
      </c>
      <c r="V53" s="50">
        <v>0</v>
      </c>
      <c r="W53" s="50">
        <v>0</v>
      </c>
      <c r="X53" s="50">
        <v>0</v>
      </c>
      <c r="Y53" s="50">
        <v>0</v>
      </c>
      <c r="Z53" s="50">
        <v>0</v>
      </c>
      <c r="AA53" s="50">
        <v>6.4</v>
      </c>
      <c r="AB53" s="50">
        <v>6.4</v>
      </c>
      <c r="AC53" s="50">
        <v>6.4</v>
      </c>
      <c r="AD53" s="50">
        <v>6.4</v>
      </c>
      <c r="AE53" s="48">
        <v>9.6</v>
      </c>
      <c r="AF53" s="48">
        <v>9.6</v>
      </c>
      <c r="AG53" s="136">
        <v>10.050000000000001</v>
      </c>
      <c r="AH53" s="54">
        <f t="shared" si="2"/>
        <v>9.6</v>
      </c>
      <c r="AI53" s="55">
        <f t="shared" si="3"/>
        <v>0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48">
        <v>6.2</v>
      </c>
      <c r="N54" s="48">
        <v>6.2</v>
      </c>
      <c r="O54" s="48">
        <v>6.2</v>
      </c>
      <c r="P54" s="50">
        <v>6.2</v>
      </c>
      <c r="Q54" s="50">
        <v>6.2</v>
      </c>
      <c r="R54" s="50">
        <v>6.2</v>
      </c>
      <c r="S54" s="50">
        <v>6.2</v>
      </c>
      <c r="T54" s="50">
        <v>6.2</v>
      </c>
      <c r="U54" s="50">
        <v>6.2</v>
      </c>
      <c r="V54" s="50">
        <v>6.2</v>
      </c>
      <c r="W54" s="50">
        <v>6.2</v>
      </c>
      <c r="X54" s="50">
        <v>6.2</v>
      </c>
      <c r="Y54" s="50">
        <v>6.2</v>
      </c>
      <c r="Z54" s="50">
        <v>6.2</v>
      </c>
      <c r="AA54" s="50">
        <v>6.2</v>
      </c>
      <c r="AB54" s="50">
        <v>6.2</v>
      </c>
      <c r="AC54" s="50">
        <v>6.2</v>
      </c>
      <c r="AD54" s="50">
        <v>6.2</v>
      </c>
      <c r="AE54" s="48">
        <v>6.2</v>
      </c>
      <c r="AF54" s="48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7">AG220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 t="shared" ref="B56" si="8">SUM(B43:B55)</f>
        <v>412.04</v>
      </c>
      <c r="C56" s="66">
        <f t="shared" ref="C56:AG56" si="9">SUM(C43:C55)</f>
        <v>400.34000000000003</v>
      </c>
      <c r="D56" s="66">
        <f t="shared" si="9"/>
        <v>393.44</v>
      </c>
      <c r="E56" s="66">
        <f t="shared" si="9"/>
        <v>384.34</v>
      </c>
      <c r="F56" s="66">
        <f t="shared" si="9"/>
        <v>341.94</v>
      </c>
      <c r="G56" s="66">
        <f t="shared" si="9"/>
        <v>342.34000000000003</v>
      </c>
      <c r="H56" s="66">
        <f t="shared" si="9"/>
        <v>344.84000000000003</v>
      </c>
      <c r="I56" s="66">
        <f t="shared" si="9"/>
        <v>353.94</v>
      </c>
      <c r="J56" s="66">
        <f t="shared" si="9"/>
        <v>352.04</v>
      </c>
      <c r="K56" s="66">
        <f t="shared" si="9"/>
        <v>352.94</v>
      </c>
      <c r="L56" s="66">
        <f t="shared" si="9"/>
        <v>402.73999999999995</v>
      </c>
      <c r="M56" s="66">
        <f t="shared" si="9"/>
        <v>399.23999999999995</v>
      </c>
      <c r="N56" s="66">
        <f t="shared" si="9"/>
        <v>402.73999999999995</v>
      </c>
      <c r="O56" s="66">
        <f t="shared" si="9"/>
        <v>402.73999999999995</v>
      </c>
      <c r="P56" s="66">
        <f t="shared" si="9"/>
        <v>431.14000000000004</v>
      </c>
      <c r="Q56" s="66">
        <f t="shared" si="9"/>
        <v>432.94</v>
      </c>
      <c r="R56" s="66">
        <f t="shared" si="9"/>
        <v>431.64</v>
      </c>
      <c r="S56" s="66">
        <f t="shared" si="9"/>
        <v>432.64</v>
      </c>
      <c r="T56" s="66">
        <f t="shared" si="9"/>
        <v>432.64</v>
      </c>
      <c r="U56" s="66">
        <f t="shared" si="9"/>
        <v>432.64</v>
      </c>
      <c r="V56" s="66">
        <f t="shared" si="9"/>
        <v>390.14</v>
      </c>
      <c r="W56" s="66">
        <f t="shared" si="9"/>
        <v>399.64</v>
      </c>
      <c r="X56" s="66">
        <f t="shared" si="9"/>
        <v>399.64</v>
      </c>
      <c r="Y56" s="66">
        <f t="shared" si="9"/>
        <v>399.64</v>
      </c>
      <c r="Z56" s="66">
        <f t="shared" si="9"/>
        <v>420.53999999999996</v>
      </c>
      <c r="AA56" s="66">
        <f t="shared" si="9"/>
        <v>426.93999999999994</v>
      </c>
      <c r="AB56" s="66">
        <f t="shared" si="9"/>
        <v>426.93999999999994</v>
      </c>
      <c r="AC56" s="66">
        <f t="shared" si="9"/>
        <v>427.63999999999993</v>
      </c>
      <c r="AD56" s="66">
        <f t="shared" si="9"/>
        <v>427.63999999999993</v>
      </c>
      <c r="AE56" s="66">
        <f t="shared" si="9"/>
        <v>398.44</v>
      </c>
      <c r="AF56" s="66">
        <f t="shared" si="9"/>
        <v>427.34000000000003</v>
      </c>
      <c r="AG56" s="143">
        <f t="shared" si="9"/>
        <v>489.91</v>
      </c>
      <c r="AH56" s="54">
        <f t="shared" si="2"/>
        <v>432.94</v>
      </c>
      <c r="AI56" s="55">
        <f t="shared" si="3"/>
        <v>341.94</v>
      </c>
      <c r="AK56" s="56"/>
    </row>
    <row r="57" spans="1:41" x14ac:dyDescent="0.25">
      <c r="A57" s="57" t="s">
        <v>37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0</v>
      </c>
      <c r="AB57" s="50">
        <v>0</v>
      </c>
      <c r="AC57" s="50">
        <v>0</v>
      </c>
      <c r="AD57" s="50">
        <v>0</v>
      </c>
      <c r="AE57" s="50">
        <v>0</v>
      </c>
      <c r="AF57" s="50">
        <v>0</v>
      </c>
      <c r="AG57" s="135">
        <v>60</v>
      </c>
      <c r="AH57" s="54">
        <f t="shared" si="2"/>
        <v>0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136">
        <v>32</v>
      </c>
      <c r="AH58" s="54">
        <f t="shared" si="2"/>
        <v>0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70">
        <v>0</v>
      </c>
      <c r="P59" s="70">
        <v>0</v>
      </c>
      <c r="Q59" s="70">
        <v>0</v>
      </c>
      <c r="R59" s="70">
        <v>0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70">
        <v>0</v>
      </c>
      <c r="AB59" s="70">
        <v>0</v>
      </c>
      <c r="AC59" s="70">
        <v>0</v>
      </c>
      <c r="AD59" s="70">
        <v>0</v>
      </c>
      <c r="AE59" s="70">
        <v>0</v>
      </c>
      <c r="AF59" s="70">
        <v>0</v>
      </c>
      <c r="AG59" s="137">
        <v>14</v>
      </c>
      <c r="AH59" s="54">
        <f t="shared" si="2"/>
        <v>0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 t="shared" ref="B60" si="10">SUM(B57:B59)</f>
        <v>0</v>
      </c>
      <c r="C60" s="66">
        <f t="shared" ref="C60:AG60" si="11">SUM(C57:C59)</f>
        <v>0</v>
      </c>
      <c r="D60" s="66">
        <f t="shared" si="11"/>
        <v>0</v>
      </c>
      <c r="E60" s="66">
        <f t="shared" si="11"/>
        <v>0</v>
      </c>
      <c r="F60" s="66">
        <f t="shared" si="11"/>
        <v>0</v>
      </c>
      <c r="G60" s="66">
        <f t="shared" si="11"/>
        <v>0</v>
      </c>
      <c r="H60" s="66">
        <f t="shared" si="11"/>
        <v>0</v>
      </c>
      <c r="I60" s="66">
        <f t="shared" si="11"/>
        <v>0</v>
      </c>
      <c r="J60" s="66">
        <f t="shared" si="11"/>
        <v>0</v>
      </c>
      <c r="K60" s="66">
        <f t="shared" si="11"/>
        <v>0</v>
      </c>
      <c r="L60" s="66">
        <f t="shared" si="11"/>
        <v>0</v>
      </c>
      <c r="M60" s="66">
        <f t="shared" si="11"/>
        <v>0</v>
      </c>
      <c r="N60" s="66">
        <f t="shared" si="11"/>
        <v>0</v>
      </c>
      <c r="O60" s="66">
        <f t="shared" si="11"/>
        <v>0</v>
      </c>
      <c r="P60" s="66">
        <f t="shared" si="11"/>
        <v>0</v>
      </c>
      <c r="Q60" s="66">
        <f t="shared" si="11"/>
        <v>0</v>
      </c>
      <c r="R60" s="66">
        <f t="shared" si="11"/>
        <v>0</v>
      </c>
      <c r="S60" s="66">
        <f t="shared" si="11"/>
        <v>0</v>
      </c>
      <c r="T60" s="66">
        <f t="shared" si="11"/>
        <v>0</v>
      </c>
      <c r="U60" s="66">
        <f t="shared" si="11"/>
        <v>0</v>
      </c>
      <c r="V60" s="66">
        <f t="shared" si="11"/>
        <v>0</v>
      </c>
      <c r="W60" s="66">
        <f t="shared" si="11"/>
        <v>0</v>
      </c>
      <c r="X60" s="66">
        <f t="shared" si="11"/>
        <v>0</v>
      </c>
      <c r="Y60" s="66">
        <f t="shared" si="11"/>
        <v>0</v>
      </c>
      <c r="Z60" s="66">
        <f t="shared" si="11"/>
        <v>0</v>
      </c>
      <c r="AA60" s="66">
        <f t="shared" si="11"/>
        <v>0</v>
      </c>
      <c r="AB60" s="66">
        <f t="shared" si="11"/>
        <v>0</v>
      </c>
      <c r="AC60" s="66">
        <f t="shared" si="11"/>
        <v>0</v>
      </c>
      <c r="AD60" s="66">
        <f t="shared" si="11"/>
        <v>0</v>
      </c>
      <c r="AE60" s="66">
        <f t="shared" si="11"/>
        <v>0</v>
      </c>
      <c r="AF60" s="66">
        <f t="shared" si="11"/>
        <v>0</v>
      </c>
      <c r="AG60" s="143">
        <f t="shared" si="11"/>
        <v>106</v>
      </c>
      <c r="AH60" s="54">
        <f t="shared" si="2"/>
        <v>0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12</v>
      </c>
      <c r="C61" s="50">
        <v>11</v>
      </c>
      <c r="D61" s="50">
        <v>9.6999999999999993</v>
      </c>
      <c r="E61" s="50">
        <v>4</v>
      </c>
      <c r="F61" s="50">
        <v>2.7</v>
      </c>
      <c r="G61" s="50">
        <v>1.1000000000000001</v>
      </c>
      <c r="H61" s="50">
        <v>0</v>
      </c>
      <c r="I61" s="50">
        <v>0</v>
      </c>
      <c r="J61" s="50">
        <v>-3</v>
      </c>
      <c r="K61" s="50">
        <v>-4.3</v>
      </c>
      <c r="L61" s="50">
        <v>-4.5999999999999996</v>
      </c>
      <c r="M61" s="50">
        <v>-0.8</v>
      </c>
      <c r="N61" s="50">
        <v>-2.1</v>
      </c>
      <c r="O61" s="50">
        <v>14.8</v>
      </c>
      <c r="P61" s="50">
        <v>26.7</v>
      </c>
      <c r="Q61" s="50">
        <v>25.3</v>
      </c>
      <c r="R61" s="50">
        <v>28.3</v>
      </c>
      <c r="S61" s="50">
        <v>29.6</v>
      </c>
      <c r="T61" s="50">
        <v>28.1</v>
      </c>
      <c r="U61" s="50">
        <v>18.399999999999999</v>
      </c>
      <c r="V61" s="50">
        <v>41.5</v>
      </c>
      <c r="W61" s="50">
        <v>39</v>
      </c>
      <c r="X61" s="50">
        <v>28</v>
      </c>
      <c r="Y61" s="50">
        <v>10.9</v>
      </c>
      <c r="Z61" s="50">
        <v>20</v>
      </c>
      <c r="AA61" s="50">
        <v>31.6</v>
      </c>
      <c r="AB61" s="50">
        <v>26</v>
      </c>
      <c r="AC61" s="50">
        <v>28</v>
      </c>
      <c r="AD61" s="50">
        <v>33</v>
      </c>
      <c r="AE61" s="50">
        <v>30.1</v>
      </c>
      <c r="AF61" s="50">
        <v>0</v>
      </c>
      <c r="AG61" s="135"/>
      <c r="AH61" s="54">
        <f t="shared" si="2"/>
        <v>41.5</v>
      </c>
      <c r="AI61" s="55">
        <f t="shared" si="3"/>
        <v>-4.5999999999999996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-340</v>
      </c>
      <c r="C63" s="48">
        <v>-400.2</v>
      </c>
      <c r="D63" s="48">
        <v>-415.8</v>
      </c>
      <c r="E63" s="48">
        <v>-433.6</v>
      </c>
      <c r="F63" s="48">
        <v>-405</v>
      </c>
      <c r="G63" s="48">
        <v>-380</v>
      </c>
      <c r="H63" s="48">
        <v>-365</v>
      </c>
      <c r="I63" s="48">
        <v>-420</v>
      </c>
      <c r="J63" s="48">
        <v>-396</v>
      </c>
      <c r="K63" s="48">
        <v>-382</v>
      </c>
      <c r="L63" s="48">
        <v>-366</v>
      </c>
      <c r="M63" s="48">
        <v>-391.1</v>
      </c>
      <c r="N63" s="48">
        <v>-417</v>
      </c>
      <c r="O63" s="48">
        <v>-405</v>
      </c>
      <c r="P63" s="48">
        <v>-365.1</v>
      </c>
      <c r="Q63" s="48">
        <v>-342</v>
      </c>
      <c r="R63" s="48">
        <v>-352.1</v>
      </c>
      <c r="S63" s="48">
        <v>-336</v>
      </c>
      <c r="T63" s="48">
        <v>-365</v>
      </c>
      <c r="U63" s="48">
        <v>-363</v>
      </c>
      <c r="V63" s="48">
        <v>-410</v>
      </c>
      <c r="W63" s="48">
        <v>-417</v>
      </c>
      <c r="X63" s="48">
        <v>-424</v>
      </c>
      <c r="Y63" s="48">
        <v>-340</v>
      </c>
      <c r="Z63" s="48">
        <v>-401</v>
      </c>
      <c r="AA63" s="48">
        <v>-276</v>
      </c>
      <c r="AB63" s="48">
        <v>-260</v>
      </c>
      <c r="AC63" s="48">
        <v>-300</v>
      </c>
      <c r="AD63" s="48">
        <v>-310</v>
      </c>
      <c r="AE63" s="48">
        <v>-370</v>
      </c>
      <c r="AF63" s="48">
        <v>-365</v>
      </c>
      <c r="AG63" s="140"/>
      <c r="AH63" s="54">
        <f t="shared" si="2"/>
        <v>-260</v>
      </c>
      <c r="AI63" s="55">
        <f t="shared" si="3"/>
        <v>-433.6</v>
      </c>
      <c r="AK63" s="56"/>
    </row>
    <row r="64" spans="1:41" x14ac:dyDescent="0.25">
      <c r="A64" s="60" t="s">
        <v>44</v>
      </c>
      <c r="B64" s="71">
        <v>0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140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0</v>
      </c>
      <c r="C66" s="72">
        <v>0</v>
      </c>
      <c r="D66" s="72">
        <v>0</v>
      </c>
      <c r="E66" s="72">
        <v>0</v>
      </c>
      <c r="F66" s="72">
        <v>0</v>
      </c>
      <c r="G66" s="72">
        <v>0</v>
      </c>
      <c r="H66" s="72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0</v>
      </c>
      <c r="AD66" s="72">
        <v>0</v>
      </c>
      <c r="AE66" s="72">
        <v>0</v>
      </c>
      <c r="AF66" s="72">
        <v>0</v>
      </c>
      <c r="AG66" s="140"/>
      <c r="AH66" s="54">
        <f t="shared" si="2"/>
        <v>0</v>
      </c>
      <c r="AI66" s="55">
        <f t="shared" si="3"/>
        <v>0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1">
        <v>0</v>
      </c>
      <c r="D68" s="71">
        <v>0</v>
      </c>
      <c r="E68" s="71">
        <v>0</v>
      </c>
      <c r="F68" s="71">
        <v>0</v>
      </c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1">
        <v>0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4">
        <v>0</v>
      </c>
      <c r="C70" s="74">
        <v>0</v>
      </c>
      <c r="D70" s="74">
        <v>0</v>
      </c>
      <c r="E70" s="74">
        <v>0</v>
      </c>
      <c r="F70" s="74">
        <v>0</v>
      </c>
      <c r="G70" s="74">
        <v>0</v>
      </c>
      <c r="H70" s="74">
        <v>0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4">
        <v>0</v>
      </c>
      <c r="C71" s="74">
        <v>0</v>
      </c>
      <c r="D71" s="74">
        <v>0</v>
      </c>
      <c r="E71" s="74">
        <v>0</v>
      </c>
      <c r="F71" s="74">
        <v>0</v>
      </c>
      <c r="G71" s="74">
        <v>0</v>
      </c>
      <c r="H71" s="74">
        <v>0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 t="shared" ref="B72" si="12">SUMIF(B61:B71,"&gt;0")</f>
        <v>12</v>
      </c>
      <c r="C72" s="66">
        <f t="shared" ref="C72:L72" si="13">SUMIF(C61:C71,"&gt;0")</f>
        <v>11</v>
      </c>
      <c r="D72" s="66">
        <f t="shared" si="13"/>
        <v>9.6999999999999993</v>
      </c>
      <c r="E72" s="66">
        <f t="shared" si="13"/>
        <v>4</v>
      </c>
      <c r="F72" s="66">
        <f t="shared" si="13"/>
        <v>2.7</v>
      </c>
      <c r="G72" s="66">
        <f t="shared" si="13"/>
        <v>1.1000000000000001</v>
      </c>
      <c r="H72" s="66">
        <f t="shared" si="13"/>
        <v>0</v>
      </c>
      <c r="I72" s="66">
        <f t="shared" si="13"/>
        <v>0</v>
      </c>
      <c r="J72" s="66">
        <f t="shared" si="13"/>
        <v>0</v>
      </c>
      <c r="K72" s="66">
        <f t="shared" si="13"/>
        <v>0</v>
      </c>
      <c r="L72" s="66">
        <f t="shared" si="13"/>
        <v>0</v>
      </c>
      <c r="M72" s="66">
        <f>SUMIF(M61:M71,"&gt;0")</f>
        <v>0</v>
      </c>
      <c r="N72" s="66">
        <f t="shared" ref="N72:AF72" si="14">SUMIF(N61:N71,"&gt;0")</f>
        <v>0</v>
      </c>
      <c r="O72" s="66">
        <f t="shared" si="14"/>
        <v>14.8</v>
      </c>
      <c r="P72" s="66">
        <f t="shared" si="14"/>
        <v>26.7</v>
      </c>
      <c r="Q72" s="66">
        <f t="shared" si="14"/>
        <v>25.3</v>
      </c>
      <c r="R72" s="66">
        <f t="shared" si="14"/>
        <v>28.3</v>
      </c>
      <c r="S72" s="66">
        <f t="shared" si="14"/>
        <v>29.6</v>
      </c>
      <c r="T72" s="66">
        <f t="shared" si="14"/>
        <v>28.1</v>
      </c>
      <c r="U72" s="66">
        <f t="shared" si="14"/>
        <v>18.399999999999999</v>
      </c>
      <c r="V72" s="66">
        <f t="shared" si="14"/>
        <v>41.5</v>
      </c>
      <c r="W72" s="66">
        <f t="shared" si="14"/>
        <v>39</v>
      </c>
      <c r="X72" s="66">
        <f t="shared" si="14"/>
        <v>28</v>
      </c>
      <c r="Y72" s="66">
        <f t="shared" si="14"/>
        <v>10.9</v>
      </c>
      <c r="Z72" s="66">
        <f t="shared" si="14"/>
        <v>20</v>
      </c>
      <c r="AA72" s="66">
        <f t="shared" si="14"/>
        <v>31.6</v>
      </c>
      <c r="AB72" s="66">
        <f t="shared" si="14"/>
        <v>26</v>
      </c>
      <c r="AC72" s="66">
        <f t="shared" si="14"/>
        <v>28</v>
      </c>
      <c r="AD72" s="66">
        <f t="shared" si="14"/>
        <v>33</v>
      </c>
      <c r="AE72" s="66">
        <f t="shared" si="14"/>
        <v>30.1</v>
      </c>
      <c r="AF72" s="66">
        <f t="shared" si="14"/>
        <v>0</v>
      </c>
      <c r="AG72" s="138">
        <f>SUM(AG61:AG71)</f>
        <v>0</v>
      </c>
      <c r="AH72" s="54">
        <f t="shared" si="2"/>
        <v>41.5</v>
      </c>
      <c r="AI72" s="55">
        <f t="shared" si="3"/>
        <v>0</v>
      </c>
      <c r="AK72" s="56"/>
    </row>
    <row r="73" spans="1:88" x14ac:dyDescent="0.25">
      <c r="A73" s="57" t="s">
        <v>53</v>
      </c>
      <c r="B73" s="71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>
        <v>0</v>
      </c>
      <c r="C75" s="74">
        <v>0</v>
      </c>
      <c r="D75" s="74">
        <v>0</v>
      </c>
      <c r="E75" s="74">
        <v>0</v>
      </c>
      <c r="F75" s="74">
        <v>0</v>
      </c>
      <c r="G75" s="74">
        <v>0</v>
      </c>
      <c r="H75" s="74">
        <v>0</v>
      </c>
      <c r="I75" s="74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>B38+B42+B60+B56+B72+B76</f>
        <v>1744.1399999999999</v>
      </c>
      <c r="C77" s="75">
        <f t="shared" ref="C77:AF77" si="15">C38+C42+C60+C56+C72+C76</f>
        <v>1733.3400000000001</v>
      </c>
      <c r="D77" s="75">
        <f t="shared" si="15"/>
        <v>1713.64</v>
      </c>
      <c r="E77" s="75">
        <f t="shared" si="15"/>
        <v>1698.84</v>
      </c>
      <c r="F77" s="75">
        <f t="shared" si="15"/>
        <v>1656.64</v>
      </c>
      <c r="G77" s="75">
        <f t="shared" si="15"/>
        <v>1579.54</v>
      </c>
      <c r="H77" s="75">
        <f t="shared" si="15"/>
        <v>1580.94</v>
      </c>
      <c r="I77" s="75">
        <f t="shared" si="15"/>
        <v>1590.04</v>
      </c>
      <c r="J77" s="75">
        <f t="shared" si="15"/>
        <v>1588.1399999999999</v>
      </c>
      <c r="K77" s="75">
        <f t="shared" si="15"/>
        <v>1589.04</v>
      </c>
      <c r="L77" s="75">
        <f t="shared" si="15"/>
        <v>1639.54</v>
      </c>
      <c r="M77" s="75">
        <f t="shared" si="15"/>
        <v>1593.74</v>
      </c>
      <c r="N77" s="75">
        <f t="shared" si="15"/>
        <v>1621.24</v>
      </c>
      <c r="O77" s="75">
        <f t="shared" si="15"/>
        <v>1636.04</v>
      </c>
      <c r="P77" s="75">
        <f t="shared" si="15"/>
        <v>1780.2400000000002</v>
      </c>
      <c r="Q77" s="75">
        <f t="shared" si="15"/>
        <v>1762.64</v>
      </c>
      <c r="R77" s="75">
        <f t="shared" si="15"/>
        <v>1789.34</v>
      </c>
      <c r="S77" s="75">
        <f t="shared" si="15"/>
        <v>1816.94</v>
      </c>
      <c r="T77" s="75">
        <f t="shared" si="15"/>
        <v>1822.54</v>
      </c>
      <c r="U77" s="75">
        <f>U38+U42+U60+U56+U72+U76</f>
        <v>1814.8400000000001</v>
      </c>
      <c r="V77" s="75">
        <f t="shared" si="15"/>
        <v>1795.44</v>
      </c>
      <c r="W77" s="75">
        <f t="shared" si="15"/>
        <v>1792.44</v>
      </c>
      <c r="X77" s="75">
        <f t="shared" si="15"/>
        <v>1781.44</v>
      </c>
      <c r="Y77" s="75">
        <f t="shared" si="15"/>
        <v>1764.3400000000001</v>
      </c>
      <c r="Z77" s="75">
        <f t="shared" si="15"/>
        <v>1802.24</v>
      </c>
      <c r="AA77" s="75">
        <f t="shared" si="15"/>
        <v>1807.2399999999998</v>
      </c>
      <c r="AB77" s="75">
        <f t="shared" si="15"/>
        <v>1794.54</v>
      </c>
      <c r="AC77" s="75">
        <f t="shared" si="15"/>
        <v>1797.2399999999998</v>
      </c>
      <c r="AD77" s="75">
        <f t="shared" si="15"/>
        <v>1788.2399999999998</v>
      </c>
      <c r="AE77" s="75">
        <f t="shared" si="15"/>
        <v>1744.04</v>
      </c>
      <c r="AF77" s="75">
        <f t="shared" si="15"/>
        <v>1696.94</v>
      </c>
      <c r="AG77" s="143">
        <f>AG38+AG42+AG60+AG56+AG72+AG76</f>
        <v>1855.1900000000003</v>
      </c>
      <c r="AH77" s="54">
        <f t="shared" si="2"/>
        <v>1822.54</v>
      </c>
      <c r="AI77" s="55">
        <f t="shared" si="3"/>
        <v>1579.54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>
        <v>150</v>
      </c>
      <c r="N78" s="77">
        <v>150</v>
      </c>
      <c r="O78" s="77">
        <v>150</v>
      </c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>
        <v>30</v>
      </c>
      <c r="AF78" s="77"/>
      <c r="AG78" s="138"/>
      <c r="AH78" s="54">
        <f t="shared" si="2"/>
        <v>150</v>
      </c>
      <c r="AI78" s="55">
        <f t="shared" si="3"/>
        <v>30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>B77+B78</f>
        <v>1744.1399999999999</v>
      </c>
      <c r="C79" s="75">
        <f t="shared" ref="C79:AF79" si="16">C77+C78</f>
        <v>1733.3400000000001</v>
      </c>
      <c r="D79" s="75">
        <f t="shared" si="16"/>
        <v>1713.64</v>
      </c>
      <c r="E79" s="75">
        <f t="shared" si="16"/>
        <v>1698.84</v>
      </c>
      <c r="F79" s="75">
        <f t="shared" si="16"/>
        <v>1656.64</v>
      </c>
      <c r="G79" s="75">
        <f t="shared" si="16"/>
        <v>1579.54</v>
      </c>
      <c r="H79" s="75">
        <f t="shared" si="16"/>
        <v>1580.94</v>
      </c>
      <c r="I79" s="75">
        <f t="shared" si="16"/>
        <v>1590.04</v>
      </c>
      <c r="J79" s="75">
        <f t="shared" si="16"/>
        <v>1588.1399999999999</v>
      </c>
      <c r="K79" s="75">
        <f t="shared" si="16"/>
        <v>1589.04</v>
      </c>
      <c r="L79" s="75">
        <f t="shared" si="16"/>
        <v>1639.54</v>
      </c>
      <c r="M79" s="75">
        <f t="shared" si="16"/>
        <v>1743.74</v>
      </c>
      <c r="N79" s="75">
        <f t="shared" si="16"/>
        <v>1771.24</v>
      </c>
      <c r="O79" s="75">
        <f t="shared" si="16"/>
        <v>1786.04</v>
      </c>
      <c r="P79" s="75">
        <f t="shared" si="16"/>
        <v>1780.2400000000002</v>
      </c>
      <c r="Q79" s="75">
        <f t="shared" si="16"/>
        <v>1762.64</v>
      </c>
      <c r="R79" s="75">
        <f t="shared" si="16"/>
        <v>1789.34</v>
      </c>
      <c r="S79" s="75">
        <f t="shared" si="16"/>
        <v>1816.94</v>
      </c>
      <c r="T79" s="75">
        <f t="shared" si="16"/>
        <v>1822.54</v>
      </c>
      <c r="U79" s="75">
        <f t="shared" si="16"/>
        <v>1814.8400000000001</v>
      </c>
      <c r="V79" s="75">
        <f t="shared" si="16"/>
        <v>1795.44</v>
      </c>
      <c r="W79" s="75">
        <f t="shared" si="16"/>
        <v>1792.44</v>
      </c>
      <c r="X79" s="75">
        <f t="shared" si="16"/>
        <v>1781.44</v>
      </c>
      <c r="Y79" s="75">
        <f t="shared" si="16"/>
        <v>1764.3400000000001</v>
      </c>
      <c r="Z79" s="75">
        <f t="shared" si="16"/>
        <v>1802.24</v>
      </c>
      <c r="AA79" s="75">
        <f t="shared" si="16"/>
        <v>1807.2399999999998</v>
      </c>
      <c r="AB79" s="75">
        <f t="shared" si="16"/>
        <v>1794.54</v>
      </c>
      <c r="AC79" s="75">
        <f t="shared" si="16"/>
        <v>1797.2399999999998</v>
      </c>
      <c r="AD79" s="75">
        <f t="shared" si="16"/>
        <v>1788.2399999999998</v>
      </c>
      <c r="AE79" s="75">
        <f t="shared" si="16"/>
        <v>1774.04</v>
      </c>
      <c r="AF79" s="75">
        <f t="shared" si="16"/>
        <v>1696.94</v>
      </c>
      <c r="AG79" s="138">
        <f>AG76+AG72+AG60+AG56+AG38+AG78</f>
        <v>1317.0900000000001</v>
      </c>
      <c r="AH79" s="54">
        <f t="shared" si="2"/>
        <v>1822.54</v>
      </c>
      <c r="AI79" s="55">
        <f t="shared" si="3"/>
        <v>1579.54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:AF80" si="17">B79-B87</f>
        <v>1404.1399999999999</v>
      </c>
      <c r="C80" s="75">
        <f t="shared" si="17"/>
        <v>1333.14</v>
      </c>
      <c r="D80" s="75">
        <f t="shared" si="17"/>
        <v>1297.8400000000001</v>
      </c>
      <c r="E80" s="75">
        <f t="shared" si="17"/>
        <v>1265.2399999999998</v>
      </c>
      <c r="F80" s="75">
        <f t="shared" si="17"/>
        <v>1251.6400000000001</v>
      </c>
      <c r="G80" s="75">
        <f t="shared" si="17"/>
        <v>1199.54</v>
      </c>
      <c r="H80" s="75">
        <f t="shared" si="17"/>
        <v>1215.94</v>
      </c>
      <c r="I80" s="75">
        <f t="shared" si="17"/>
        <v>1170.04</v>
      </c>
      <c r="J80" s="75">
        <f t="shared" si="17"/>
        <v>1189.1399999999999</v>
      </c>
      <c r="K80" s="75">
        <f t="shared" si="17"/>
        <v>1202.74</v>
      </c>
      <c r="L80" s="75">
        <f t="shared" si="17"/>
        <v>1268.94</v>
      </c>
      <c r="M80" s="75">
        <f t="shared" si="17"/>
        <v>1351.84</v>
      </c>
      <c r="N80" s="75">
        <f t="shared" si="17"/>
        <v>1352.1399999999999</v>
      </c>
      <c r="O80" s="75">
        <f t="shared" si="17"/>
        <v>1381.04</v>
      </c>
      <c r="P80" s="75">
        <f t="shared" si="17"/>
        <v>1415.1400000000003</v>
      </c>
      <c r="Q80" s="75">
        <f t="shared" si="17"/>
        <v>1420.64</v>
      </c>
      <c r="R80" s="75">
        <f t="shared" si="17"/>
        <v>1437.2399999999998</v>
      </c>
      <c r="S80" s="75">
        <f t="shared" si="17"/>
        <v>1480.94</v>
      </c>
      <c r="T80" s="75">
        <f t="shared" si="17"/>
        <v>1457.54</v>
      </c>
      <c r="U80" s="75">
        <f t="shared" si="17"/>
        <v>1451.8400000000001</v>
      </c>
      <c r="V80" s="75">
        <f t="shared" si="17"/>
        <v>1385.44</v>
      </c>
      <c r="W80" s="75">
        <f t="shared" si="17"/>
        <v>1375.44</v>
      </c>
      <c r="X80" s="75">
        <f t="shared" si="17"/>
        <v>1357.44</v>
      </c>
      <c r="Y80" s="75">
        <f t="shared" si="17"/>
        <v>1424.3400000000001</v>
      </c>
      <c r="Z80" s="75">
        <f t="shared" si="17"/>
        <v>1401.24</v>
      </c>
      <c r="AA80" s="75">
        <f t="shared" si="17"/>
        <v>1531.2399999999998</v>
      </c>
      <c r="AB80" s="75">
        <f t="shared" si="17"/>
        <v>1534.54</v>
      </c>
      <c r="AC80" s="75">
        <f t="shared" si="17"/>
        <v>1497.2399999999998</v>
      </c>
      <c r="AD80" s="75">
        <f t="shared" si="17"/>
        <v>1478.2399999999998</v>
      </c>
      <c r="AE80" s="75">
        <f t="shared" si="17"/>
        <v>1404.04</v>
      </c>
      <c r="AF80" s="75">
        <f t="shared" si="17"/>
        <v>1331.94</v>
      </c>
      <c r="AG80" s="138"/>
      <c r="AH80" s="54">
        <f t="shared" ref="AH80:AH97" si="18">MAX(B80:AF80)</f>
        <v>1534.54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>IF(B64&lt;0,B64*-1,0)</f>
        <v>0</v>
      </c>
      <c r="C81" s="71">
        <f t="shared" ref="C81:AF81" si="19">IF(C64&lt;0,C64*-1,0)</f>
        <v>0</v>
      </c>
      <c r="D81" s="71">
        <f t="shared" si="19"/>
        <v>0</v>
      </c>
      <c r="E81" s="71">
        <f t="shared" si="19"/>
        <v>0</v>
      </c>
      <c r="F81" s="71">
        <f t="shared" si="19"/>
        <v>0</v>
      </c>
      <c r="G81" s="71">
        <f t="shared" si="19"/>
        <v>0</v>
      </c>
      <c r="H81" s="71">
        <f t="shared" si="19"/>
        <v>0</v>
      </c>
      <c r="I81" s="71">
        <f t="shared" si="19"/>
        <v>0</v>
      </c>
      <c r="J81" s="71">
        <f t="shared" si="19"/>
        <v>0</v>
      </c>
      <c r="K81" s="71">
        <f t="shared" si="19"/>
        <v>0</v>
      </c>
      <c r="L81" s="71">
        <f t="shared" si="19"/>
        <v>0</v>
      </c>
      <c r="M81" s="71">
        <f t="shared" si="19"/>
        <v>0</v>
      </c>
      <c r="N81" s="71">
        <f t="shared" si="19"/>
        <v>0</v>
      </c>
      <c r="O81" s="71">
        <f t="shared" si="19"/>
        <v>0</v>
      </c>
      <c r="P81" s="71">
        <f t="shared" si="19"/>
        <v>0</v>
      </c>
      <c r="Q81" s="71">
        <f t="shared" si="19"/>
        <v>0</v>
      </c>
      <c r="R81" s="71">
        <f t="shared" si="19"/>
        <v>0</v>
      </c>
      <c r="S81" s="71">
        <f t="shared" si="19"/>
        <v>0</v>
      </c>
      <c r="T81" s="71">
        <f t="shared" si="19"/>
        <v>0</v>
      </c>
      <c r="U81" s="71">
        <f t="shared" si="19"/>
        <v>0</v>
      </c>
      <c r="V81" s="71">
        <f t="shared" si="19"/>
        <v>0</v>
      </c>
      <c r="W81" s="71">
        <f t="shared" si="19"/>
        <v>0</v>
      </c>
      <c r="X81" s="71">
        <f t="shared" si="19"/>
        <v>0</v>
      </c>
      <c r="Y81" s="71">
        <f t="shared" si="19"/>
        <v>0</v>
      </c>
      <c r="Z81" s="71">
        <f t="shared" si="19"/>
        <v>0</v>
      </c>
      <c r="AA81" s="71">
        <f t="shared" si="19"/>
        <v>0</v>
      </c>
      <c r="AB81" s="71">
        <f t="shared" si="19"/>
        <v>0</v>
      </c>
      <c r="AC81" s="71">
        <f t="shared" si="19"/>
        <v>0</v>
      </c>
      <c r="AD81" s="71">
        <f t="shared" si="19"/>
        <v>0</v>
      </c>
      <c r="AE81" s="71">
        <f t="shared" si="19"/>
        <v>0</v>
      </c>
      <c r="AF81" s="71">
        <f t="shared" si="19"/>
        <v>0</v>
      </c>
      <c r="AG81" s="135"/>
      <c r="AH81" s="54">
        <f t="shared" si="18"/>
        <v>0</v>
      </c>
      <c r="AI81" s="55">
        <f t="shared" ref="AI81:AI97" si="20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>IF(B62&lt;0,B62*-1,0)</f>
        <v>0</v>
      </c>
      <c r="C82" s="71">
        <f t="shared" ref="C82:AF82" si="21">IF(C62&lt;0,C62*-1,0)</f>
        <v>0</v>
      </c>
      <c r="D82" s="71">
        <f t="shared" si="21"/>
        <v>0</v>
      </c>
      <c r="E82" s="71">
        <f t="shared" si="21"/>
        <v>0</v>
      </c>
      <c r="F82" s="71">
        <f t="shared" si="21"/>
        <v>0</v>
      </c>
      <c r="G82" s="71">
        <f t="shared" si="21"/>
        <v>0</v>
      </c>
      <c r="H82" s="71">
        <f t="shared" si="21"/>
        <v>0</v>
      </c>
      <c r="I82" s="71">
        <f t="shared" si="21"/>
        <v>0</v>
      </c>
      <c r="J82" s="71">
        <f t="shared" si="21"/>
        <v>0</v>
      </c>
      <c r="K82" s="71">
        <f t="shared" si="21"/>
        <v>0</v>
      </c>
      <c r="L82" s="71">
        <f t="shared" si="21"/>
        <v>0</v>
      </c>
      <c r="M82" s="71">
        <f t="shared" si="21"/>
        <v>0</v>
      </c>
      <c r="N82" s="71">
        <f t="shared" si="21"/>
        <v>0</v>
      </c>
      <c r="O82" s="71">
        <f t="shared" si="21"/>
        <v>0</v>
      </c>
      <c r="P82" s="71">
        <f t="shared" si="21"/>
        <v>0</v>
      </c>
      <c r="Q82" s="71">
        <f t="shared" si="21"/>
        <v>0</v>
      </c>
      <c r="R82" s="71">
        <f t="shared" si="21"/>
        <v>0</v>
      </c>
      <c r="S82" s="71">
        <f t="shared" si="21"/>
        <v>0</v>
      </c>
      <c r="T82" s="71">
        <f t="shared" si="21"/>
        <v>0</v>
      </c>
      <c r="U82" s="71">
        <f t="shared" si="21"/>
        <v>0</v>
      </c>
      <c r="V82" s="71">
        <f t="shared" si="21"/>
        <v>0</v>
      </c>
      <c r="W82" s="71">
        <f t="shared" si="21"/>
        <v>0</v>
      </c>
      <c r="X82" s="71">
        <f t="shared" si="21"/>
        <v>0</v>
      </c>
      <c r="Y82" s="71">
        <f t="shared" si="21"/>
        <v>0</v>
      </c>
      <c r="Z82" s="71">
        <f t="shared" si="21"/>
        <v>0</v>
      </c>
      <c r="AA82" s="71">
        <f t="shared" si="21"/>
        <v>0</v>
      </c>
      <c r="AB82" s="71">
        <f t="shared" si="21"/>
        <v>0</v>
      </c>
      <c r="AC82" s="71">
        <f t="shared" si="21"/>
        <v>0</v>
      </c>
      <c r="AD82" s="71">
        <f t="shared" si="21"/>
        <v>0</v>
      </c>
      <c r="AE82" s="71">
        <f t="shared" si="21"/>
        <v>0</v>
      </c>
      <c r="AF82" s="71">
        <f t="shared" si="21"/>
        <v>0</v>
      </c>
      <c r="AG82" s="136"/>
      <c r="AH82" s="54">
        <f t="shared" si="18"/>
        <v>0</v>
      </c>
      <c r="AI82" s="55">
        <f t="shared" si="20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>IF(B65&lt;0,B65*-1,0)</f>
        <v>0</v>
      </c>
      <c r="C83" s="71">
        <f t="shared" ref="C83:AF83" si="22">IF(C65&lt;0,C65*-1,0)</f>
        <v>0</v>
      </c>
      <c r="D83" s="71">
        <f t="shared" si="22"/>
        <v>0</v>
      </c>
      <c r="E83" s="71">
        <f t="shared" si="22"/>
        <v>0</v>
      </c>
      <c r="F83" s="71">
        <f t="shared" si="22"/>
        <v>0</v>
      </c>
      <c r="G83" s="71">
        <f t="shared" si="22"/>
        <v>0</v>
      </c>
      <c r="H83" s="71">
        <f t="shared" si="22"/>
        <v>0</v>
      </c>
      <c r="I83" s="71">
        <f t="shared" si="22"/>
        <v>0</v>
      </c>
      <c r="J83" s="71">
        <f t="shared" si="22"/>
        <v>0</v>
      </c>
      <c r="K83" s="71">
        <f t="shared" si="22"/>
        <v>0</v>
      </c>
      <c r="L83" s="71">
        <f t="shared" si="22"/>
        <v>0</v>
      </c>
      <c r="M83" s="71">
        <f t="shared" si="22"/>
        <v>0</v>
      </c>
      <c r="N83" s="71">
        <f t="shared" si="22"/>
        <v>0</v>
      </c>
      <c r="O83" s="71">
        <f t="shared" si="22"/>
        <v>0</v>
      </c>
      <c r="P83" s="71">
        <f t="shared" si="22"/>
        <v>0</v>
      </c>
      <c r="Q83" s="71">
        <f t="shared" si="22"/>
        <v>0</v>
      </c>
      <c r="R83" s="71">
        <f t="shared" si="22"/>
        <v>0</v>
      </c>
      <c r="S83" s="71">
        <f t="shared" si="22"/>
        <v>0</v>
      </c>
      <c r="T83" s="71">
        <f t="shared" si="22"/>
        <v>0</v>
      </c>
      <c r="U83" s="71">
        <f t="shared" si="22"/>
        <v>0</v>
      </c>
      <c r="V83" s="71">
        <f t="shared" si="22"/>
        <v>0</v>
      </c>
      <c r="W83" s="71">
        <f t="shared" si="22"/>
        <v>0</v>
      </c>
      <c r="X83" s="71">
        <f t="shared" si="22"/>
        <v>0</v>
      </c>
      <c r="Y83" s="71">
        <f t="shared" si="22"/>
        <v>0</v>
      </c>
      <c r="Z83" s="71">
        <f t="shared" si="22"/>
        <v>0</v>
      </c>
      <c r="AA83" s="71">
        <f t="shared" si="22"/>
        <v>0</v>
      </c>
      <c r="AB83" s="71">
        <f t="shared" si="22"/>
        <v>0</v>
      </c>
      <c r="AC83" s="71">
        <f t="shared" si="22"/>
        <v>0</v>
      </c>
      <c r="AD83" s="71">
        <f t="shared" si="22"/>
        <v>0</v>
      </c>
      <c r="AE83" s="71">
        <f t="shared" si="22"/>
        <v>0</v>
      </c>
      <c r="AF83" s="71">
        <f t="shared" si="22"/>
        <v>0</v>
      </c>
      <c r="AG83" s="144"/>
      <c r="AH83" s="54">
        <f t="shared" si="18"/>
        <v>0</v>
      </c>
      <c r="AI83" s="55">
        <f t="shared" si="20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>IF(B63&lt;0,B63*-1,0)</f>
        <v>340</v>
      </c>
      <c r="C84" s="71">
        <f t="shared" ref="C84:AF84" si="23">IF(C63&lt;0,C63*-1,0)</f>
        <v>400.2</v>
      </c>
      <c r="D84" s="71">
        <f t="shared" si="23"/>
        <v>415.8</v>
      </c>
      <c r="E84" s="71">
        <f t="shared" si="23"/>
        <v>433.6</v>
      </c>
      <c r="F84" s="71">
        <f t="shared" si="23"/>
        <v>405</v>
      </c>
      <c r="G84" s="71">
        <f t="shared" si="23"/>
        <v>380</v>
      </c>
      <c r="H84" s="71">
        <f t="shared" si="23"/>
        <v>365</v>
      </c>
      <c r="I84" s="71">
        <f t="shared" si="23"/>
        <v>420</v>
      </c>
      <c r="J84" s="71">
        <f t="shared" si="23"/>
        <v>396</v>
      </c>
      <c r="K84" s="71">
        <f t="shared" si="23"/>
        <v>382</v>
      </c>
      <c r="L84" s="71">
        <f t="shared" si="23"/>
        <v>366</v>
      </c>
      <c r="M84" s="71">
        <f t="shared" si="23"/>
        <v>391.1</v>
      </c>
      <c r="N84" s="71">
        <f t="shared" si="23"/>
        <v>417</v>
      </c>
      <c r="O84" s="71">
        <f t="shared" si="23"/>
        <v>405</v>
      </c>
      <c r="P84" s="71">
        <f t="shared" si="23"/>
        <v>365.1</v>
      </c>
      <c r="Q84" s="71">
        <f t="shared" si="23"/>
        <v>342</v>
      </c>
      <c r="R84" s="71">
        <f t="shared" si="23"/>
        <v>352.1</v>
      </c>
      <c r="S84" s="71">
        <f t="shared" si="23"/>
        <v>336</v>
      </c>
      <c r="T84" s="71">
        <f t="shared" si="23"/>
        <v>365</v>
      </c>
      <c r="U84" s="71">
        <f t="shared" si="23"/>
        <v>363</v>
      </c>
      <c r="V84" s="71">
        <f t="shared" si="23"/>
        <v>410</v>
      </c>
      <c r="W84" s="71">
        <f t="shared" si="23"/>
        <v>417</v>
      </c>
      <c r="X84" s="71">
        <f t="shared" si="23"/>
        <v>424</v>
      </c>
      <c r="Y84" s="71">
        <f t="shared" si="23"/>
        <v>340</v>
      </c>
      <c r="Z84" s="71">
        <f t="shared" si="23"/>
        <v>401</v>
      </c>
      <c r="AA84" s="71">
        <f t="shared" si="23"/>
        <v>276</v>
      </c>
      <c r="AB84" s="71">
        <f t="shared" si="23"/>
        <v>260</v>
      </c>
      <c r="AC84" s="71">
        <f t="shared" si="23"/>
        <v>300</v>
      </c>
      <c r="AD84" s="71">
        <f t="shared" si="23"/>
        <v>310</v>
      </c>
      <c r="AE84" s="71">
        <f t="shared" si="23"/>
        <v>370</v>
      </c>
      <c r="AF84" s="71">
        <f t="shared" si="23"/>
        <v>365</v>
      </c>
      <c r="AG84" s="144"/>
      <c r="AH84" s="54">
        <f t="shared" si="18"/>
        <v>433.6</v>
      </c>
      <c r="AI84" s="55">
        <f t="shared" si="20"/>
        <v>260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>IF(B61&lt;0,B61*-1,0)</f>
        <v>0</v>
      </c>
      <c r="C85" s="71">
        <f t="shared" ref="C85:AF85" si="24">IF(C61&lt;0,C61*-1,0)</f>
        <v>0</v>
      </c>
      <c r="D85" s="71">
        <f t="shared" si="24"/>
        <v>0</v>
      </c>
      <c r="E85" s="71">
        <f t="shared" si="24"/>
        <v>0</v>
      </c>
      <c r="F85" s="71">
        <f t="shared" si="24"/>
        <v>0</v>
      </c>
      <c r="G85" s="71">
        <f t="shared" si="24"/>
        <v>0</v>
      </c>
      <c r="H85" s="71">
        <f t="shared" si="24"/>
        <v>0</v>
      </c>
      <c r="I85" s="71">
        <f t="shared" si="24"/>
        <v>0</v>
      </c>
      <c r="J85" s="71">
        <f t="shared" si="24"/>
        <v>3</v>
      </c>
      <c r="K85" s="71">
        <f t="shared" si="24"/>
        <v>4.3</v>
      </c>
      <c r="L85" s="71">
        <f t="shared" si="24"/>
        <v>4.5999999999999996</v>
      </c>
      <c r="M85" s="71">
        <f t="shared" si="24"/>
        <v>0.8</v>
      </c>
      <c r="N85" s="71">
        <f t="shared" si="24"/>
        <v>2.1</v>
      </c>
      <c r="O85" s="71">
        <f t="shared" si="24"/>
        <v>0</v>
      </c>
      <c r="P85" s="71">
        <f t="shared" si="24"/>
        <v>0</v>
      </c>
      <c r="Q85" s="71">
        <f t="shared" si="24"/>
        <v>0</v>
      </c>
      <c r="R85" s="71">
        <f t="shared" si="24"/>
        <v>0</v>
      </c>
      <c r="S85" s="71">
        <f t="shared" si="24"/>
        <v>0</v>
      </c>
      <c r="T85" s="71">
        <f t="shared" si="24"/>
        <v>0</v>
      </c>
      <c r="U85" s="71">
        <f t="shared" si="24"/>
        <v>0</v>
      </c>
      <c r="V85" s="71">
        <f t="shared" si="24"/>
        <v>0</v>
      </c>
      <c r="W85" s="71">
        <f t="shared" si="24"/>
        <v>0</v>
      </c>
      <c r="X85" s="71">
        <f t="shared" si="24"/>
        <v>0</v>
      </c>
      <c r="Y85" s="71">
        <f t="shared" si="24"/>
        <v>0</v>
      </c>
      <c r="Z85" s="71">
        <f t="shared" si="24"/>
        <v>0</v>
      </c>
      <c r="AA85" s="71">
        <f t="shared" si="24"/>
        <v>0</v>
      </c>
      <c r="AB85" s="71">
        <f t="shared" si="24"/>
        <v>0</v>
      </c>
      <c r="AC85" s="71">
        <f t="shared" si="24"/>
        <v>0</v>
      </c>
      <c r="AD85" s="71">
        <f t="shared" si="24"/>
        <v>0</v>
      </c>
      <c r="AE85" s="71">
        <f t="shared" si="24"/>
        <v>0</v>
      </c>
      <c r="AF85" s="71">
        <f t="shared" si="24"/>
        <v>0</v>
      </c>
      <c r="AG85" s="144"/>
      <c r="AH85" s="54">
        <f t="shared" si="18"/>
        <v>4.5999999999999996</v>
      </c>
      <c r="AI85" s="55">
        <f t="shared" si="20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/>
      <c r="AD86" s="74"/>
      <c r="AE86" s="74"/>
      <c r="AF86" s="74"/>
      <c r="AG86" s="141"/>
      <c r="AH86" s="54">
        <f t="shared" si="18"/>
        <v>0</v>
      </c>
      <c r="AI86" s="55">
        <f t="shared" si="20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>SUM(B81:B86)</f>
        <v>340</v>
      </c>
      <c r="C87" s="66">
        <f t="shared" ref="C87:AF87" si="25">SUM(C81:C86)</f>
        <v>400.2</v>
      </c>
      <c r="D87" s="66">
        <f t="shared" si="25"/>
        <v>415.8</v>
      </c>
      <c r="E87" s="66">
        <f t="shared" si="25"/>
        <v>433.6</v>
      </c>
      <c r="F87" s="66">
        <f t="shared" si="25"/>
        <v>405</v>
      </c>
      <c r="G87" s="66">
        <f t="shared" si="25"/>
        <v>380</v>
      </c>
      <c r="H87" s="66">
        <f t="shared" si="25"/>
        <v>365</v>
      </c>
      <c r="I87" s="66">
        <f t="shared" si="25"/>
        <v>420</v>
      </c>
      <c r="J87" s="66">
        <f t="shared" si="25"/>
        <v>399</v>
      </c>
      <c r="K87" s="66">
        <f t="shared" si="25"/>
        <v>386.3</v>
      </c>
      <c r="L87" s="66">
        <f t="shared" si="25"/>
        <v>370.6</v>
      </c>
      <c r="M87" s="66">
        <f t="shared" si="25"/>
        <v>391.90000000000003</v>
      </c>
      <c r="N87" s="66">
        <f t="shared" si="25"/>
        <v>419.1</v>
      </c>
      <c r="O87" s="66">
        <f t="shared" si="25"/>
        <v>405</v>
      </c>
      <c r="P87" s="66">
        <f t="shared" si="25"/>
        <v>365.1</v>
      </c>
      <c r="Q87" s="66">
        <f t="shared" si="25"/>
        <v>342</v>
      </c>
      <c r="R87" s="66">
        <f t="shared" si="25"/>
        <v>352.1</v>
      </c>
      <c r="S87" s="66">
        <f t="shared" si="25"/>
        <v>336</v>
      </c>
      <c r="T87" s="66">
        <f t="shared" si="25"/>
        <v>365</v>
      </c>
      <c r="U87" s="66">
        <f t="shared" si="25"/>
        <v>363</v>
      </c>
      <c r="V87" s="66">
        <f t="shared" si="25"/>
        <v>410</v>
      </c>
      <c r="W87" s="66">
        <f t="shared" si="25"/>
        <v>417</v>
      </c>
      <c r="X87" s="66">
        <f t="shared" si="25"/>
        <v>424</v>
      </c>
      <c r="Y87" s="66">
        <f t="shared" si="25"/>
        <v>340</v>
      </c>
      <c r="Z87" s="66">
        <f t="shared" si="25"/>
        <v>401</v>
      </c>
      <c r="AA87" s="66">
        <f t="shared" si="25"/>
        <v>276</v>
      </c>
      <c r="AB87" s="66">
        <f t="shared" si="25"/>
        <v>260</v>
      </c>
      <c r="AC87" s="66">
        <f t="shared" si="25"/>
        <v>300</v>
      </c>
      <c r="AD87" s="66">
        <f t="shared" si="25"/>
        <v>310</v>
      </c>
      <c r="AE87" s="66">
        <f t="shared" si="25"/>
        <v>370</v>
      </c>
      <c r="AF87" s="66">
        <f t="shared" si="25"/>
        <v>365</v>
      </c>
      <c r="AG87" s="138"/>
      <c r="AH87" s="54">
        <f t="shared" si="18"/>
        <v>433.6</v>
      </c>
      <c r="AI87" s="55">
        <f t="shared" si="20"/>
        <v>260</v>
      </c>
      <c r="AK87" s="56"/>
    </row>
    <row r="88" spans="1:88" s="1" customFormat="1" ht="15.75" thickBot="1" x14ac:dyDescent="0.3">
      <c r="A88" s="65" t="s">
        <v>64</v>
      </c>
      <c r="B88" s="66">
        <f>B72-B87</f>
        <v>-328</v>
      </c>
      <c r="C88" s="66">
        <f t="shared" ref="C88:AF88" si="26">C72-C87</f>
        <v>-389.2</v>
      </c>
      <c r="D88" s="66">
        <f t="shared" si="26"/>
        <v>-406.1</v>
      </c>
      <c r="E88" s="66">
        <f t="shared" si="26"/>
        <v>-429.6</v>
      </c>
      <c r="F88" s="66">
        <f t="shared" si="26"/>
        <v>-402.3</v>
      </c>
      <c r="G88" s="66">
        <f t="shared" si="26"/>
        <v>-378.9</v>
      </c>
      <c r="H88" s="66">
        <f t="shared" si="26"/>
        <v>-365</v>
      </c>
      <c r="I88" s="66">
        <f t="shared" si="26"/>
        <v>-420</v>
      </c>
      <c r="J88" s="66">
        <f t="shared" si="26"/>
        <v>-399</v>
      </c>
      <c r="K88" s="66">
        <f t="shared" si="26"/>
        <v>-386.3</v>
      </c>
      <c r="L88" s="66">
        <f t="shared" si="26"/>
        <v>-370.6</v>
      </c>
      <c r="M88" s="66">
        <f t="shared" si="26"/>
        <v>-391.90000000000003</v>
      </c>
      <c r="N88" s="66">
        <f t="shared" si="26"/>
        <v>-419.1</v>
      </c>
      <c r="O88" s="66">
        <f t="shared" si="26"/>
        <v>-390.2</v>
      </c>
      <c r="P88" s="66">
        <f t="shared" si="26"/>
        <v>-338.40000000000003</v>
      </c>
      <c r="Q88" s="66">
        <f t="shared" si="26"/>
        <v>-316.7</v>
      </c>
      <c r="R88" s="66">
        <f t="shared" si="26"/>
        <v>-323.8</v>
      </c>
      <c r="S88" s="66">
        <f t="shared" si="26"/>
        <v>-306.39999999999998</v>
      </c>
      <c r="T88" s="66">
        <f t="shared" si="26"/>
        <v>-336.9</v>
      </c>
      <c r="U88" s="66">
        <f t="shared" si="26"/>
        <v>-344.6</v>
      </c>
      <c r="V88" s="66">
        <f t="shared" si="26"/>
        <v>-368.5</v>
      </c>
      <c r="W88" s="66">
        <f t="shared" si="26"/>
        <v>-378</v>
      </c>
      <c r="X88" s="66">
        <f t="shared" si="26"/>
        <v>-396</v>
      </c>
      <c r="Y88" s="66">
        <f t="shared" si="26"/>
        <v>-329.1</v>
      </c>
      <c r="Z88" s="66">
        <f t="shared" si="26"/>
        <v>-381</v>
      </c>
      <c r="AA88" s="66">
        <f t="shared" si="26"/>
        <v>-244.4</v>
      </c>
      <c r="AB88" s="66">
        <f t="shared" si="26"/>
        <v>-234</v>
      </c>
      <c r="AC88" s="66">
        <f t="shared" si="26"/>
        <v>-272</v>
      </c>
      <c r="AD88" s="66">
        <f t="shared" si="26"/>
        <v>-277</v>
      </c>
      <c r="AE88" s="66">
        <f t="shared" si="26"/>
        <v>-339.9</v>
      </c>
      <c r="AF88" s="66">
        <f t="shared" si="26"/>
        <v>-365</v>
      </c>
      <c r="AG88" s="138"/>
      <c r="AH88" s="54">
        <f t="shared" si="18"/>
        <v>-234</v>
      </c>
      <c r="AI88" s="55">
        <f t="shared" si="20"/>
        <v>-429.6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50.057000000000002</v>
      </c>
      <c r="C89" s="80">
        <v>49.98</v>
      </c>
      <c r="D89" s="80">
        <v>49.981999999999999</v>
      </c>
      <c r="E89" s="80">
        <v>49.819000000000003</v>
      </c>
      <c r="F89" s="80">
        <v>50.061999999999998</v>
      </c>
      <c r="G89" s="80">
        <v>50.018999999999998</v>
      </c>
      <c r="H89" s="80">
        <v>49.972000000000001</v>
      </c>
      <c r="I89" s="80">
        <v>49.97</v>
      </c>
      <c r="J89" s="80">
        <v>49.976999999999997</v>
      </c>
      <c r="K89" s="80">
        <v>50.012</v>
      </c>
      <c r="L89" s="80">
        <v>50.03</v>
      </c>
      <c r="M89" s="80">
        <v>50.058</v>
      </c>
      <c r="N89" s="80">
        <v>50.048000000000002</v>
      </c>
      <c r="O89" s="80">
        <v>49.875</v>
      </c>
      <c r="P89" s="80">
        <v>49.993000000000002</v>
      </c>
      <c r="Q89" s="80">
        <v>49.978999999999999</v>
      </c>
      <c r="R89" s="80">
        <v>49.993000000000002</v>
      </c>
      <c r="S89" s="80">
        <v>50.048000000000002</v>
      </c>
      <c r="T89" s="80">
        <v>50.033999999999999</v>
      </c>
      <c r="U89" s="80">
        <v>50.031999999999996</v>
      </c>
      <c r="V89" s="80">
        <v>50.021000000000001</v>
      </c>
      <c r="W89" s="80">
        <v>49.965000000000003</v>
      </c>
      <c r="X89" s="80">
        <v>49.9</v>
      </c>
      <c r="Y89" s="80">
        <v>50.052999999999997</v>
      </c>
      <c r="Z89" s="80">
        <v>50.011000000000003</v>
      </c>
      <c r="AA89" s="80">
        <v>49.930999999999997</v>
      </c>
      <c r="AB89" s="80">
        <v>49.881999999999998</v>
      </c>
      <c r="AC89" s="80">
        <v>49.847999999999999</v>
      </c>
      <c r="AD89" s="80">
        <v>49.889000000000003</v>
      </c>
      <c r="AE89" s="80">
        <v>49.9</v>
      </c>
      <c r="AF89" s="80">
        <v>50.02</v>
      </c>
      <c r="AG89" s="145"/>
      <c r="AH89" s="54">
        <f t="shared" si="18"/>
        <v>50.061999999999998</v>
      </c>
      <c r="AI89" s="55">
        <f t="shared" si="20"/>
        <v>49.819000000000003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123</v>
      </c>
      <c r="C90" s="48">
        <v>124.7</v>
      </c>
      <c r="D90" s="48">
        <v>124.5</v>
      </c>
      <c r="E90" s="48">
        <v>125.5</v>
      </c>
      <c r="F90" s="48">
        <v>127</v>
      </c>
      <c r="G90" s="48">
        <v>127.3</v>
      </c>
      <c r="H90" s="48">
        <v>126</v>
      </c>
      <c r="I90" s="48">
        <v>127.2</v>
      </c>
      <c r="J90" s="48">
        <v>126.3</v>
      </c>
      <c r="K90" s="48">
        <v>126.5</v>
      </c>
      <c r="L90" s="48">
        <v>126.2</v>
      </c>
      <c r="M90" s="48">
        <v>127.3</v>
      </c>
      <c r="N90" s="48">
        <v>127.3</v>
      </c>
      <c r="O90" s="48">
        <v>127.3</v>
      </c>
      <c r="P90" s="48">
        <v>122.8</v>
      </c>
      <c r="Q90" s="48">
        <v>122</v>
      </c>
      <c r="R90" s="48">
        <v>121.5</v>
      </c>
      <c r="S90" s="48">
        <v>121.2</v>
      </c>
      <c r="T90" s="48">
        <v>123.3</v>
      </c>
      <c r="U90" s="48">
        <v>123</v>
      </c>
      <c r="V90" s="48">
        <v>123.9</v>
      </c>
      <c r="W90" s="48">
        <v>124.5</v>
      </c>
      <c r="X90" s="48">
        <v>126.1</v>
      </c>
      <c r="Y90" s="48">
        <v>126.4</v>
      </c>
      <c r="Z90" s="48">
        <v>125.1</v>
      </c>
      <c r="AA90" s="48">
        <v>125.5</v>
      </c>
      <c r="AB90" s="48">
        <v>124</v>
      </c>
      <c r="AC90" s="48">
        <v>123</v>
      </c>
      <c r="AD90" s="48">
        <v>124</v>
      </c>
      <c r="AE90" s="48">
        <v>125.6</v>
      </c>
      <c r="AF90" s="48">
        <v>124.2</v>
      </c>
      <c r="AG90" s="146"/>
      <c r="AH90" s="54">
        <f t="shared" si="18"/>
        <v>127.3</v>
      </c>
      <c r="AI90" s="55">
        <f t="shared" si="20"/>
        <v>121.2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128.69999999999999</v>
      </c>
      <c r="C91" s="48">
        <v>129.9</v>
      </c>
      <c r="D91" s="48">
        <v>129.69999999999999</v>
      </c>
      <c r="E91" s="48">
        <v>130.6</v>
      </c>
      <c r="F91" s="48">
        <v>131.30000000000001</v>
      </c>
      <c r="G91" s="48">
        <v>131.1</v>
      </c>
      <c r="H91" s="48">
        <v>130.1</v>
      </c>
      <c r="I91" s="48">
        <v>130.30000000000001</v>
      </c>
      <c r="J91" s="48">
        <v>129.69999999999999</v>
      </c>
      <c r="K91" s="48">
        <v>129.5</v>
      </c>
      <c r="L91" s="48">
        <v>129.19999999999999</v>
      </c>
      <c r="M91" s="48">
        <v>129.1</v>
      </c>
      <c r="N91" s="48">
        <v>129.1</v>
      </c>
      <c r="O91" s="48">
        <v>129.1</v>
      </c>
      <c r="P91" s="48">
        <v>126.1</v>
      </c>
      <c r="Q91" s="48">
        <v>125.8</v>
      </c>
      <c r="R91" s="48">
        <v>125.4</v>
      </c>
      <c r="S91" s="48">
        <v>125.8</v>
      </c>
      <c r="T91" s="48">
        <v>127.1</v>
      </c>
      <c r="U91" s="48">
        <v>126.7</v>
      </c>
      <c r="V91" s="48">
        <v>127.3</v>
      </c>
      <c r="W91" s="48">
        <v>128</v>
      </c>
      <c r="X91" s="48">
        <v>129.19999999999999</v>
      </c>
      <c r="Y91" s="48">
        <v>129.5</v>
      </c>
      <c r="Z91" s="48">
        <v>128.4</v>
      </c>
      <c r="AA91" s="48">
        <v>129.6</v>
      </c>
      <c r="AB91" s="48">
        <v>128</v>
      </c>
      <c r="AC91" s="48">
        <v>27</v>
      </c>
      <c r="AD91" s="48">
        <v>128</v>
      </c>
      <c r="AE91" s="48">
        <v>129.9</v>
      </c>
      <c r="AF91" s="48">
        <v>128.80000000000001</v>
      </c>
      <c r="AG91" s="146"/>
      <c r="AH91" s="54">
        <f t="shared" si="18"/>
        <v>131.30000000000001</v>
      </c>
      <c r="AI91" s="55">
        <f t="shared" si="20"/>
        <v>27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128.5</v>
      </c>
      <c r="C92" s="48">
        <v>128.69999999999999</v>
      </c>
      <c r="D92" s="48">
        <v>128.80000000000001</v>
      </c>
      <c r="E92" s="48">
        <v>128.80000000000001</v>
      </c>
      <c r="F92" s="48">
        <v>130.9</v>
      </c>
      <c r="G92" s="48">
        <v>129.69999999999999</v>
      </c>
      <c r="H92" s="48">
        <v>129</v>
      </c>
      <c r="I92" s="48">
        <v>129.69999999999999</v>
      </c>
      <c r="J92" s="48">
        <v>126.7</v>
      </c>
      <c r="K92" s="48">
        <v>129.9</v>
      </c>
      <c r="L92" s="48">
        <v>126.4</v>
      </c>
      <c r="M92" s="48">
        <v>125.8</v>
      </c>
      <c r="N92" s="48">
        <v>125.8</v>
      </c>
      <c r="O92" s="48">
        <v>125.8</v>
      </c>
      <c r="P92" s="48">
        <v>124.5</v>
      </c>
      <c r="Q92" s="48">
        <v>127.4</v>
      </c>
      <c r="R92" s="48">
        <v>126.6</v>
      </c>
      <c r="S92" s="48">
        <v>126.8</v>
      </c>
      <c r="T92" s="48">
        <v>126.3</v>
      </c>
      <c r="U92" s="48">
        <v>128.19999999999999</v>
      </c>
      <c r="V92" s="48">
        <v>128.30000000000001</v>
      </c>
      <c r="W92" s="48">
        <v>127.2</v>
      </c>
      <c r="X92" s="48">
        <v>130.9</v>
      </c>
      <c r="Y92" s="48">
        <v>127.9</v>
      </c>
      <c r="Z92" s="48">
        <v>126</v>
      </c>
      <c r="AA92" s="48">
        <v>127.7</v>
      </c>
      <c r="AB92" s="48">
        <v>127</v>
      </c>
      <c r="AC92" s="48">
        <v>125</v>
      </c>
      <c r="AD92" s="48">
        <v>127</v>
      </c>
      <c r="AE92" s="48">
        <v>129.5</v>
      </c>
      <c r="AF92" s="48">
        <v>129.1</v>
      </c>
      <c r="AG92" s="146"/>
      <c r="AH92" s="54">
        <f t="shared" si="18"/>
        <v>130.9</v>
      </c>
      <c r="AI92" s="55">
        <f t="shared" si="20"/>
        <v>124.5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>
        <v>134.1</v>
      </c>
      <c r="C93" s="48">
        <v>132.5</v>
      </c>
      <c r="D93" s="48">
        <v>132.4</v>
      </c>
      <c r="E93" s="48">
        <v>132.69999999999999</v>
      </c>
      <c r="F93" s="48">
        <v>134.6</v>
      </c>
      <c r="G93" s="48">
        <v>134</v>
      </c>
      <c r="H93" s="48">
        <v>133.19999999999999</v>
      </c>
      <c r="I93" s="48">
        <v>133.69999999999999</v>
      </c>
      <c r="J93" s="48">
        <v>130.30000000000001</v>
      </c>
      <c r="K93" s="48">
        <v>133.1</v>
      </c>
      <c r="L93" s="48">
        <v>129.5</v>
      </c>
      <c r="M93" s="48">
        <v>129.5</v>
      </c>
      <c r="N93" s="48">
        <v>129.5</v>
      </c>
      <c r="O93" s="48">
        <v>129.5</v>
      </c>
      <c r="P93" s="48">
        <v>129.19999999999999</v>
      </c>
      <c r="Q93" s="48">
        <v>132.19999999999999</v>
      </c>
      <c r="R93" s="48">
        <v>131.30000000000001</v>
      </c>
      <c r="S93" s="48">
        <v>131</v>
      </c>
      <c r="T93" s="48">
        <v>130.80000000000001</v>
      </c>
      <c r="U93" s="48">
        <v>131.69999999999999</v>
      </c>
      <c r="V93" s="48">
        <v>131.9</v>
      </c>
      <c r="W93" s="48">
        <v>131.4</v>
      </c>
      <c r="X93" s="48">
        <v>134.6</v>
      </c>
      <c r="Y93" s="48">
        <v>132.4</v>
      </c>
      <c r="Z93" s="48">
        <v>130.19999999999999</v>
      </c>
      <c r="AA93" s="48">
        <v>131.1</v>
      </c>
      <c r="AB93" s="48">
        <v>131</v>
      </c>
      <c r="AC93" s="48">
        <v>129</v>
      </c>
      <c r="AD93" s="48">
        <v>131</v>
      </c>
      <c r="AE93" s="48">
        <v>133</v>
      </c>
      <c r="AF93" s="48">
        <v>133.5</v>
      </c>
      <c r="AG93" s="146"/>
      <c r="AH93" s="54">
        <f t="shared" si="18"/>
        <v>134.6</v>
      </c>
      <c r="AI93" s="55">
        <f t="shared" si="20"/>
        <v>129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132.80000000000001</v>
      </c>
      <c r="C94" s="82">
        <v>133.69999999999999</v>
      </c>
      <c r="D94" s="82">
        <v>132.4</v>
      </c>
      <c r="E94" s="82">
        <v>133.19999999999999</v>
      </c>
      <c r="F94" s="82">
        <v>134.9</v>
      </c>
      <c r="G94" s="82">
        <v>133.4</v>
      </c>
      <c r="H94" s="82">
        <v>132.4</v>
      </c>
      <c r="I94" s="82">
        <v>131.19999999999999</v>
      </c>
      <c r="J94" s="82">
        <v>132</v>
      </c>
      <c r="K94" s="82">
        <v>132.69999999999999</v>
      </c>
      <c r="L94" s="82">
        <v>135.9</v>
      </c>
      <c r="M94" s="82">
        <v>130.80000000000001</v>
      </c>
      <c r="N94" s="82">
        <v>130.80000000000001</v>
      </c>
      <c r="O94" s="82">
        <v>130.80000000000001</v>
      </c>
      <c r="P94" s="82">
        <v>135.80000000000001</v>
      </c>
      <c r="Q94" s="82">
        <v>133.80000000000001</v>
      </c>
      <c r="R94" s="82">
        <v>133.5</v>
      </c>
      <c r="S94" s="82">
        <v>130.30000000000001</v>
      </c>
      <c r="T94" s="82">
        <v>133.6</v>
      </c>
      <c r="U94" s="82">
        <v>133.30000000000001</v>
      </c>
      <c r="V94" s="82">
        <v>134</v>
      </c>
      <c r="W94" s="82">
        <v>133.19999999999999</v>
      </c>
      <c r="X94" s="82">
        <v>132.80000000000001</v>
      </c>
      <c r="Y94" s="82">
        <v>133.80000000000001</v>
      </c>
      <c r="Z94" s="82">
        <v>132.5</v>
      </c>
      <c r="AA94" s="82">
        <v>133</v>
      </c>
      <c r="AB94" s="82">
        <v>132</v>
      </c>
      <c r="AC94" s="82">
        <v>131</v>
      </c>
      <c r="AD94" s="82">
        <v>133</v>
      </c>
      <c r="AE94" s="82">
        <v>133.80000000000001</v>
      </c>
      <c r="AF94" s="82">
        <v>133</v>
      </c>
      <c r="AG94" s="147"/>
      <c r="AH94" s="54">
        <f t="shared" si="18"/>
        <v>135.9</v>
      </c>
      <c r="AI94" s="55">
        <f t="shared" si="20"/>
        <v>130.30000000000001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130.4</v>
      </c>
      <c r="C95" s="48">
        <v>132.6</v>
      </c>
      <c r="D95" s="48">
        <v>130</v>
      </c>
      <c r="E95" s="48">
        <v>131.4</v>
      </c>
      <c r="F95" s="48">
        <v>134.4</v>
      </c>
      <c r="G95" s="48">
        <v>136.30000000000001</v>
      </c>
      <c r="H95" s="48">
        <v>133</v>
      </c>
      <c r="I95" s="48">
        <v>133.30000000000001</v>
      </c>
      <c r="J95" s="48">
        <v>133.30000000000001</v>
      </c>
      <c r="K95" s="48">
        <v>134.1</v>
      </c>
      <c r="L95" s="48">
        <v>135.69999999999999</v>
      </c>
      <c r="M95" s="48">
        <v>129.1</v>
      </c>
      <c r="N95" s="48">
        <v>129.1</v>
      </c>
      <c r="O95" s="48">
        <v>129.1</v>
      </c>
      <c r="P95" s="48">
        <v>128.9</v>
      </c>
      <c r="Q95" s="48">
        <v>130.1</v>
      </c>
      <c r="R95" s="48">
        <v>132.9</v>
      </c>
      <c r="S95" s="48">
        <v>127.3</v>
      </c>
      <c r="T95" s="48">
        <v>132.6</v>
      </c>
      <c r="U95" s="48">
        <v>134.69999999999999</v>
      </c>
      <c r="V95" s="48">
        <v>136.30000000000001</v>
      </c>
      <c r="W95" s="48">
        <v>134</v>
      </c>
      <c r="X95" s="48">
        <v>132</v>
      </c>
      <c r="Y95" s="48">
        <v>132.5</v>
      </c>
      <c r="Z95" s="48">
        <v>132.1</v>
      </c>
      <c r="AA95" s="48">
        <v>129.19999999999999</v>
      </c>
      <c r="AB95" s="48">
        <v>129</v>
      </c>
      <c r="AC95" s="48">
        <v>127</v>
      </c>
      <c r="AD95" s="48">
        <v>130</v>
      </c>
      <c r="AE95" s="48">
        <v>137</v>
      </c>
      <c r="AF95" s="48">
        <v>130.30000000000001</v>
      </c>
      <c r="AG95" s="146"/>
      <c r="AH95" s="54">
        <f t="shared" si="18"/>
        <v>137</v>
      </c>
      <c r="AI95" s="55">
        <f t="shared" si="20"/>
        <v>127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64.900000000000006</v>
      </c>
      <c r="C96" s="83">
        <v>65.5</v>
      </c>
      <c r="D96" s="83">
        <v>65.7</v>
      </c>
      <c r="E96" s="83">
        <v>65.900000000000006</v>
      </c>
      <c r="F96" s="83">
        <v>66.5</v>
      </c>
      <c r="G96" s="83">
        <v>66.3</v>
      </c>
      <c r="H96" s="83">
        <v>65.7</v>
      </c>
      <c r="I96" s="83">
        <v>65.3</v>
      </c>
      <c r="J96" s="83">
        <v>65.7</v>
      </c>
      <c r="K96" s="83">
        <v>65.5</v>
      </c>
      <c r="L96" s="83">
        <v>65.3</v>
      </c>
      <c r="M96" s="83">
        <v>65.2</v>
      </c>
      <c r="N96" s="83">
        <v>64.8</v>
      </c>
      <c r="O96" s="83">
        <v>64.8</v>
      </c>
      <c r="P96" s="83">
        <v>63.4</v>
      </c>
      <c r="Q96" s="83">
        <v>63.4</v>
      </c>
      <c r="R96" s="83">
        <v>63.3</v>
      </c>
      <c r="S96" s="83">
        <v>63.5</v>
      </c>
      <c r="T96" s="83">
        <v>64.2</v>
      </c>
      <c r="U96" s="83">
        <v>64</v>
      </c>
      <c r="V96" s="83">
        <v>64.2</v>
      </c>
      <c r="W96" s="83">
        <v>64.900000000000006</v>
      </c>
      <c r="X96" s="83">
        <v>65.5</v>
      </c>
      <c r="Y96" s="83">
        <v>65.5</v>
      </c>
      <c r="Z96" s="83">
        <v>65.099999999999994</v>
      </c>
      <c r="AA96" s="83">
        <v>65.599999999999994</v>
      </c>
      <c r="AB96" s="83">
        <v>65</v>
      </c>
      <c r="AC96" s="83">
        <v>64</v>
      </c>
      <c r="AD96" s="83">
        <v>64.599999999999994</v>
      </c>
      <c r="AE96" s="83">
        <v>65.5</v>
      </c>
      <c r="AF96" s="83">
        <v>65.2</v>
      </c>
      <c r="AG96" s="148"/>
      <c r="AH96" s="54">
        <f t="shared" si="18"/>
        <v>66.5</v>
      </c>
      <c r="AI96" s="55">
        <f t="shared" si="20"/>
        <v>63.3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18"/>
        <v>0</v>
      </c>
      <c r="AI97" s="55">
        <f t="shared" si="20"/>
        <v>0</v>
      </c>
    </row>
    <row r="98" spans="1:37" ht="15.75" thickBot="1" x14ac:dyDescent="0.3">
      <c r="A98" s="85" t="s">
        <v>73</v>
      </c>
      <c r="B98" s="86">
        <f t="shared" ref="B98:AF98" si="27">SUM(B15,B18,B21:B22,B46,B48:B49,B51,B53,B99:B102,B123,B129,B135,B144,B146,B158,B165,B168:B169,B176,B178,B180,B184:B186,B188:B190,B195,B201:B202,B204:B206,B214,B219)</f>
        <v>25.79999999999999</v>
      </c>
      <c r="C98" s="86">
        <f t="shared" si="27"/>
        <v>14.739999999999995</v>
      </c>
      <c r="D98" s="86">
        <f t="shared" si="27"/>
        <v>11.340000000000002</v>
      </c>
      <c r="E98" s="86">
        <f t="shared" si="27"/>
        <v>13.840000000000018</v>
      </c>
      <c r="F98" s="86">
        <f t="shared" si="27"/>
        <v>22.039999999999996</v>
      </c>
      <c r="G98" s="86">
        <f t="shared" si="27"/>
        <v>26.839999999999996</v>
      </c>
      <c r="H98" s="86">
        <f t="shared" si="27"/>
        <v>50.64</v>
      </c>
      <c r="I98" s="86">
        <f t="shared" si="27"/>
        <v>71.040000000000006</v>
      </c>
      <c r="J98" s="86">
        <f t="shared" si="27"/>
        <v>101.54</v>
      </c>
      <c r="K98" s="86">
        <f t="shared" si="27"/>
        <v>117.54000000000002</v>
      </c>
      <c r="L98" s="86">
        <f t="shared" si="27"/>
        <v>143.84</v>
      </c>
      <c r="M98" s="86">
        <f t="shared" si="27"/>
        <v>155.14000000000001</v>
      </c>
      <c r="N98" s="86">
        <f t="shared" si="27"/>
        <v>168.54000000000002</v>
      </c>
      <c r="O98" s="86">
        <f t="shared" si="27"/>
        <v>168.54000000000002</v>
      </c>
      <c r="P98" s="86">
        <f t="shared" si="27"/>
        <v>176.44</v>
      </c>
      <c r="Q98" s="86">
        <f t="shared" si="27"/>
        <v>170.90000000000003</v>
      </c>
      <c r="R98" s="86">
        <f t="shared" si="27"/>
        <v>153.20000000000005</v>
      </c>
      <c r="S98" s="86">
        <f t="shared" si="27"/>
        <v>155.70000000000005</v>
      </c>
      <c r="T98" s="86">
        <f t="shared" si="27"/>
        <v>180.3</v>
      </c>
      <c r="U98" s="86">
        <f t="shared" si="27"/>
        <v>168.30000000000004</v>
      </c>
      <c r="V98" s="86">
        <f t="shared" si="27"/>
        <v>153.60000000000002</v>
      </c>
      <c r="W98" s="86">
        <f t="shared" si="27"/>
        <v>146.40000000000003</v>
      </c>
      <c r="X98" s="86">
        <f t="shared" si="27"/>
        <v>199.50000000000006</v>
      </c>
      <c r="Y98" s="86">
        <f t="shared" si="27"/>
        <v>186.20000000000005</v>
      </c>
      <c r="Z98" s="86">
        <f t="shared" si="27"/>
        <v>175.10000000000005</v>
      </c>
      <c r="AA98" s="86">
        <f t="shared" si="27"/>
        <v>205.30000000000004</v>
      </c>
      <c r="AB98" s="86">
        <f t="shared" si="27"/>
        <v>186.10000000000002</v>
      </c>
      <c r="AC98" s="86">
        <f t="shared" si="27"/>
        <v>166.50000000000003</v>
      </c>
      <c r="AD98" s="86">
        <f t="shared" si="27"/>
        <v>131.50000000000003</v>
      </c>
      <c r="AE98" s="86">
        <f t="shared" si="27"/>
        <v>124.3</v>
      </c>
      <c r="AF98" s="86">
        <f t="shared" si="27"/>
        <v>68.90000000000002</v>
      </c>
      <c r="AG98" s="150"/>
      <c r="AH98" s="54">
        <f>MAX(C98:AF98)</f>
        <v>205.30000000000004</v>
      </c>
      <c r="AI98" s="55">
        <f>MIN(C98:AF98)</f>
        <v>11.340000000000002</v>
      </c>
    </row>
    <row r="99" spans="1:37" x14ac:dyDescent="0.25">
      <c r="A99" s="170" t="s">
        <v>74</v>
      </c>
      <c r="B99" s="87">
        <v>19.5</v>
      </c>
      <c r="C99" s="87">
        <v>17.3</v>
      </c>
      <c r="D99" s="87">
        <v>14</v>
      </c>
      <c r="E99" s="87">
        <v>15.3</v>
      </c>
      <c r="F99" s="87">
        <v>13.5</v>
      </c>
      <c r="G99" s="87">
        <v>18.5</v>
      </c>
      <c r="H99" s="87">
        <v>20</v>
      </c>
      <c r="I99" s="87">
        <v>25.4</v>
      </c>
      <c r="J99" s="87">
        <v>27.8</v>
      </c>
      <c r="K99" s="87">
        <v>28.1</v>
      </c>
      <c r="L99" s="87">
        <v>35.6</v>
      </c>
      <c r="M99" s="87">
        <v>26.2</v>
      </c>
      <c r="N99" s="87">
        <v>22.3</v>
      </c>
      <c r="O99" s="87">
        <v>22.3</v>
      </c>
      <c r="P99" s="87">
        <v>33.1</v>
      </c>
      <c r="Q99" s="87">
        <v>34.6</v>
      </c>
      <c r="R99" s="87">
        <v>37.799999999999997</v>
      </c>
      <c r="S99" s="87">
        <v>37.9</v>
      </c>
      <c r="T99" s="87">
        <v>39.200000000000003</v>
      </c>
      <c r="U99" s="87">
        <v>40</v>
      </c>
      <c r="V99" s="87">
        <v>40.700000000000003</v>
      </c>
      <c r="W99" s="87">
        <v>38.299999999999997</v>
      </c>
      <c r="X99" s="87">
        <v>25.8</v>
      </c>
      <c r="Y99" s="87">
        <v>28.9</v>
      </c>
      <c r="Z99" s="87">
        <v>43.8</v>
      </c>
      <c r="AA99" s="87">
        <v>32.200000000000003</v>
      </c>
      <c r="AB99" s="87">
        <v>26</v>
      </c>
      <c r="AC99" s="87">
        <v>27</v>
      </c>
      <c r="AD99" s="87">
        <v>23</v>
      </c>
      <c r="AE99" s="87">
        <f>26.6+15.5</f>
        <v>42.1</v>
      </c>
      <c r="AF99" s="87">
        <f>19+8.9</f>
        <v>27.9</v>
      </c>
      <c r="AG99" s="151">
        <v>75</v>
      </c>
      <c r="AH99" s="54">
        <f t="shared" ref="AH99:AH105" si="28">IF(ABS(MAX(C99:AF99))&gt;ABS(MIN(C99:AF99)),MAX(C99:AF99),MIN(C99:AF99))</f>
        <v>43.8</v>
      </c>
      <c r="AI99" s="89">
        <f t="shared" ref="AI99:AI105" si="29">INDEX($C$9:$AF$9,1,MATCH(AH99,C99:AF99,0))</f>
        <v>0.79166666666666663</v>
      </c>
    </row>
    <row r="100" spans="1:37" x14ac:dyDescent="0.25">
      <c r="A100" s="163" t="s">
        <v>75</v>
      </c>
      <c r="B100" s="90">
        <v>-147.9</v>
      </c>
      <c r="C100" s="90">
        <v>-147.30000000000001</v>
      </c>
      <c r="D100" s="90">
        <v>-154</v>
      </c>
      <c r="E100" s="90">
        <v>-152.6</v>
      </c>
      <c r="F100" s="90">
        <v>-130</v>
      </c>
      <c r="G100" s="90">
        <v>-132</v>
      </c>
      <c r="H100" s="90">
        <v>-112</v>
      </c>
      <c r="I100" s="90">
        <v>-109</v>
      </c>
      <c r="J100" s="90">
        <v>-85</v>
      </c>
      <c r="K100" s="90">
        <v>-73</v>
      </c>
      <c r="L100" s="90">
        <v>-68</v>
      </c>
      <c r="M100" s="90">
        <v>-54</v>
      </c>
      <c r="N100" s="90">
        <v>-40</v>
      </c>
      <c r="O100" s="90">
        <v>-40</v>
      </c>
      <c r="P100" s="90">
        <v>-68</v>
      </c>
      <c r="Q100" s="90">
        <v>-62</v>
      </c>
      <c r="R100" s="90">
        <v>-87</v>
      </c>
      <c r="S100" s="90">
        <v>-79</v>
      </c>
      <c r="T100" s="90">
        <f>-41.9-39.6</f>
        <v>-81.5</v>
      </c>
      <c r="U100" s="90">
        <f>-43.4-40.6</f>
        <v>-84</v>
      </c>
      <c r="V100" s="90">
        <f>-48-44</f>
        <v>-92</v>
      </c>
      <c r="W100" s="90">
        <f>-46.6-43.6</f>
        <v>-90.2</v>
      </c>
      <c r="X100" s="90">
        <f>-15.7-15</f>
        <v>-30.7</v>
      </c>
      <c r="Y100" s="90">
        <f>-23-22.1</f>
        <v>-45.1</v>
      </c>
      <c r="Z100" s="90">
        <f>-32.2-29.5</f>
        <v>-61.7</v>
      </c>
      <c r="AA100" s="90">
        <v>-41.3</v>
      </c>
      <c r="AB100" s="90">
        <v>-33</v>
      </c>
      <c r="AC100" s="90">
        <v>-47</v>
      </c>
      <c r="AD100" s="90">
        <v>-67</v>
      </c>
      <c r="AE100" s="90">
        <f>-38.4-41.1</f>
        <v>-79.5</v>
      </c>
      <c r="AF100" s="90">
        <f>-61.1-65.5</f>
        <v>-126.6</v>
      </c>
      <c r="AG100" s="151">
        <v>240</v>
      </c>
      <c r="AH100" s="54">
        <f t="shared" si="28"/>
        <v>-154</v>
      </c>
      <c r="AI100" s="89">
        <f t="shared" si="29"/>
        <v>8.3333333333333301E-2</v>
      </c>
    </row>
    <row r="101" spans="1:37" x14ac:dyDescent="0.25">
      <c r="A101" s="163" t="s">
        <v>76</v>
      </c>
      <c r="B101" s="90">
        <v>-9.9</v>
      </c>
      <c r="C101" s="90">
        <v>-8.8000000000000007</v>
      </c>
      <c r="D101" s="90">
        <v>-13.1</v>
      </c>
      <c r="E101" s="90">
        <v>-13.3</v>
      </c>
      <c r="F101" s="90">
        <v>-5.5</v>
      </c>
      <c r="G101" s="90">
        <v>-3.7</v>
      </c>
      <c r="H101" s="90">
        <v>-1.2</v>
      </c>
      <c r="I101" s="90">
        <v>1.3</v>
      </c>
      <c r="J101" s="90">
        <v>5.8</v>
      </c>
      <c r="K101" s="90">
        <v>9.4</v>
      </c>
      <c r="L101" s="90">
        <v>13.2</v>
      </c>
      <c r="M101" s="90">
        <v>12.9</v>
      </c>
      <c r="N101" s="90">
        <v>15.2</v>
      </c>
      <c r="O101" s="90">
        <v>15.2</v>
      </c>
      <c r="P101" s="90">
        <v>8.1</v>
      </c>
      <c r="Q101" s="90">
        <v>-4.0999999999999996</v>
      </c>
      <c r="R101" s="90">
        <v>0</v>
      </c>
      <c r="S101" s="90">
        <v>-5.6</v>
      </c>
      <c r="T101" s="90">
        <v>10.1</v>
      </c>
      <c r="U101" s="90">
        <v>9.9</v>
      </c>
      <c r="V101" s="90">
        <v>8.8000000000000007</v>
      </c>
      <c r="W101" s="90">
        <v>12.2</v>
      </c>
      <c r="X101" s="90">
        <v>18.3</v>
      </c>
      <c r="Y101" s="90">
        <v>16.3</v>
      </c>
      <c r="Z101" s="90">
        <v>14.9</v>
      </c>
      <c r="AA101" s="90">
        <v>15.1</v>
      </c>
      <c r="AB101" s="90">
        <v>16</v>
      </c>
      <c r="AC101" s="90">
        <v>13</v>
      </c>
      <c r="AD101" s="90">
        <v>12</v>
      </c>
      <c r="AE101" s="90">
        <v>5.8</v>
      </c>
      <c r="AF101" s="90">
        <v>-1.3</v>
      </c>
      <c r="AG101" s="151">
        <v>60</v>
      </c>
      <c r="AH101" s="54">
        <f t="shared" si="28"/>
        <v>18.3</v>
      </c>
      <c r="AI101" s="89">
        <f t="shared" si="29"/>
        <v>0.75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0</v>
      </c>
      <c r="M102" s="91">
        <v>0</v>
      </c>
      <c r="N102" s="91">
        <v>0</v>
      </c>
      <c r="O102" s="91">
        <v>0</v>
      </c>
      <c r="P102" s="91">
        <v>0</v>
      </c>
      <c r="Q102" s="91">
        <v>0</v>
      </c>
      <c r="R102" s="91">
        <v>0</v>
      </c>
      <c r="S102" s="91">
        <v>0</v>
      </c>
      <c r="T102" s="91">
        <v>10.1</v>
      </c>
      <c r="U102" s="91">
        <v>0</v>
      </c>
      <c r="V102" s="91">
        <v>0</v>
      </c>
      <c r="W102" s="91">
        <v>0</v>
      </c>
      <c r="X102" s="91">
        <v>0</v>
      </c>
      <c r="Y102" s="91">
        <v>0</v>
      </c>
      <c r="Z102" s="91">
        <v>0</v>
      </c>
      <c r="AA102" s="91">
        <v>19.8</v>
      </c>
      <c r="AB102" s="91">
        <v>2.6</v>
      </c>
      <c r="AC102" s="91">
        <v>0</v>
      </c>
      <c r="AD102" s="91">
        <v>0</v>
      </c>
      <c r="AE102" s="91">
        <v>0</v>
      </c>
      <c r="AF102" s="91">
        <v>0</v>
      </c>
      <c r="AG102" s="152">
        <v>120</v>
      </c>
      <c r="AH102" s="54">
        <f t="shared" si="28"/>
        <v>19.8</v>
      </c>
      <c r="AI102" s="89">
        <f t="shared" si="29"/>
        <v>0.8125</v>
      </c>
    </row>
    <row r="103" spans="1:37" x14ac:dyDescent="0.25">
      <c r="A103" s="164" t="s">
        <v>78</v>
      </c>
      <c r="B103" s="91">
        <v>38.200000000000003</v>
      </c>
      <c r="C103" s="91">
        <v>29</v>
      </c>
      <c r="D103" s="91">
        <v>22.3</v>
      </c>
      <c r="E103" s="91">
        <v>23.9</v>
      </c>
      <c r="F103" s="91">
        <v>33</v>
      </c>
      <c r="G103" s="91">
        <v>24</v>
      </c>
      <c r="H103" s="91">
        <v>38</v>
      </c>
      <c r="I103" s="91">
        <v>18</v>
      </c>
      <c r="J103" s="91">
        <v>25</v>
      </c>
      <c r="K103" s="91">
        <v>33</v>
      </c>
      <c r="L103" s="91">
        <v>31</v>
      </c>
      <c r="M103" s="91">
        <v>12.9</v>
      </c>
      <c r="N103" s="91">
        <v>26.3</v>
      </c>
      <c r="O103" s="91">
        <v>26.3</v>
      </c>
      <c r="P103" s="91">
        <v>48.1</v>
      </c>
      <c r="Q103" s="91">
        <v>68.599999999999994</v>
      </c>
      <c r="R103" s="91">
        <v>59.3</v>
      </c>
      <c r="S103" s="91">
        <v>58</v>
      </c>
      <c r="T103" s="91">
        <v>42.3</v>
      </c>
      <c r="U103" s="91">
        <v>43</v>
      </c>
      <c r="V103" s="91">
        <v>23.2</v>
      </c>
      <c r="W103" s="91">
        <v>24</v>
      </c>
      <c r="X103" s="91">
        <v>67</v>
      </c>
      <c r="Y103" s="91">
        <v>57</v>
      </c>
      <c r="Z103" s="91">
        <v>36</v>
      </c>
      <c r="AA103" s="91">
        <v>72.900000000000006</v>
      </c>
      <c r="AB103" s="91">
        <v>86</v>
      </c>
      <c r="AC103" s="91">
        <v>81</v>
      </c>
      <c r="AD103" s="91">
        <v>64</v>
      </c>
      <c r="AE103" s="91">
        <v>62.4</v>
      </c>
      <c r="AF103" s="91">
        <v>38.4</v>
      </c>
      <c r="AG103" s="152"/>
      <c r="AH103" s="54">
        <f t="shared" si="28"/>
        <v>86</v>
      </c>
      <c r="AI103" s="89">
        <f t="shared" si="29"/>
        <v>0.83333333333333337</v>
      </c>
    </row>
    <row r="104" spans="1:37" x14ac:dyDescent="0.25">
      <c r="A104" s="164" t="s">
        <v>105</v>
      </c>
      <c r="B104" s="91">
        <v>34</v>
      </c>
      <c r="C104" s="91">
        <v>24.9</v>
      </c>
      <c r="D104" s="91">
        <v>40.700000000000003</v>
      </c>
      <c r="E104" s="91">
        <v>58.6</v>
      </c>
      <c r="F104" s="91">
        <v>47</v>
      </c>
      <c r="G104" s="91">
        <v>27</v>
      </c>
      <c r="H104" s="91">
        <v>27</v>
      </c>
      <c r="I104" s="91">
        <v>6.7</v>
      </c>
      <c r="J104" s="91">
        <v>3.6</v>
      </c>
      <c r="K104" s="91">
        <v>0</v>
      </c>
      <c r="L104" s="91">
        <v>0</v>
      </c>
      <c r="M104" s="91">
        <v>-7.1</v>
      </c>
      <c r="N104" s="91">
        <v>-6.1</v>
      </c>
      <c r="O104" s="91">
        <v>-6.1</v>
      </c>
      <c r="P104" s="91">
        <v>-26.1</v>
      </c>
      <c r="Q104" s="91">
        <v>-35.700000000000003</v>
      </c>
      <c r="R104" s="91">
        <v>-37.9</v>
      </c>
      <c r="S104" s="91">
        <v>-16.5</v>
      </c>
      <c r="T104" s="91">
        <v>-21.1</v>
      </c>
      <c r="U104" s="91">
        <v>-13</v>
      </c>
      <c r="V104" s="91">
        <v>-23.7</v>
      </c>
      <c r="W104" s="91">
        <v>-27</v>
      </c>
      <c r="X104" s="91">
        <v>-1.3</v>
      </c>
      <c r="Y104" s="91">
        <v>1.3</v>
      </c>
      <c r="Z104" s="91">
        <v>-38</v>
      </c>
      <c r="AA104" s="91">
        <v>1.5</v>
      </c>
      <c r="AB104" s="91">
        <v>28</v>
      </c>
      <c r="AC104" s="91">
        <v>17</v>
      </c>
      <c r="AD104" s="91">
        <v>18</v>
      </c>
      <c r="AE104" s="91">
        <v>49.5</v>
      </c>
      <c r="AF104" s="91">
        <v>63</v>
      </c>
      <c r="AG104" s="153"/>
      <c r="AH104" s="54">
        <f t="shared" si="28"/>
        <v>63</v>
      </c>
      <c r="AI104" s="89">
        <f t="shared" si="29"/>
        <v>0.95833333333333304</v>
      </c>
    </row>
    <row r="105" spans="1:37" ht="15.75" thickBot="1" x14ac:dyDescent="0.3">
      <c r="A105" s="171" t="s">
        <v>106</v>
      </c>
      <c r="B105" s="82">
        <v>111.1</v>
      </c>
      <c r="C105" s="82">
        <v>113.7</v>
      </c>
      <c r="D105" s="82">
        <v>115.1</v>
      </c>
      <c r="E105" s="82">
        <v>116.5</v>
      </c>
      <c r="F105" s="82">
        <v>117.7</v>
      </c>
      <c r="G105" s="82">
        <v>119.4</v>
      </c>
      <c r="H105" s="82">
        <v>122</v>
      </c>
      <c r="I105" s="82">
        <v>123.7</v>
      </c>
      <c r="J105" s="82">
        <v>118</v>
      </c>
      <c r="K105" s="82">
        <v>118</v>
      </c>
      <c r="L105" s="82">
        <v>114.3</v>
      </c>
      <c r="M105" s="82">
        <v>101.4</v>
      </c>
      <c r="N105" s="82">
        <v>106.7</v>
      </c>
      <c r="O105" s="82">
        <v>106.7</v>
      </c>
      <c r="P105" s="82">
        <v>101.3</v>
      </c>
      <c r="Q105" s="82">
        <v>99.8</v>
      </c>
      <c r="R105" s="82">
        <v>99.6</v>
      </c>
      <c r="S105" s="82">
        <v>98.8</v>
      </c>
      <c r="T105" s="82">
        <v>98</v>
      </c>
      <c r="U105" s="82">
        <v>82.4</v>
      </c>
      <c r="V105" s="82">
        <v>92</v>
      </c>
      <c r="W105" s="82">
        <v>91</v>
      </c>
      <c r="X105" s="82">
        <v>97</v>
      </c>
      <c r="Y105" s="82">
        <v>96.7</v>
      </c>
      <c r="Z105" s="82">
        <v>90.2</v>
      </c>
      <c r="AA105" s="82">
        <v>40.299999999999997</v>
      </c>
      <c r="AB105" s="82">
        <v>91.3</v>
      </c>
      <c r="AC105" s="82">
        <v>103</v>
      </c>
      <c r="AD105" s="82">
        <v>93</v>
      </c>
      <c r="AE105" s="82">
        <v>97.4</v>
      </c>
      <c r="AF105" s="82">
        <v>103.7</v>
      </c>
      <c r="AG105" s="153"/>
      <c r="AH105" s="54">
        <f t="shared" si="28"/>
        <v>123.7</v>
      </c>
      <c r="AI105" s="89">
        <f t="shared" si="29"/>
        <v>0.25</v>
      </c>
    </row>
    <row r="106" spans="1:37" ht="15.75" thickBot="1" x14ac:dyDescent="0.3">
      <c r="A106" s="92" t="s">
        <v>79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154"/>
      <c r="AH106" s="94"/>
      <c r="AI106" s="55"/>
      <c r="AK106" s="56"/>
    </row>
    <row r="107" spans="1:37" x14ac:dyDescent="0.25">
      <c r="A107" s="162" t="s">
        <v>133</v>
      </c>
      <c r="B107" s="95"/>
      <c r="C107" s="53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6">
        <v>9.94</v>
      </c>
      <c r="AH107" s="54"/>
      <c r="AI107" s="55"/>
      <c r="AK107" s="56"/>
    </row>
    <row r="108" spans="1:37" x14ac:dyDescent="0.25">
      <c r="A108" s="163" t="s">
        <v>134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/>
      <c r="AH108" s="54"/>
      <c r="AI108" s="55"/>
      <c r="AK108" s="56"/>
    </row>
    <row r="109" spans="1:37" x14ac:dyDescent="0.25">
      <c r="A109" s="163" t="s">
        <v>135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136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137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138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139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140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141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142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143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144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145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146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147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148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149</v>
      </c>
      <c r="B123" s="97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9">
        <v>9.9</v>
      </c>
      <c r="AH123" s="54"/>
      <c r="AI123" s="55"/>
      <c r="AK123" s="56"/>
    </row>
    <row r="124" spans="1:37" x14ac:dyDescent="0.25">
      <c r="A124" s="164" t="s">
        <v>80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100">
        <v>9.6579999999999995</v>
      </c>
      <c r="AH124" s="54"/>
      <c r="AI124" s="55"/>
      <c r="AK124" s="56"/>
    </row>
    <row r="125" spans="1:37" x14ac:dyDescent="0.25">
      <c r="A125" s="164" t="s">
        <v>150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</v>
      </c>
      <c r="AH125" s="54"/>
      <c r="AI125" s="55"/>
      <c r="AK125" s="56"/>
    </row>
    <row r="126" spans="1:37" x14ac:dyDescent="0.25">
      <c r="A126" s="164" t="s">
        <v>151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9.51</v>
      </c>
      <c r="AH126" s="54"/>
      <c r="AI126" s="55"/>
      <c r="AK126" s="56"/>
    </row>
    <row r="127" spans="1:37" x14ac:dyDescent="0.25">
      <c r="A127" s="164" t="s">
        <v>152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9.4</v>
      </c>
      <c r="AH127" s="54"/>
      <c r="AI127" s="55"/>
      <c r="AK127" s="56"/>
    </row>
    <row r="128" spans="1:37" x14ac:dyDescent="0.25">
      <c r="A128" s="164" t="s">
        <v>153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8.8000000000000007</v>
      </c>
      <c r="AH128" s="54"/>
      <c r="AI128" s="55"/>
      <c r="AK128" s="56"/>
    </row>
    <row r="129" spans="1:37" x14ac:dyDescent="0.25">
      <c r="A129" s="164" t="s">
        <v>154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8.5</v>
      </c>
      <c r="AH129" s="54"/>
      <c r="AI129" s="55"/>
      <c r="AK129" s="56"/>
    </row>
    <row r="130" spans="1:37" x14ac:dyDescent="0.25">
      <c r="A130" s="164" t="s">
        <v>155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156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8.4</v>
      </c>
      <c r="AH131" s="54"/>
      <c r="AI131" s="55"/>
      <c r="AK131" s="56"/>
    </row>
    <row r="132" spans="1:37" ht="13.5" customHeight="1" x14ac:dyDescent="0.25">
      <c r="A132" s="164" t="s">
        <v>157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</v>
      </c>
      <c r="AH132" s="54"/>
      <c r="AI132" s="55"/>
      <c r="AK132" s="56"/>
    </row>
    <row r="133" spans="1:37" x14ac:dyDescent="0.25">
      <c r="A133" s="164" t="s">
        <v>158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159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160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7.8</v>
      </c>
      <c r="AH135" s="54"/>
      <c r="AI135" s="55"/>
      <c r="AK135" s="56"/>
    </row>
    <row r="136" spans="1:37" x14ac:dyDescent="0.25">
      <c r="A136" s="164" t="s">
        <v>161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7.6</v>
      </c>
      <c r="AH136" s="54"/>
      <c r="AI136" s="55"/>
      <c r="AK136" s="56"/>
    </row>
    <row r="137" spans="1:37" x14ac:dyDescent="0.25">
      <c r="A137" s="164" t="s">
        <v>162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7.5</v>
      </c>
      <c r="AH137" s="54"/>
      <c r="AI137" s="55"/>
      <c r="AK137" s="56"/>
    </row>
    <row r="138" spans="1:37" x14ac:dyDescent="0.25">
      <c r="A138" s="164" t="s">
        <v>163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164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</v>
      </c>
      <c r="AH139" s="54"/>
      <c r="AI139" s="55"/>
      <c r="AK139" s="56"/>
    </row>
    <row r="140" spans="1:37" x14ac:dyDescent="0.25">
      <c r="A140" s="164" t="s">
        <v>165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166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167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168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6.6</v>
      </c>
      <c r="AH143" s="54"/>
      <c r="AI143" s="55"/>
      <c r="AK143" s="56"/>
    </row>
    <row r="144" spans="1:37" x14ac:dyDescent="0.25">
      <c r="A144" s="164" t="s">
        <v>169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170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6.4</v>
      </c>
      <c r="AH145" s="54"/>
      <c r="AI145" s="55"/>
      <c r="AK145" s="56"/>
    </row>
    <row r="146" spans="1:37" x14ac:dyDescent="0.25">
      <c r="A146" s="164" t="s">
        <v>171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</v>
      </c>
      <c r="AH146" s="54"/>
      <c r="AI146" s="55"/>
      <c r="AK146" s="56"/>
    </row>
    <row r="147" spans="1:37" x14ac:dyDescent="0.25">
      <c r="A147" s="164" t="s">
        <v>172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5.0999999999999996</v>
      </c>
      <c r="AH147" s="54"/>
      <c r="AI147" s="55"/>
      <c r="AK147" s="56"/>
    </row>
    <row r="148" spans="1:37" x14ac:dyDescent="0.25">
      <c r="A148" s="164" t="s">
        <v>173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</v>
      </c>
      <c r="AH148" s="54"/>
      <c r="AI148" s="55"/>
      <c r="AK148" s="56"/>
    </row>
    <row r="149" spans="1:37" x14ac:dyDescent="0.25">
      <c r="A149" s="163" t="s">
        <v>174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9">
        <v>5</v>
      </c>
      <c r="AH149" s="54"/>
      <c r="AI149" s="55"/>
      <c r="AK149" s="56"/>
    </row>
    <row r="150" spans="1:37" x14ac:dyDescent="0.25">
      <c r="A150" s="164" t="s">
        <v>175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100">
        <v>5</v>
      </c>
      <c r="AH150" s="54"/>
      <c r="AI150" s="55"/>
      <c r="AK150" s="56"/>
    </row>
    <row r="151" spans="1:37" x14ac:dyDescent="0.25">
      <c r="A151" s="164" t="s">
        <v>176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177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178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179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180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4.9930000000000003</v>
      </c>
      <c r="AH155" s="54"/>
      <c r="AI155" s="55"/>
      <c r="AK155" s="56"/>
    </row>
    <row r="156" spans="1:37" x14ac:dyDescent="0.25">
      <c r="A156" s="164" t="s">
        <v>181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4.9800000000000004</v>
      </c>
      <c r="AH156" s="54"/>
      <c r="AI156" s="55"/>
      <c r="AK156" s="56"/>
    </row>
    <row r="157" spans="1:37" x14ac:dyDescent="0.25">
      <c r="A157" s="164" t="s">
        <v>182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4.95</v>
      </c>
      <c r="AH157" s="54"/>
      <c r="AI157" s="55"/>
      <c r="AK157" s="56"/>
    </row>
    <row r="158" spans="1:37" x14ac:dyDescent="0.25">
      <c r="A158" s="164" t="s">
        <v>81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183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4.8</v>
      </c>
      <c r="AH159" s="54"/>
      <c r="AI159" s="55"/>
      <c r="AK159" s="56"/>
    </row>
    <row r="160" spans="1:37" x14ac:dyDescent="0.25">
      <c r="A160" s="164" t="s">
        <v>184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185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186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4.5</v>
      </c>
      <c r="AH162" s="54"/>
      <c r="AI162" s="55"/>
      <c r="AK162" s="56"/>
    </row>
    <row r="163" spans="1:37" x14ac:dyDescent="0.25">
      <c r="A163" s="164" t="s">
        <v>187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188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4.4550000000000001</v>
      </c>
      <c r="AH164" s="54"/>
      <c r="AI164" s="55"/>
      <c r="AK164" s="56"/>
    </row>
    <row r="165" spans="1:37" x14ac:dyDescent="0.25">
      <c r="A165" s="164" t="s">
        <v>189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4.41</v>
      </c>
      <c r="AH165" s="54"/>
      <c r="AI165" s="55"/>
      <c r="AK165" s="56"/>
    </row>
    <row r="166" spans="1:37" x14ac:dyDescent="0.25">
      <c r="A166" s="164" t="s">
        <v>190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4.4000000000000004</v>
      </c>
      <c r="AH166" s="54"/>
      <c r="AI166" s="55"/>
      <c r="AK166" s="56"/>
    </row>
    <row r="167" spans="1:37" x14ac:dyDescent="0.25">
      <c r="A167" s="164" t="s">
        <v>191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4.3600000000000003</v>
      </c>
      <c r="AH167" s="54"/>
      <c r="AI167" s="55"/>
      <c r="AK167" s="56"/>
    </row>
    <row r="168" spans="1:37" x14ac:dyDescent="0.25">
      <c r="A168" s="164" t="s">
        <v>192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4.2</v>
      </c>
      <c r="AH168" s="54"/>
      <c r="AI168" s="55"/>
      <c r="AK168" s="56"/>
    </row>
    <row r="169" spans="1:37" x14ac:dyDescent="0.25">
      <c r="A169" s="164" t="s">
        <v>193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</v>
      </c>
      <c r="AH169" s="54"/>
      <c r="AI169" s="55"/>
      <c r="AK169" s="56"/>
    </row>
    <row r="170" spans="1:37" x14ac:dyDescent="0.25">
      <c r="A170" s="164" t="s">
        <v>194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195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196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197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198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199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200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201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3.75</v>
      </c>
      <c r="AH177" s="54"/>
      <c r="AI177" s="55"/>
      <c r="AK177" s="56"/>
    </row>
    <row r="178" spans="1:37" x14ac:dyDescent="0.25">
      <c r="A178" s="164" t="s">
        <v>202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3.52</v>
      </c>
      <c r="AH178" s="54"/>
      <c r="AI178" s="55"/>
      <c r="AK178" s="56"/>
    </row>
    <row r="179" spans="1:37" x14ac:dyDescent="0.25">
      <c r="A179" s="164" t="s">
        <v>203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3.33</v>
      </c>
      <c r="AH179" s="54"/>
      <c r="AI179" s="55"/>
      <c r="AK179" s="56"/>
    </row>
    <row r="180" spans="1:37" x14ac:dyDescent="0.25">
      <c r="A180" s="164" t="s">
        <v>204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3.2</v>
      </c>
      <c r="AH180" s="54"/>
      <c r="AI180" s="55"/>
      <c r="AK180" s="56"/>
    </row>
    <row r="181" spans="1:37" x14ac:dyDescent="0.25">
      <c r="A181" s="164" t="s">
        <v>205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</v>
      </c>
      <c r="AH181" s="54"/>
      <c r="AI181" s="55"/>
      <c r="AK181" s="56"/>
    </row>
    <row r="182" spans="1:37" x14ac:dyDescent="0.25">
      <c r="A182" s="164" t="s">
        <v>206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207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208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209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210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211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212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213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2.83</v>
      </c>
      <c r="AH189" s="54"/>
      <c r="AI189" s="55"/>
      <c r="AK189" s="56"/>
    </row>
    <row r="190" spans="1:37" x14ac:dyDescent="0.25">
      <c r="A190" s="164" t="s">
        <v>214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2.5</v>
      </c>
      <c r="AH190" s="54"/>
      <c r="AI190" s="55"/>
      <c r="AK190" s="56"/>
    </row>
    <row r="191" spans="1:37" x14ac:dyDescent="0.25">
      <c r="A191" s="164" t="s">
        <v>215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216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2.4</v>
      </c>
      <c r="AH192" s="54"/>
      <c r="AI192" s="55"/>
      <c r="AK192" s="56"/>
    </row>
    <row r="193" spans="1:37" x14ac:dyDescent="0.25">
      <c r="A193" s="164" t="s">
        <v>217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218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2.2000000000000002</v>
      </c>
      <c r="AH194" s="54"/>
      <c r="AI194" s="55"/>
      <c r="AK194" s="56"/>
    </row>
    <row r="195" spans="1:37" x14ac:dyDescent="0.25">
      <c r="A195" s="164" t="s">
        <v>219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</v>
      </c>
      <c r="AH195" s="54"/>
      <c r="AI195" s="55"/>
      <c r="AK195" s="56"/>
    </row>
    <row r="196" spans="1:37" x14ac:dyDescent="0.25">
      <c r="A196" s="164" t="s">
        <v>220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221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222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1.8</v>
      </c>
      <c r="AH198" s="54"/>
      <c r="AI198" s="55"/>
      <c r="AK198" s="56"/>
    </row>
    <row r="199" spans="1:37" x14ac:dyDescent="0.25">
      <c r="A199" s="164" t="s">
        <v>223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224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1.65</v>
      </c>
      <c r="AH200" s="54"/>
      <c r="AI200" s="55"/>
      <c r="AK200" s="56"/>
    </row>
    <row r="201" spans="1:37" x14ac:dyDescent="0.25">
      <c r="A201" s="164" t="s">
        <v>225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1.5</v>
      </c>
      <c r="AH201" s="54"/>
      <c r="AI201" s="55"/>
      <c r="AK201" s="56"/>
    </row>
    <row r="202" spans="1:37" x14ac:dyDescent="0.25">
      <c r="A202" s="164" t="s">
        <v>226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0.998</v>
      </c>
      <c r="AH202" s="54"/>
      <c r="AI202" s="55"/>
      <c r="AK202" s="56"/>
    </row>
    <row r="203" spans="1:37" x14ac:dyDescent="0.25">
      <c r="A203" s="164" t="s">
        <v>227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0.997</v>
      </c>
      <c r="AH203" s="54"/>
      <c r="AI203" s="55"/>
      <c r="AK203" s="56"/>
    </row>
    <row r="204" spans="1:37" x14ac:dyDescent="0.25">
      <c r="A204" s="164" t="s">
        <v>228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229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0.996</v>
      </c>
      <c r="AH205" s="54"/>
      <c r="AI205" s="55"/>
      <c r="AK205" s="56"/>
    </row>
    <row r="206" spans="1:37" x14ac:dyDescent="0.25">
      <c r="A206" s="164" t="s">
        <v>230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231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232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0.995</v>
      </c>
      <c r="AH208" s="54"/>
      <c r="AI208" s="55"/>
      <c r="AK208" s="56"/>
    </row>
    <row r="209" spans="1:37" x14ac:dyDescent="0.25">
      <c r="A209" s="164" t="s">
        <v>233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0.99299999999999999</v>
      </c>
      <c r="AH209" s="54"/>
      <c r="AI209" s="55"/>
      <c r="AK209" s="56"/>
    </row>
    <row r="210" spans="1:37" x14ac:dyDescent="0.25">
      <c r="A210" s="164" t="s">
        <v>234</v>
      </c>
      <c r="B210" s="97"/>
      <c r="C210" s="53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</v>
      </c>
      <c r="AH210" s="54"/>
      <c r="AI210" s="55"/>
      <c r="AK210" s="56"/>
    </row>
    <row r="211" spans="1:37" ht="15.75" thickBot="1" x14ac:dyDescent="0.3">
      <c r="A211" s="164" t="s">
        <v>235</v>
      </c>
      <c r="B211" s="102"/>
      <c r="C211" s="166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0">
        <v>0.97899999999999998</v>
      </c>
      <c r="AH211" s="54"/>
      <c r="AI211" s="55"/>
      <c r="AK211" s="56"/>
    </row>
    <row r="212" spans="1:37" ht="15.75" thickBot="1" x14ac:dyDescent="0.3">
      <c r="A212" s="165" t="s">
        <v>82</v>
      </c>
      <c r="B212" s="167">
        <f>SUM(B107:B211)</f>
        <v>0</v>
      </c>
      <c r="C212" s="103">
        <f t="shared" ref="C212:AG212" si="30">SUM(C107:C211)</f>
        <v>0</v>
      </c>
      <c r="D212" s="103">
        <f t="shared" si="30"/>
        <v>0</v>
      </c>
      <c r="E212" s="103">
        <f t="shared" si="30"/>
        <v>0</v>
      </c>
      <c r="F212" s="103">
        <f t="shared" si="30"/>
        <v>0</v>
      </c>
      <c r="G212" s="103">
        <f t="shared" si="30"/>
        <v>0</v>
      </c>
      <c r="H212" s="103">
        <f t="shared" si="30"/>
        <v>0</v>
      </c>
      <c r="I212" s="103">
        <f t="shared" si="30"/>
        <v>0</v>
      </c>
      <c r="J212" s="103">
        <f t="shared" si="30"/>
        <v>0</v>
      </c>
      <c r="K212" s="103">
        <f t="shared" si="30"/>
        <v>0</v>
      </c>
      <c r="L212" s="103">
        <f t="shared" si="30"/>
        <v>0</v>
      </c>
      <c r="M212" s="103">
        <f t="shared" si="30"/>
        <v>0</v>
      </c>
      <c r="N212" s="103">
        <f t="shared" si="30"/>
        <v>0</v>
      </c>
      <c r="O212" s="103">
        <f t="shared" si="30"/>
        <v>0</v>
      </c>
      <c r="P212" s="103">
        <f t="shared" si="30"/>
        <v>0</v>
      </c>
      <c r="Q212" s="103">
        <f t="shared" si="30"/>
        <v>0</v>
      </c>
      <c r="R212" s="103">
        <f t="shared" si="30"/>
        <v>0</v>
      </c>
      <c r="S212" s="103">
        <f t="shared" si="30"/>
        <v>0</v>
      </c>
      <c r="T212" s="103">
        <f t="shared" si="30"/>
        <v>0</v>
      </c>
      <c r="U212" s="103">
        <f t="shared" si="30"/>
        <v>0</v>
      </c>
      <c r="V212" s="103">
        <f t="shared" si="30"/>
        <v>0</v>
      </c>
      <c r="W212" s="103">
        <f t="shared" si="30"/>
        <v>0</v>
      </c>
      <c r="X212" s="103">
        <f t="shared" si="30"/>
        <v>0</v>
      </c>
      <c r="Y212" s="103">
        <f t="shared" si="30"/>
        <v>0</v>
      </c>
      <c r="Z212" s="103">
        <f t="shared" si="30"/>
        <v>0</v>
      </c>
      <c r="AA212" s="103">
        <f t="shared" si="30"/>
        <v>0</v>
      </c>
      <c r="AB212" s="103">
        <f t="shared" si="30"/>
        <v>0</v>
      </c>
      <c r="AC212" s="103">
        <f t="shared" si="30"/>
        <v>0</v>
      </c>
      <c r="AD212" s="103">
        <f t="shared" si="30"/>
        <v>0</v>
      </c>
      <c r="AE212" s="103">
        <f t="shared" si="30"/>
        <v>0</v>
      </c>
      <c r="AF212" s="168">
        <f t="shared" si="30"/>
        <v>0</v>
      </c>
      <c r="AG212" s="169">
        <f t="shared" si="30"/>
        <v>412.72299999999984</v>
      </c>
      <c r="AH212" s="54"/>
      <c r="AI212" s="55"/>
      <c r="AK212" s="56"/>
    </row>
    <row r="213" spans="1:37" ht="15.75" thickBot="1" x14ac:dyDescent="0.3">
      <c r="A213" s="28" t="s">
        <v>35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149"/>
      <c r="AH213" s="54"/>
      <c r="AI213" s="55"/>
      <c r="AK213" s="56"/>
    </row>
    <row r="214" spans="1:37" x14ac:dyDescent="0.25">
      <c r="A214" s="170" t="s">
        <v>83</v>
      </c>
      <c r="B214" s="101">
        <f t="shared" ref="B214:B219" si="31">AF214</f>
        <v>0</v>
      </c>
      <c r="C214" s="101">
        <v>0.3</v>
      </c>
      <c r="D214" s="101">
        <f t="shared" ref="D214:P219" si="32">C214</f>
        <v>0.3</v>
      </c>
      <c r="E214" s="101">
        <f t="shared" si="32"/>
        <v>0.3</v>
      </c>
      <c r="F214" s="101">
        <f t="shared" si="32"/>
        <v>0.3</v>
      </c>
      <c r="G214" s="101">
        <f t="shared" si="32"/>
        <v>0.3</v>
      </c>
      <c r="H214" s="101">
        <f t="shared" si="32"/>
        <v>0.3</v>
      </c>
      <c r="I214" s="101">
        <f t="shared" si="32"/>
        <v>0.3</v>
      </c>
      <c r="J214" s="101">
        <f t="shared" si="32"/>
        <v>0.3</v>
      </c>
      <c r="K214" s="101">
        <f t="shared" si="32"/>
        <v>0.3</v>
      </c>
      <c r="L214" s="101">
        <f t="shared" si="32"/>
        <v>0.3</v>
      </c>
      <c r="M214" s="101">
        <f t="shared" si="32"/>
        <v>0.3</v>
      </c>
      <c r="N214" s="101">
        <f t="shared" si="32"/>
        <v>0.3</v>
      </c>
      <c r="O214" s="101">
        <f t="shared" si="32"/>
        <v>0.3</v>
      </c>
      <c r="P214" s="101">
        <f t="shared" si="32"/>
        <v>0.3</v>
      </c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55">
        <v>2.4</v>
      </c>
      <c r="AH214" s="54"/>
      <c r="AI214" s="55"/>
      <c r="AK214" s="56"/>
    </row>
    <row r="215" spans="1:37" x14ac:dyDescent="0.25">
      <c r="A215" s="163" t="s">
        <v>84</v>
      </c>
      <c r="B215" s="97">
        <f t="shared" si="31"/>
        <v>0</v>
      </c>
      <c r="C215" s="97">
        <v>0.4</v>
      </c>
      <c r="D215" s="97">
        <f t="shared" si="32"/>
        <v>0.4</v>
      </c>
      <c r="E215" s="97">
        <f t="shared" si="32"/>
        <v>0.4</v>
      </c>
      <c r="F215" s="97">
        <f t="shared" si="32"/>
        <v>0.4</v>
      </c>
      <c r="G215" s="97">
        <f t="shared" si="32"/>
        <v>0.4</v>
      </c>
      <c r="H215" s="97">
        <f t="shared" si="32"/>
        <v>0.4</v>
      </c>
      <c r="I215" s="97">
        <f t="shared" si="32"/>
        <v>0.4</v>
      </c>
      <c r="J215" s="97">
        <f t="shared" si="32"/>
        <v>0.4</v>
      </c>
      <c r="K215" s="97">
        <f t="shared" si="32"/>
        <v>0.4</v>
      </c>
      <c r="L215" s="97">
        <f t="shared" si="32"/>
        <v>0.4</v>
      </c>
      <c r="M215" s="97">
        <f t="shared" si="32"/>
        <v>0.4</v>
      </c>
      <c r="N215" s="97">
        <f t="shared" si="32"/>
        <v>0.4</v>
      </c>
      <c r="O215" s="97">
        <f t="shared" si="32"/>
        <v>0.4</v>
      </c>
      <c r="P215" s="97">
        <f t="shared" si="32"/>
        <v>0.4</v>
      </c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56">
        <v>2</v>
      </c>
      <c r="AH215" s="54"/>
      <c r="AI215" s="55"/>
      <c r="AK215" s="56"/>
    </row>
    <row r="216" spans="1:37" x14ac:dyDescent="0.25">
      <c r="A216" s="163" t="s">
        <v>85</v>
      </c>
      <c r="B216" s="97">
        <f t="shared" si="31"/>
        <v>0</v>
      </c>
      <c r="C216" s="97">
        <v>1.5</v>
      </c>
      <c r="D216" s="97">
        <f t="shared" si="32"/>
        <v>1.5</v>
      </c>
      <c r="E216" s="97">
        <f t="shared" si="32"/>
        <v>1.5</v>
      </c>
      <c r="F216" s="97">
        <f t="shared" si="32"/>
        <v>1.5</v>
      </c>
      <c r="G216" s="97">
        <f t="shared" si="32"/>
        <v>1.5</v>
      </c>
      <c r="H216" s="97">
        <f t="shared" si="32"/>
        <v>1.5</v>
      </c>
      <c r="I216" s="97">
        <f t="shared" si="32"/>
        <v>1.5</v>
      </c>
      <c r="J216" s="97">
        <f t="shared" si="32"/>
        <v>1.5</v>
      </c>
      <c r="K216" s="97">
        <f t="shared" si="32"/>
        <v>1.5</v>
      </c>
      <c r="L216" s="97">
        <f t="shared" si="32"/>
        <v>1.5</v>
      </c>
      <c r="M216" s="97">
        <f t="shared" si="32"/>
        <v>1.5</v>
      </c>
      <c r="N216" s="97">
        <f t="shared" si="32"/>
        <v>1.5</v>
      </c>
      <c r="O216" s="97">
        <f t="shared" si="32"/>
        <v>1.5</v>
      </c>
      <c r="P216" s="97">
        <f t="shared" si="32"/>
        <v>1.5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1.5</v>
      </c>
      <c r="AH216" s="54"/>
      <c r="AI216" s="55"/>
      <c r="AK216" s="56"/>
    </row>
    <row r="217" spans="1:37" x14ac:dyDescent="0.25">
      <c r="A217" s="163" t="s">
        <v>86</v>
      </c>
      <c r="B217" s="97">
        <f t="shared" si="31"/>
        <v>0</v>
      </c>
      <c r="C217" s="97">
        <v>0.3</v>
      </c>
      <c r="D217" s="97">
        <f t="shared" si="32"/>
        <v>0.3</v>
      </c>
      <c r="E217" s="97">
        <f t="shared" si="32"/>
        <v>0.3</v>
      </c>
      <c r="F217" s="97">
        <f t="shared" si="32"/>
        <v>0.3</v>
      </c>
      <c r="G217" s="97">
        <f t="shared" si="32"/>
        <v>0.3</v>
      </c>
      <c r="H217" s="97">
        <f t="shared" si="32"/>
        <v>0.3</v>
      </c>
      <c r="I217" s="97">
        <f t="shared" si="32"/>
        <v>0.3</v>
      </c>
      <c r="J217" s="97">
        <f t="shared" si="32"/>
        <v>0.3</v>
      </c>
      <c r="K217" s="97">
        <f t="shared" si="32"/>
        <v>0.3</v>
      </c>
      <c r="L217" s="97">
        <f t="shared" si="32"/>
        <v>0.3</v>
      </c>
      <c r="M217" s="97">
        <f t="shared" si="32"/>
        <v>0.3</v>
      </c>
      <c r="N217" s="97">
        <f t="shared" si="32"/>
        <v>0.3</v>
      </c>
      <c r="O217" s="97">
        <f t="shared" si="32"/>
        <v>0.3</v>
      </c>
      <c r="P217" s="97">
        <f t="shared" si="32"/>
        <v>0.3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</v>
      </c>
      <c r="AH217" s="54"/>
      <c r="AI217" s="55"/>
      <c r="AK217" s="56"/>
    </row>
    <row r="218" spans="1:37" x14ac:dyDescent="0.25">
      <c r="A218" s="163" t="s">
        <v>87</v>
      </c>
      <c r="B218" s="97">
        <f t="shared" si="31"/>
        <v>0</v>
      </c>
      <c r="C218" s="97">
        <v>0.4</v>
      </c>
      <c r="D218" s="97">
        <f t="shared" si="32"/>
        <v>0.4</v>
      </c>
      <c r="E218" s="97">
        <f t="shared" si="32"/>
        <v>0.4</v>
      </c>
      <c r="F218" s="97">
        <f t="shared" si="32"/>
        <v>0.4</v>
      </c>
      <c r="G218" s="97">
        <f t="shared" si="32"/>
        <v>0.4</v>
      </c>
      <c r="H218" s="97">
        <f t="shared" si="32"/>
        <v>0.4</v>
      </c>
      <c r="I218" s="97">
        <f t="shared" si="32"/>
        <v>0.4</v>
      </c>
      <c r="J218" s="97">
        <f t="shared" si="32"/>
        <v>0.4</v>
      </c>
      <c r="K218" s="97">
        <f t="shared" si="32"/>
        <v>0.4</v>
      </c>
      <c r="L218" s="97">
        <f t="shared" si="32"/>
        <v>0.4</v>
      </c>
      <c r="M218" s="97">
        <f t="shared" si="32"/>
        <v>0.4</v>
      </c>
      <c r="N218" s="97">
        <f t="shared" si="32"/>
        <v>0.4</v>
      </c>
      <c r="O218" s="97">
        <f t="shared" si="32"/>
        <v>0.4</v>
      </c>
      <c r="P218" s="97">
        <f t="shared" si="32"/>
        <v>0.4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ht="15.75" thickBot="1" x14ac:dyDescent="0.3">
      <c r="A219" s="164" t="s">
        <v>88</v>
      </c>
      <c r="B219" s="102">
        <f t="shared" si="31"/>
        <v>0</v>
      </c>
      <c r="C219" s="102">
        <v>0.64</v>
      </c>
      <c r="D219" s="102">
        <f t="shared" si="32"/>
        <v>0.64</v>
      </c>
      <c r="E219" s="102">
        <f t="shared" si="32"/>
        <v>0.64</v>
      </c>
      <c r="F219" s="102">
        <f t="shared" si="32"/>
        <v>0.64</v>
      </c>
      <c r="G219" s="102">
        <f t="shared" si="32"/>
        <v>0.64</v>
      </c>
      <c r="H219" s="102">
        <f t="shared" si="32"/>
        <v>0.64</v>
      </c>
      <c r="I219" s="102">
        <f t="shared" si="32"/>
        <v>0.64</v>
      </c>
      <c r="J219" s="102">
        <f t="shared" si="32"/>
        <v>0.64</v>
      </c>
      <c r="K219" s="102">
        <f t="shared" si="32"/>
        <v>0.64</v>
      </c>
      <c r="L219" s="102">
        <f t="shared" si="32"/>
        <v>0.64</v>
      </c>
      <c r="M219" s="102">
        <f t="shared" si="32"/>
        <v>0.64</v>
      </c>
      <c r="N219" s="102">
        <f t="shared" si="32"/>
        <v>0.64</v>
      </c>
      <c r="O219" s="102">
        <f t="shared" si="32"/>
        <v>0.64</v>
      </c>
      <c r="P219" s="102">
        <f t="shared" si="32"/>
        <v>0.64</v>
      </c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57">
        <v>0.66</v>
      </c>
      <c r="AH219" s="54"/>
      <c r="AI219" s="55"/>
    </row>
    <row r="220" spans="1:37" ht="15.75" thickBot="1" x14ac:dyDescent="0.3">
      <c r="A220" s="173" t="s">
        <v>35</v>
      </c>
      <c r="B220" s="103">
        <f>SUM(B214:B219)</f>
        <v>0</v>
      </c>
      <c r="C220" s="103">
        <f>SUM(C214:C219)</f>
        <v>3.54</v>
      </c>
      <c r="D220" s="103">
        <f t="shared" ref="D220:L220" si="33">SUM(D214:D219)</f>
        <v>3.54</v>
      </c>
      <c r="E220" s="103">
        <f t="shared" si="33"/>
        <v>3.54</v>
      </c>
      <c r="F220" s="103">
        <f t="shared" si="33"/>
        <v>3.54</v>
      </c>
      <c r="G220" s="103">
        <f t="shared" si="33"/>
        <v>3.54</v>
      </c>
      <c r="H220" s="103">
        <f t="shared" si="33"/>
        <v>3.54</v>
      </c>
      <c r="I220" s="103">
        <f t="shared" si="33"/>
        <v>3.54</v>
      </c>
      <c r="J220" s="103">
        <f t="shared" si="33"/>
        <v>3.54</v>
      </c>
      <c r="K220" s="103">
        <f t="shared" si="33"/>
        <v>3.54</v>
      </c>
      <c r="L220" s="103">
        <f t="shared" si="33"/>
        <v>3.54</v>
      </c>
      <c r="M220" s="103">
        <f>SUM(M214:M219)</f>
        <v>3.54</v>
      </c>
      <c r="N220" s="103">
        <f t="shared" ref="N220:S220" si="34">SUM(N214:N219)</f>
        <v>3.54</v>
      </c>
      <c r="O220" s="103">
        <f t="shared" si="34"/>
        <v>3.54</v>
      </c>
      <c r="P220" s="103">
        <f t="shared" si="34"/>
        <v>3.54</v>
      </c>
      <c r="Q220" s="103">
        <f t="shared" si="34"/>
        <v>0</v>
      </c>
      <c r="R220" s="103">
        <f t="shared" si="34"/>
        <v>0</v>
      </c>
      <c r="S220" s="103">
        <f t="shared" si="34"/>
        <v>0</v>
      </c>
      <c r="T220" s="103">
        <f>SUM(T214:T219)</f>
        <v>0</v>
      </c>
      <c r="U220" s="103">
        <f t="shared" ref="U220:AG220" si="35">SUM(U214:U219)</f>
        <v>0</v>
      </c>
      <c r="V220" s="103">
        <f t="shared" si="35"/>
        <v>0</v>
      </c>
      <c r="W220" s="103">
        <f t="shared" si="35"/>
        <v>0</v>
      </c>
      <c r="X220" s="103">
        <f t="shared" si="35"/>
        <v>0</v>
      </c>
      <c r="Y220" s="103">
        <f t="shared" si="35"/>
        <v>0</v>
      </c>
      <c r="Z220" s="103">
        <f t="shared" si="35"/>
        <v>0</v>
      </c>
      <c r="AA220" s="103">
        <f t="shared" si="35"/>
        <v>0</v>
      </c>
      <c r="AB220" s="103">
        <f t="shared" si="35"/>
        <v>0</v>
      </c>
      <c r="AC220" s="103">
        <f t="shared" si="35"/>
        <v>0</v>
      </c>
      <c r="AD220" s="103">
        <f t="shared" si="35"/>
        <v>0</v>
      </c>
      <c r="AE220" s="103">
        <f t="shared" si="35"/>
        <v>0</v>
      </c>
      <c r="AF220" s="103">
        <f t="shared" si="35"/>
        <v>0</v>
      </c>
      <c r="AG220" s="158">
        <f t="shared" si="35"/>
        <v>8.56</v>
      </c>
      <c r="AH220" s="54"/>
      <c r="AI220" s="55"/>
    </row>
    <row r="221" spans="1:37" ht="15.75" thickBot="1" x14ac:dyDescent="0.3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84"/>
      <c r="AH221" s="47"/>
    </row>
    <row r="222" spans="1:37" x14ac:dyDescent="0.25">
      <c r="A222" s="79" t="s">
        <v>89</v>
      </c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5"/>
      <c r="AG222" s="47"/>
      <c r="AH222" s="54"/>
      <c r="AI222" s="55"/>
    </row>
    <row r="223" spans="1:37" x14ac:dyDescent="0.25">
      <c r="A223" s="106" t="s">
        <v>90</v>
      </c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8"/>
      <c r="AG223" s="109"/>
      <c r="AH223" s="54"/>
      <c r="AI223" s="55"/>
    </row>
    <row r="224" spans="1:37" x14ac:dyDescent="0.25">
      <c r="A224" s="81" t="s">
        <v>91</v>
      </c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1"/>
      <c r="AG224" s="109"/>
      <c r="AH224" s="54"/>
      <c r="AI224" s="55"/>
    </row>
    <row r="225" spans="1:50" x14ac:dyDescent="0.25">
      <c r="A225" s="81" t="s">
        <v>92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ht="15.75" thickBot="1" x14ac:dyDescent="0.3">
      <c r="A226" s="112" t="s">
        <v>93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4"/>
      <c r="AG226" s="109"/>
      <c r="AH226" s="54"/>
      <c r="AI226" s="55"/>
    </row>
    <row r="227" spans="1:50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50" x14ac:dyDescent="0.25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50" x14ac:dyDescent="0.25">
      <c r="A229" s="115" t="s">
        <v>94</v>
      </c>
      <c r="B229" s="116">
        <f>MAX(G79:N79)</f>
        <v>1771.24</v>
      </c>
      <c r="C229" s="117">
        <f>INDEX(G9:N9,1,MATCH(MAX(G79:N79),G79:N79,0))</f>
        <v>0.375</v>
      </c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50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118" t="str">
        <f ca="1">MID(CELL("filename",C7),FIND("]",CELL("filename",C7))+1,600)</f>
        <v>12</v>
      </c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50" x14ac:dyDescent="0.25">
      <c r="A231" s="208" t="s">
        <v>95</v>
      </c>
      <c r="B231" s="208"/>
      <c r="C231" s="47"/>
      <c r="D231" s="118" t="str">
        <f ca="1">"Pie Chart of Daily Peak Demand(Inclusive of Export) of Nepal ("&amp;A4&amp;" "&amp;B4&amp;")"</f>
        <v>Pie Chart of Daily Peak Demand(Inclusive of Export) of Nepal (Nepali Date: 2079/02/12)</v>
      </c>
      <c r="E231" s="47"/>
      <c r="F231" s="47"/>
      <c r="G231" s="118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118" t="str">
        <f ca="1">"Daily Load Curve(Excluding of Export) of Nepal ("&amp;A4&amp;" "&amp;B4&amp;")"</f>
        <v>Daily Load Curve(Excluding of Export) of Nepal (Nepali Date: 2079/02/12)</v>
      </c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50" ht="12.75" customHeight="1" thickBot="1" x14ac:dyDescent="0.3">
      <c r="A232" s="119" t="s">
        <v>7</v>
      </c>
      <c r="B232" s="120"/>
      <c r="C232" s="47"/>
      <c r="D232" s="121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50" ht="15.75" thickTop="1" x14ac:dyDescent="0.25">
      <c r="A233" s="119" t="s">
        <v>96</v>
      </c>
      <c r="B233" s="120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122" t="s">
        <v>97</v>
      </c>
      <c r="T233" s="123">
        <v>0</v>
      </c>
      <c r="U233" s="124">
        <v>4.1666666666666664E-2</v>
      </c>
      <c r="V233" s="125">
        <v>8.3333333333333301E-2</v>
      </c>
      <c r="W233" s="125">
        <v>0.125</v>
      </c>
      <c r="X233" s="125">
        <v>0.16666666666666699</v>
      </c>
      <c r="Y233" s="125">
        <v>0.20833333333333301</v>
      </c>
      <c r="Z233" s="125">
        <v>0.22916666666666666</v>
      </c>
      <c r="AA233" s="125">
        <v>0.25</v>
      </c>
      <c r="AB233" s="125">
        <v>0.27083333333333331</v>
      </c>
      <c r="AC233" s="125">
        <v>0.29166666666666669</v>
      </c>
      <c r="AD233" s="125">
        <v>0.3125</v>
      </c>
      <c r="AE233" s="126">
        <v>0.33333333333333331</v>
      </c>
      <c r="AF233" s="126">
        <v>0.375</v>
      </c>
      <c r="AG233" s="126">
        <v>0.41666666666666702</v>
      </c>
      <c r="AH233" s="126">
        <v>0.45833333333333298</v>
      </c>
      <c r="AI233" s="126">
        <v>0.5</v>
      </c>
      <c r="AJ233" s="126">
        <v>0.54166666666666696</v>
      </c>
      <c r="AK233" s="126">
        <v>0.58333333333333304</v>
      </c>
      <c r="AL233" s="126">
        <v>0.625</v>
      </c>
      <c r="AM233" s="126">
        <v>0.66666666666666696</v>
      </c>
      <c r="AN233" s="126">
        <v>0.70833333333333304</v>
      </c>
      <c r="AO233" s="126">
        <v>0.72916666666666663</v>
      </c>
      <c r="AP233" s="126">
        <v>0.75</v>
      </c>
      <c r="AQ233" s="126">
        <v>0.77083333333333337</v>
      </c>
      <c r="AR233" s="126">
        <v>0.79166666666666663</v>
      </c>
      <c r="AS233" s="126">
        <v>0.8125</v>
      </c>
      <c r="AT233" s="125">
        <v>0.83333333333333337</v>
      </c>
      <c r="AU233" s="125">
        <v>0.85416666666666663</v>
      </c>
      <c r="AV233" s="125">
        <v>0.875</v>
      </c>
      <c r="AW233" s="125">
        <v>0.91666666666666696</v>
      </c>
      <c r="AX233" s="125">
        <v>0.95833333333333304</v>
      </c>
    </row>
    <row r="234" spans="1:50" x14ac:dyDescent="0.25">
      <c r="A234" s="119" t="s">
        <v>98</v>
      </c>
      <c r="B234" s="120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 t="s">
        <v>99</v>
      </c>
      <c r="T234" s="127">
        <f t="shared" ref="T234:AX234" si="36">B79</f>
        <v>1744.1399999999999</v>
      </c>
      <c r="U234" s="127">
        <f t="shared" si="36"/>
        <v>1733.3400000000001</v>
      </c>
      <c r="V234" s="127">
        <f t="shared" si="36"/>
        <v>1713.64</v>
      </c>
      <c r="W234" s="127">
        <f t="shared" si="36"/>
        <v>1698.84</v>
      </c>
      <c r="X234" s="127">
        <f t="shared" si="36"/>
        <v>1656.64</v>
      </c>
      <c r="Y234" s="127">
        <f t="shared" si="36"/>
        <v>1579.54</v>
      </c>
      <c r="Z234" s="127">
        <f t="shared" si="36"/>
        <v>1580.94</v>
      </c>
      <c r="AA234" s="127">
        <f t="shared" si="36"/>
        <v>1590.04</v>
      </c>
      <c r="AB234" s="127">
        <f t="shared" si="36"/>
        <v>1588.1399999999999</v>
      </c>
      <c r="AC234" s="127">
        <f t="shared" si="36"/>
        <v>1589.04</v>
      </c>
      <c r="AD234" s="127">
        <f t="shared" si="36"/>
        <v>1639.54</v>
      </c>
      <c r="AE234" s="127">
        <f t="shared" si="36"/>
        <v>1743.74</v>
      </c>
      <c r="AF234" s="127">
        <f t="shared" si="36"/>
        <v>1771.24</v>
      </c>
      <c r="AG234" s="127">
        <f t="shared" si="36"/>
        <v>1786.04</v>
      </c>
      <c r="AH234" s="127">
        <f t="shared" si="36"/>
        <v>1780.2400000000002</v>
      </c>
      <c r="AI234" s="127">
        <f t="shared" si="36"/>
        <v>1762.64</v>
      </c>
      <c r="AJ234" s="127">
        <f t="shared" si="36"/>
        <v>1789.34</v>
      </c>
      <c r="AK234" s="127">
        <f t="shared" si="36"/>
        <v>1816.94</v>
      </c>
      <c r="AL234" s="127">
        <f t="shared" si="36"/>
        <v>1822.54</v>
      </c>
      <c r="AM234" s="127">
        <f t="shared" si="36"/>
        <v>1814.8400000000001</v>
      </c>
      <c r="AN234" s="127">
        <f t="shared" si="36"/>
        <v>1795.44</v>
      </c>
      <c r="AO234" s="127">
        <f t="shared" si="36"/>
        <v>1792.44</v>
      </c>
      <c r="AP234" s="127">
        <f t="shared" si="36"/>
        <v>1781.44</v>
      </c>
      <c r="AQ234" s="127">
        <f t="shared" si="36"/>
        <v>1764.3400000000001</v>
      </c>
      <c r="AR234" s="127">
        <f t="shared" si="36"/>
        <v>1802.24</v>
      </c>
      <c r="AS234" s="127">
        <f t="shared" si="36"/>
        <v>1807.2399999999998</v>
      </c>
      <c r="AT234" s="127">
        <f t="shared" si="36"/>
        <v>1794.54</v>
      </c>
      <c r="AU234" s="127">
        <f t="shared" si="36"/>
        <v>1797.2399999999998</v>
      </c>
      <c r="AV234" s="127">
        <f t="shared" si="36"/>
        <v>1788.2399999999998</v>
      </c>
      <c r="AW234" s="127">
        <f t="shared" si="36"/>
        <v>1774.04</v>
      </c>
      <c r="AX234" s="127">
        <f t="shared" si="36"/>
        <v>1696.94</v>
      </c>
    </row>
    <row r="235" spans="1:50" x14ac:dyDescent="0.25">
      <c r="A235" s="119" t="s">
        <v>100</v>
      </c>
      <c r="B235" s="120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</row>
    <row r="236" spans="1:50" x14ac:dyDescent="0.25">
      <c r="A236" s="119" t="s">
        <v>101</v>
      </c>
      <c r="B236" s="120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</row>
    <row r="237" spans="1:50" x14ac:dyDescent="0.25">
      <c r="A237" s="119" t="s">
        <v>102</v>
      </c>
      <c r="B237" s="120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50" x14ac:dyDescent="0.25">
      <c r="A238" s="119" t="s">
        <v>103</v>
      </c>
      <c r="B238" s="128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50" x14ac:dyDescent="0.25">
      <c r="A239" s="119" t="s">
        <v>104</v>
      </c>
      <c r="B239" s="120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50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1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1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1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1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1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</row>
    <row r="246" spans="1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J246"/>
    </row>
    <row r="247" spans="1:36" x14ac:dyDescent="0.25"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J247"/>
    </row>
    <row r="248" spans="1:36" x14ac:dyDescent="0.25"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J248"/>
    </row>
    <row r="249" spans="1:36" x14ac:dyDescent="0.25"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J249"/>
    </row>
    <row r="250" spans="1:36" x14ac:dyDescent="0.25"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J250"/>
    </row>
    <row r="251" spans="1:36" x14ac:dyDescent="0.25"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J251"/>
    </row>
    <row r="252" spans="1:36" x14ac:dyDescent="0.25"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J252"/>
    </row>
    <row r="253" spans="1:36" x14ac:dyDescent="0.25"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J253"/>
    </row>
    <row r="254" spans="1:36" x14ac:dyDescent="0.25"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J254"/>
    </row>
    <row r="255" spans="1:36" x14ac:dyDescent="0.25">
      <c r="A255" s="129" t="s">
        <v>89</v>
      </c>
      <c r="B255" s="130">
        <f t="shared" ref="B255:AE255" si="37">C219</f>
        <v>0.64</v>
      </c>
      <c r="C255" s="130">
        <f t="shared" si="37"/>
        <v>0.64</v>
      </c>
      <c r="D255" s="130">
        <f t="shared" si="37"/>
        <v>0.64</v>
      </c>
      <c r="E255" s="130">
        <f t="shared" si="37"/>
        <v>0.64</v>
      </c>
      <c r="F255" s="130">
        <f t="shared" si="37"/>
        <v>0.64</v>
      </c>
      <c r="G255" s="130">
        <f t="shared" si="37"/>
        <v>0.64</v>
      </c>
      <c r="H255" s="130">
        <f t="shared" si="37"/>
        <v>0.64</v>
      </c>
      <c r="I255" s="130">
        <f t="shared" si="37"/>
        <v>0.64</v>
      </c>
      <c r="J255" s="130">
        <f t="shared" si="37"/>
        <v>0.64</v>
      </c>
      <c r="K255" s="130">
        <f t="shared" si="37"/>
        <v>0.64</v>
      </c>
      <c r="L255" s="130">
        <f t="shared" si="37"/>
        <v>0.64</v>
      </c>
      <c r="M255" s="130">
        <f t="shared" si="37"/>
        <v>0.64</v>
      </c>
      <c r="N255" s="130">
        <f t="shared" si="37"/>
        <v>0.64</v>
      </c>
      <c r="O255" s="130">
        <f t="shared" si="37"/>
        <v>0.64</v>
      </c>
      <c r="P255" s="130">
        <f t="shared" si="37"/>
        <v>0</v>
      </c>
      <c r="Q255" s="130">
        <f t="shared" si="37"/>
        <v>0</v>
      </c>
      <c r="R255" s="130">
        <f t="shared" si="37"/>
        <v>0</v>
      </c>
      <c r="S255" s="130">
        <f t="shared" si="37"/>
        <v>0</v>
      </c>
      <c r="T255" s="130">
        <f t="shared" si="37"/>
        <v>0</v>
      </c>
      <c r="U255" s="130">
        <f t="shared" si="37"/>
        <v>0</v>
      </c>
      <c r="V255" s="130">
        <f t="shared" si="37"/>
        <v>0</v>
      </c>
      <c r="W255" s="130">
        <f t="shared" si="37"/>
        <v>0</v>
      </c>
      <c r="X255" s="130">
        <f t="shared" si="37"/>
        <v>0</v>
      </c>
      <c r="Y255" s="130">
        <f t="shared" si="37"/>
        <v>0</v>
      </c>
      <c r="Z255" s="130">
        <f t="shared" si="37"/>
        <v>0</v>
      </c>
      <c r="AA255" s="130">
        <f t="shared" si="37"/>
        <v>0</v>
      </c>
      <c r="AB255" s="130">
        <f t="shared" si="37"/>
        <v>0</v>
      </c>
      <c r="AC255" s="130">
        <f t="shared" si="37"/>
        <v>0</v>
      </c>
      <c r="AD255" s="130">
        <f t="shared" si="37"/>
        <v>0</v>
      </c>
      <c r="AE255" s="130">
        <f t="shared" si="37"/>
        <v>0</v>
      </c>
      <c r="AF255" s="130">
        <f>B219</f>
        <v>0</v>
      </c>
      <c r="AG255" s="47"/>
      <c r="AH255" s="47"/>
      <c r="AJ255"/>
    </row>
    <row r="256" spans="1:36" x14ac:dyDescent="0.25">
      <c r="A256" s="88" t="str">
        <f>A223</f>
        <v>KGA</v>
      </c>
      <c r="B256" s="88" t="str">
        <f>IF(B223&lt;100,"",B223-520)</f>
        <v/>
      </c>
      <c r="C256" s="88" t="str">
        <f t="shared" ref="C256:AF256" si="38">IF(C223&lt;100,"",C223-520)</f>
        <v/>
      </c>
      <c r="D256" s="88" t="str">
        <f t="shared" si="38"/>
        <v/>
      </c>
      <c r="E256" s="88" t="str">
        <f t="shared" si="38"/>
        <v/>
      </c>
      <c r="F256" s="88" t="str">
        <f t="shared" si="38"/>
        <v/>
      </c>
      <c r="G256" s="88" t="str">
        <f t="shared" si="38"/>
        <v/>
      </c>
      <c r="H256" s="88" t="str">
        <f t="shared" si="38"/>
        <v/>
      </c>
      <c r="I256" s="88" t="str">
        <f t="shared" si="38"/>
        <v/>
      </c>
      <c r="J256" s="88" t="str">
        <f t="shared" si="38"/>
        <v/>
      </c>
      <c r="K256" s="88" t="str">
        <f t="shared" si="38"/>
        <v/>
      </c>
      <c r="L256" s="88" t="str">
        <f t="shared" si="38"/>
        <v/>
      </c>
      <c r="M256" s="88" t="str">
        <f t="shared" si="38"/>
        <v/>
      </c>
      <c r="N256" s="88" t="str">
        <f t="shared" si="38"/>
        <v/>
      </c>
      <c r="O256" s="88" t="str">
        <f t="shared" si="38"/>
        <v/>
      </c>
      <c r="P256" s="88" t="str">
        <f t="shared" si="38"/>
        <v/>
      </c>
      <c r="Q256" s="88" t="str">
        <f t="shared" si="38"/>
        <v/>
      </c>
      <c r="R256" s="88" t="str">
        <f t="shared" si="38"/>
        <v/>
      </c>
      <c r="S256" s="88" t="str">
        <f t="shared" si="38"/>
        <v/>
      </c>
      <c r="T256" s="88" t="str">
        <f t="shared" si="38"/>
        <v/>
      </c>
      <c r="U256" s="88" t="str">
        <f t="shared" si="38"/>
        <v/>
      </c>
      <c r="V256" s="88" t="str">
        <f t="shared" si="38"/>
        <v/>
      </c>
      <c r="W256" s="88" t="str">
        <f t="shared" si="38"/>
        <v/>
      </c>
      <c r="X256" s="88" t="str">
        <f t="shared" si="38"/>
        <v/>
      </c>
      <c r="Y256" s="88" t="str">
        <f t="shared" si="38"/>
        <v/>
      </c>
      <c r="Z256" s="88" t="str">
        <f t="shared" si="38"/>
        <v/>
      </c>
      <c r="AA256" s="88" t="str">
        <f t="shared" si="38"/>
        <v/>
      </c>
      <c r="AB256" s="88" t="str">
        <f t="shared" si="38"/>
        <v/>
      </c>
      <c r="AC256" s="88" t="str">
        <f t="shared" si="38"/>
        <v/>
      </c>
      <c r="AD256" s="88" t="str">
        <f t="shared" si="38"/>
        <v/>
      </c>
      <c r="AE256" s="88" t="str">
        <f t="shared" si="38"/>
        <v/>
      </c>
      <c r="AF256" s="88" t="str">
        <f t="shared" si="38"/>
        <v/>
      </c>
      <c r="AG256" s="47"/>
      <c r="AH256" s="47"/>
      <c r="AJ256"/>
    </row>
    <row r="257" spans="1:36" x14ac:dyDescent="0.25">
      <c r="A257" s="88" t="str">
        <f>A224</f>
        <v>MMRS</v>
      </c>
      <c r="B257" s="88" t="str">
        <f t="shared" ref="B257:AF257" si="39">IF(B224&lt;100,"",B224-620)</f>
        <v/>
      </c>
      <c r="C257" s="88" t="str">
        <f t="shared" si="39"/>
        <v/>
      </c>
      <c r="D257" s="88" t="str">
        <f t="shared" si="39"/>
        <v/>
      </c>
      <c r="E257" s="88" t="str">
        <f t="shared" si="39"/>
        <v/>
      </c>
      <c r="F257" s="88" t="str">
        <f t="shared" si="39"/>
        <v/>
      </c>
      <c r="G257" s="88" t="str">
        <f t="shared" si="39"/>
        <v/>
      </c>
      <c r="H257" s="88" t="str">
        <f t="shared" si="39"/>
        <v/>
      </c>
      <c r="I257" s="88" t="str">
        <f t="shared" si="39"/>
        <v/>
      </c>
      <c r="J257" s="88" t="str">
        <f t="shared" si="39"/>
        <v/>
      </c>
      <c r="K257" s="88" t="str">
        <f t="shared" si="39"/>
        <v/>
      </c>
      <c r="L257" s="88" t="str">
        <f t="shared" si="39"/>
        <v/>
      </c>
      <c r="M257" s="88" t="str">
        <f t="shared" si="39"/>
        <v/>
      </c>
      <c r="N257" s="88" t="str">
        <f t="shared" si="39"/>
        <v/>
      </c>
      <c r="O257" s="88" t="str">
        <f t="shared" si="39"/>
        <v/>
      </c>
      <c r="P257" s="88" t="str">
        <f t="shared" si="39"/>
        <v/>
      </c>
      <c r="Q257" s="88" t="str">
        <f t="shared" si="39"/>
        <v/>
      </c>
      <c r="R257" s="88" t="str">
        <f t="shared" si="39"/>
        <v/>
      </c>
      <c r="S257" s="88" t="str">
        <f t="shared" si="39"/>
        <v/>
      </c>
      <c r="T257" s="88" t="str">
        <f t="shared" si="39"/>
        <v/>
      </c>
      <c r="U257" s="88" t="str">
        <f t="shared" si="39"/>
        <v/>
      </c>
      <c r="V257" s="88" t="str">
        <f t="shared" si="39"/>
        <v/>
      </c>
      <c r="W257" s="88" t="str">
        <f t="shared" si="39"/>
        <v/>
      </c>
      <c r="X257" s="88" t="str">
        <f t="shared" si="39"/>
        <v/>
      </c>
      <c r="Y257" s="88" t="str">
        <f t="shared" si="39"/>
        <v/>
      </c>
      <c r="Z257" s="88" t="str">
        <f t="shared" si="39"/>
        <v/>
      </c>
      <c r="AA257" s="88" t="str">
        <f t="shared" si="39"/>
        <v/>
      </c>
      <c r="AB257" s="88" t="str">
        <f t="shared" si="39"/>
        <v/>
      </c>
      <c r="AC257" s="88" t="str">
        <f t="shared" si="39"/>
        <v/>
      </c>
      <c r="AD257" s="88" t="str">
        <f t="shared" si="39"/>
        <v/>
      </c>
      <c r="AE257" s="88" t="str">
        <f t="shared" si="39"/>
        <v/>
      </c>
      <c r="AF257" s="88" t="str">
        <f t="shared" si="39"/>
        <v/>
      </c>
      <c r="AG257" s="47"/>
      <c r="AH257" s="47"/>
      <c r="AJ257"/>
    </row>
    <row r="258" spans="1:36" x14ac:dyDescent="0.25">
      <c r="A258" s="88" t="str">
        <f>A225</f>
        <v>MRS</v>
      </c>
      <c r="B258" s="88" t="str">
        <f t="shared" ref="B258:AF258" si="40">IF(B225&lt;100,"",B225-330)</f>
        <v/>
      </c>
      <c r="C258" s="88" t="str">
        <f t="shared" si="40"/>
        <v/>
      </c>
      <c r="D258" s="88" t="str">
        <f t="shared" si="40"/>
        <v/>
      </c>
      <c r="E258" s="88" t="str">
        <f t="shared" si="40"/>
        <v/>
      </c>
      <c r="F258" s="88" t="str">
        <f t="shared" si="40"/>
        <v/>
      </c>
      <c r="G258" s="88" t="str">
        <f t="shared" si="40"/>
        <v/>
      </c>
      <c r="H258" s="88" t="str">
        <f t="shared" si="40"/>
        <v/>
      </c>
      <c r="I258" s="88" t="str">
        <f t="shared" si="40"/>
        <v/>
      </c>
      <c r="J258" s="88" t="str">
        <f t="shared" si="40"/>
        <v/>
      </c>
      <c r="K258" s="88" t="str">
        <f t="shared" si="40"/>
        <v/>
      </c>
      <c r="L258" s="88" t="str">
        <f t="shared" si="40"/>
        <v/>
      </c>
      <c r="M258" s="88" t="str">
        <f t="shared" si="40"/>
        <v/>
      </c>
      <c r="N258" s="88" t="str">
        <f t="shared" si="40"/>
        <v/>
      </c>
      <c r="O258" s="88" t="str">
        <f t="shared" si="40"/>
        <v/>
      </c>
      <c r="P258" s="88" t="str">
        <f t="shared" si="40"/>
        <v/>
      </c>
      <c r="Q258" s="88" t="str">
        <f t="shared" si="40"/>
        <v/>
      </c>
      <c r="R258" s="88" t="str">
        <f t="shared" si="40"/>
        <v/>
      </c>
      <c r="S258" s="88" t="str">
        <f t="shared" si="40"/>
        <v/>
      </c>
      <c r="T258" s="88" t="str">
        <f t="shared" si="40"/>
        <v/>
      </c>
      <c r="U258" s="88" t="str">
        <f t="shared" si="40"/>
        <v/>
      </c>
      <c r="V258" s="88" t="str">
        <f t="shared" si="40"/>
        <v/>
      </c>
      <c r="W258" s="88" t="str">
        <f t="shared" si="40"/>
        <v/>
      </c>
      <c r="X258" s="88" t="str">
        <f t="shared" si="40"/>
        <v/>
      </c>
      <c r="Y258" s="88" t="str">
        <f t="shared" si="40"/>
        <v/>
      </c>
      <c r="Z258" s="88" t="str">
        <f t="shared" si="40"/>
        <v/>
      </c>
      <c r="AA258" s="88" t="str">
        <f t="shared" si="40"/>
        <v/>
      </c>
      <c r="AB258" s="88" t="str">
        <f t="shared" si="40"/>
        <v/>
      </c>
      <c r="AC258" s="88" t="str">
        <f t="shared" si="40"/>
        <v/>
      </c>
      <c r="AD258" s="88" t="str">
        <f t="shared" si="40"/>
        <v/>
      </c>
      <c r="AE258" s="88" t="str">
        <f t="shared" si="40"/>
        <v/>
      </c>
      <c r="AF258" s="88" t="str">
        <f t="shared" si="40"/>
        <v/>
      </c>
      <c r="AG258" s="47"/>
      <c r="AH258" s="47"/>
      <c r="AJ258"/>
    </row>
    <row r="259" spans="1:36" x14ac:dyDescent="0.25">
      <c r="A259" s="88" t="str">
        <f>A226</f>
        <v>KL 1</v>
      </c>
      <c r="B259" s="88" t="str">
        <f>IF(B226&lt;100,"",B226-1500)</f>
        <v/>
      </c>
      <c r="C259" s="88" t="str">
        <f t="shared" ref="C259:AF259" si="41">IF(C226&lt;100,"",C226-1500)</f>
        <v/>
      </c>
      <c r="D259" s="88" t="str">
        <f t="shared" si="41"/>
        <v/>
      </c>
      <c r="E259" s="88" t="str">
        <f t="shared" si="41"/>
        <v/>
      </c>
      <c r="F259" s="88" t="str">
        <f t="shared" si="41"/>
        <v/>
      </c>
      <c r="G259" s="88" t="str">
        <f t="shared" si="41"/>
        <v/>
      </c>
      <c r="H259" s="88" t="str">
        <f t="shared" si="41"/>
        <v/>
      </c>
      <c r="I259" s="88" t="str">
        <f t="shared" si="41"/>
        <v/>
      </c>
      <c r="J259" s="88" t="str">
        <f t="shared" si="41"/>
        <v/>
      </c>
      <c r="K259" s="88" t="str">
        <f t="shared" si="41"/>
        <v/>
      </c>
      <c r="L259" s="88" t="str">
        <f t="shared" si="41"/>
        <v/>
      </c>
      <c r="M259" s="88" t="str">
        <f t="shared" si="41"/>
        <v/>
      </c>
      <c r="N259" s="88" t="str">
        <f t="shared" si="41"/>
        <v/>
      </c>
      <c r="O259" s="88" t="str">
        <f t="shared" si="41"/>
        <v/>
      </c>
      <c r="P259" s="88" t="str">
        <f t="shared" si="41"/>
        <v/>
      </c>
      <c r="Q259" s="88" t="str">
        <f t="shared" si="41"/>
        <v/>
      </c>
      <c r="R259" s="88" t="str">
        <f t="shared" si="41"/>
        <v/>
      </c>
      <c r="S259" s="88" t="str">
        <f t="shared" si="41"/>
        <v/>
      </c>
      <c r="T259" s="88" t="str">
        <f t="shared" si="41"/>
        <v/>
      </c>
      <c r="U259" s="88" t="str">
        <f t="shared" si="41"/>
        <v/>
      </c>
      <c r="V259" s="88" t="str">
        <f t="shared" si="41"/>
        <v/>
      </c>
      <c r="W259" s="88" t="str">
        <f t="shared" si="41"/>
        <v/>
      </c>
      <c r="X259" s="88" t="str">
        <f t="shared" si="41"/>
        <v/>
      </c>
      <c r="Y259" s="88" t="str">
        <f t="shared" si="41"/>
        <v/>
      </c>
      <c r="Z259" s="88" t="str">
        <f t="shared" si="41"/>
        <v/>
      </c>
      <c r="AA259" s="88" t="str">
        <f t="shared" si="41"/>
        <v/>
      </c>
      <c r="AB259" s="88" t="str">
        <f t="shared" si="41"/>
        <v/>
      </c>
      <c r="AC259" s="88" t="str">
        <f t="shared" si="41"/>
        <v/>
      </c>
      <c r="AD259" s="88" t="str">
        <f t="shared" si="41"/>
        <v/>
      </c>
      <c r="AE259" s="88" t="str">
        <f t="shared" si="41"/>
        <v/>
      </c>
      <c r="AF259" s="88" t="str">
        <f t="shared" si="41"/>
        <v/>
      </c>
      <c r="AG259" s="47"/>
      <c r="AH259" s="47"/>
      <c r="AJ259"/>
    </row>
    <row r="260" spans="1:36" x14ac:dyDescent="0.25"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J260"/>
    </row>
    <row r="261" spans="1:36" x14ac:dyDescent="0.25"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J261"/>
    </row>
    <row r="262" spans="1:36" x14ac:dyDescent="0.25"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J262"/>
    </row>
    <row r="263" spans="1:36" x14ac:dyDescent="0.25"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J263"/>
    </row>
    <row r="264" spans="1:36" x14ac:dyDescent="0.25"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J264"/>
    </row>
    <row r="265" spans="1:36" x14ac:dyDescent="0.25"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J265"/>
    </row>
    <row r="266" spans="1:36" x14ac:dyDescent="0.25"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J266"/>
    </row>
    <row r="490" spans="36:38" x14ac:dyDescent="0.25">
      <c r="AK490" s="1"/>
    </row>
    <row r="491" spans="36:38" x14ac:dyDescent="0.25">
      <c r="AK491" s="1"/>
      <c r="AL491" s="1"/>
    </row>
    <row r="492" spans="36:38" x14ac:dyDescent="0.25">
      <c r="AJ492"/>
    </row>
  </sheetData>
  <mergeCells count="48">
    <mergeCell ref="A231:B23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28">
      <iconSet iconSet="3TrafficLights2" reverse="1">
        <cfvo type="percent" val="0"/>
        <cfvo type="num" val="1"/>
        <cfvo type="num" val="1"/>
      </iconSet>
    </cfRule>
  </conditionalFormatting>
  <conditionalFormatting sqref="D214:AF220 B214:B220 B212:AF212 U233:AF233 B9:AF10 C99:AF105">
    <cfRule type="expression" dxfId="4704" priority="224">
      <formula>B$9&gt;=20/24</formula>
    </cfRule>
    <cfRule type="expression" dxfId="4703" priority="225">
      <formula>AND(B$9&gt;=14/24,B$9&lt;20/24)</formula>
    </cfRule>
    <cfRule type="expression" dxfId="4702" priority="226">
      <formula>AND(B$9&gt;=8/24,B$9&lt;14/24)</formula>
    </cfRule>
    <cfRule type="expression" dxfId="4701" priority="227">
      <formula>B$9&lt;8/24</formula>
    </cfRule>
  </conditionalFormatting>
  <conditionalFormatting sqref="AL4:AL6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4700" priority="219">
      <formula>S$9&gt;=20/24</formula>
    </cfRule>
    <cfRule type="expression" dxfId="4699" priority="220">
      <formula>AND(S$9&gt;=14/24,S$9&lt;20/24)</formula>
    </cfRule>
    <cfRule type="expression" dxfId="4698" priority="221">
      <formula>AND(S$9&gt;=8/24,S$9&lt;14/24)</formula>
    </cfRule>
    <cfRule type="expression" dxfId="4697" priority="222">
      <formula>S$9&lt;8/24</formula>
    </cfRule>
  </conditionalFormatting>
  <conditionalFormatting sqref="AG55 B12:B16 C11:E16 AA14:AA15 U14:Z14 F16:AA16 S37:AF37 S11:AF12 AB14:AF16 B35:AF35">
    <cfRule type="expression" dxfId="4696" priority="218">
      <formula>B11&gt;$AG11</formula>
    </cfRule>
  </conditionalFormatting>
  <conditionalFormatting sqref="A89:A102 A11:A14 A49:A76 A85:A87 A190:A220 A16:A30 A36:A47 A106:A177 A32:A33 A81:A83 A78:A79">
    <cfRule type="expression" dxfId="4695" priority="217">
      <formula>$AH11=0</formula>
    </cfRule>
  </conditionalFormatting>
  <conditionalFormatting sqref="A103">
    <cfRule type="expression" dxfId="4694" priority="216">
      <formula>$AH103=0</formula>
    </cfRule>
  </conditionalFormatting>
  <conditionalFormatting sqref="AL3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4693" priority="214">
      <formula>$AH35=0</formula>
    </cfRule>
  </conditionalFormatting>
  <conditionalFormatting sqref="A88">
    <cfRule type="expression" dxfId="4692" priority="213">
      <formula>$AH88=0</formula>
    </cfRule>
  </conditionalFormatting>
  <conditionalFormatting sqref="A15">
    <cfRule type="expression" dxfId="4691" priority="212">
      <formula>$AH15=0</formula>
    </cfRule>
  </conditionalFormatting>
  <conditionalFormatting sqref="A184:A189">
    <cfRule type="expression" dxfId="4690" priority="211">
      <formula>$AH184=0</formula>
    </cfRule>
  </conditionalFormatting>
  <conditionalFormatting sqref="A178:A183">
    <cfRule type="expression" dxfId="4689" priority="210">
      <formula>$AH178=0</formula>
    </cfRule>
  </conditionalFormatting>
  <conditionalFormatting sqref="A48">
    <cfRule type="expression" dxfId="4688" priority="209">
      <formula>$AH48=0</formula>
    </cfRule>
  </conditionalFormatting>
  <conditionalFormatting sqref="A84">
    <cfRule type="expression" dxfId="4687" priority="208">
      <formula>$AH84=0</formula>
    </cfRule>
  </conditionalFormatting>
  <conditionalFormatting sqref="C89:AF89">
    <cfRule type="expression" dxfId="4686" priority="204">
      <formula>C$9&gt;=20/24</formula>
    </cfRule>
    <cfRule type="expression" dxfId="4685" priority="205">
      <formula>AND(C$9&gt;=14/24,C$9&lt;20/24)</formula>
    </cfRule>
    <cfRule type="expression" dxfId="4684" priority="206">
      <formula>AND(C$9&gt;=8/24,C$9&lt;14/24)</formula>
    </cfRule>
    <cfRule type="expression" dxfId="4683" priority="207">
      <formula>C$9&lt;8/24</formula>
    </cfRule>
  </conditionalFormatting>
  <conditionalFormatting sqref="AL34">
    <cfRule type="iconSet" priority="20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682" priority="230">
      <formula>C$9&gt;=20/24</formula>
    </cfRule>
    <cfRule type="expression" dxfId="4681" priority="231">
      <formula>AND(C$9&gt;=14/24,C$9&lt;20/24)</formula>
    </cfRule>
    <cfRule type="expression" dxfId="4680" priority="232">
      <formula>AND(C$9&gt;=8/24,C$9&lt;14/24)</formula>
    </cfRule>
    <cfRule type="expression" dxfId="4679" priority="233">
      <formula>C$9&lt;8/24</formula>
    </cfRule>
  </conditionalFormatting>
  <conditionalFormatting sqref="A221">
    <cfRule type="expression" dxfId="4678" priority="234">
      <formula>$AH221=0</formula>
    </cfRule>
  </conditionalFormatting>
  <conditionalFormatting sqref="AG233">
    <cfRule type="expression" dxfId="4677" priority="235">
      <formula>B$9&gt;=20/24</formula>
    </cfRule>
    <cfRule type="expression" dxfId="4676" priority="236">
      <formula>AND(B$9&gt;=14/24,B$9&lt;20/24)</formula>
    </cfRule>
    <cfRule type="expression" dxfId="4675" priority="237">
      <formula>AND(B$9&gt;=8/24,B$9&lt;14/24)</formula>
    </cfRule>
    <cfRule type="expression" dxfId="4674" priority="238">
      <formula>B$9&lt;8/24</formula>
    </cfRule>
  </conditionalFormatting>
  <conditionalFormatting sqref="S8">
    <cfRule type="expression" dxfId="4673" priority="199">
      <formula>U$9&gt;=20/24</formula>
    </cfRule>
    <cfRule type="expression" dxfId="4672" priority="200">
      <formula>AND(U$9&gt;=14/24,U$9&lt;20/24)</formula>
    </cfRule>
    <cfRule type="expression" dxfId="4671" priority="201">
      <formula>AND(U$9&gt;=8/24,U$9&lt;14/24)</formula>
    </cfRule>
    <cfRule type="expression" dxfId="4670" priority="202">
      <formula>U$9&lt;8/24</formula>
    </cfRule>
  </conditionalFormatting>
  <conditionalFormatting sqref="AB8">
    <cfRule type="expression" dxfId="4669" priority="195">
      <formula>AD$9&gt;=20/24</formula>
    </cfRule>
    <cfRule type="expression" dxfId="4668" priority="196">
      <formula>AND(AD$9&gt;=14/24,AD$9&lt;20/24)</formula>
    </cfRule>
    <cfRule type="expression" dxfId="4667" priority="197">
      <formula>AND(AD$9&gt;=8/24,AD$9&lt;14/24)</formula>
    </cfRule>
    <cfRule type="expression" dxfId="4666" priority="198">
      <formula>AD$9&lt;8/24</formula>
    </cfRule>
  </conditionalFormatting>
  <conditionalFormatting sqref="AH233:AX233">
    <cfRule type="expression" dxfId="4665" priority="239">
      <formula>AG$9&gt;=20/24</formula>
    </cfRule>
    <cfRule type="expression" dxfId="4664" priority="240">
      <formula>AND(AG$9&gt;=14/24,AG$9&lt;20/24)</formula>
    </cfRule>
    <cfRule type="expression" dxfId="4663" priority="241">
      <formula>AND(AG$9&gt;=8/24,AG$9&lt;14/24)</formula>
    </cfRule>
    <cfRule type="expression" dxfId="4662" priority="242">
      <formula>AG$9&lt;8/24</formula>
    </cfRule>
  </conditionalFormatting>
  <conditionalFormatting sqref="T233">
    <cfRule type="expression" dxfId="4661" priority="243">
      <formula>AX$9&gt;=20/24</formula>
    </cfRule>
    <cfRule type="expression" dxfId="4660" priority="244">
      <formula>AND(AX$9&gt;=14/24,AX$9&lt;20/24)</formula>
    </cfRule>
    <cfRule type="expression" dxfId="4659" priority="245">
      <formula>AND(AX$9&gt;=8/24,AX$9&lt;14/24)</formula>
    </cfRule>
    <cfRule type="expression" dxfId="4658" priority="246">
      <formula>AX$9&lt;8/24</formula>
    </cfRule>
  </conditionalFormatting>
  <conditionalFormatting sqref="A104:A105">
    <cfRule type="expression" dxfId="4657" priority="194">
      <formula>$AH104=0</formula>
    </cfRule>
  </conditionalFormatting>
  <conditionalFormatting sqref="E44:O45 F11:R11 C61:AF61 AA44:AF45">
    <cfRule type="expression" dxfId="4656" priority="190">
      <formula>C$9&gt;=20/24</formula>
    </cfRule>
    <cfRule type="expression" dxfId="4655" priority="191">
      <formula>AND(C$9&gt;=14/24,C$9&lt;20/24)</formula>
    </cfRule>
    <cfRule type="expression" dxfId="4654" priority="192">
      <formula>AND(C$9&gt;=8/24,C$9&lt;14/24)</formula>
    </cfRule>
    <cfRule type="expression" dxfId="4653" priority="193">
      <formula>C$9&lt;8/24</formula>
    </cfRule>
  </conditionalFormatting>
  <conditionalFormatting sqref="E43:O43 AA43:AF43">
    <cfRule type="expression" dxfId="4652" priority="186">
      <formula>E$9&gt;=20/24</formula>
    </cfRule>
    <cfRule type="expression" dxfId="4651" priority="187">
      <formula>AND(E$9&gt;=14/24,E$9&lt;20/24)</formula>
    </cfRule>
    <cfRule type="expression" dxfId="4650" priority="188">
      <formula>AND(E$9&gt;=8/24,E$9&lt;14/24)</formula>
    </cfRule>
    <cfRule type="expression" dxfId="4649" priority="189">
      <formula>E$9&lt;8/24</formula>
    </cfRule>
  </conditionalFormatting>
  <conditionalFormatting sqref="E43:O45 F11:R11 AA43:AF45">
    <cfRule type="expression" dxfId="4648" priority="185">
      <formula>E11&gt;$AG11</formula>
    </cfRule>
  </conditionalFormatting>
  <conditionalFormatting sqref="C86:AF86 C62:N63 M68:M70 F71:M71 F66:M67 N66:N71 F64:N65 M37:R37 C73:AF76 C90:AF96 F57:AF59 O62:AF71 AA25:AF25 F12:AF14 D36:AF36 N29:AF29">
    <cfRule type="expression" dxfId="4647" priority="181">
      <formula>C$9&gt;=20/24</formula>
    </cfRule>
    <cfRule type="expression" dxfId="4646" priority="182">
      <formula>AND(C$9&gt;=14/24,C$9&lt;20/24)</formula>
    </cfRule>
    <cfRule type="expression" dxfId="4645" priority="183">
      <formula>AND(C$9&gt;=8/24,C$9&lt;14/24)</formula>
    </cfRule>
    <cfRule type="expression" dxfId="4644" priority="184">
      <formula>C$9&lt;8/24</formula>
    </cfRule>
  </conditionalFormatting>
  <conditionalFormatting sqref="C55:AF55 C37:R37 F46:O48 F12:R15 S13:T15 U15:Z15 AE46:AF47 AC46:AD46 F57:AF59 AA25:AF25 U13:AF13 D36:AF36 N29:AF29">
    <cfRule type="expression" dxfId="4643" priority="176">
      <formula>C12&gt;$AG12</formula>
    </cfRule>
  </conditionalFormatting>
  <conditionalFormatting sqref="F15:AF15">
    <cfRule type="expression" dxfId="4642" priority="168">
      <formula>F$9&gt;=20/24</formula>
    </cfRule>
    <cfRule type="expression" dxfId="4641" priority="169">
      <formula>AND(F$9&gt;=14/24,F$9&lt;20/24)</formula>
    </cfRule>
    <cfRule type="expression" dxfId="4640" priority="170">
      <formula>AND(F$9&gt;=8/24,F$9&lt;14/24)</formula>
    </cfRule>
    <cfRule type="expression" dxfId="4639" priority="171">
      <formula>F$9&lt;8/24</formula>
    </cfRule>
  </conditionalFormatting>
  <conditionalFormatting sqref="S11:AF11">
    <cfRule type="expression" dxfId="4638" priority="159">
      <formula>S$9&gt;=20/24</formula>
    </cfRule>
    <cfRule type="expression" dxfId="4637" priority="160">
      <formula>AND(S$9&gt;=14/24,S$9&lt;20/24)</formula>
    </cfRule>
    <cfRule type="expression" dxfId="4636" priority="161">
      <formula>AND(S$9&gt;=8/24,S$9&lt;14/24)</formula>
    </cfRule>
    <cfRule type="expression" dxfId="4635" priority="162">
      <formula>S$9&lt;8/24</formula>
    </cfRule>
  </conditionalFormatting>
  <conditionalFormatting sqref="AE48:AF54 AA46:AB47 AC47:AD47">
    <cfRule type="expression" dxfId="4634" priority="155">
      <formula>AA$9&gt;=20/24</formula>
    </cfRule>
    <cfRule type="expression" dxfId="4633" priority="156">
      <formula>AND(AA$9&gt;=14/24,AA$9&lt;20/24)</formula>
    </cfRule>
    <cfRule type="expression" dxfId="4632" priority="157">
      <formula>AND(AA$9&gt;=8/24,AA$9&lt;14/24)</formula>
    </cfRule>
    <cfRule type="expression" dxfId="4631" priority="158">
      <formula>AA$9&lt;8/24</formula>
    </cfRule>
  </conditionalFormatting>
  <conditionalFormatting sqref="AE48:AF54 AA46:AB47 AC47:AD47">
    <cfRule type="expression" dxfId="4630" priority="154">
      <formula>AA46&gt;$AG46</formula>
    </cfRule>
  </conditionalFormatting>
  <conditionalFormatting sqref="P43:Z54 AA48:AD54">
    <cfRule type="expression" dxfId="4629" priority="150">
      <formula>P$9&gt;=20/24</formula>
    </cfRule>
    <cfRule type="expression" dxfId="4628" priority="151">
      <formula>AND(P$9&gt;=14/24,P$9&lt;20/24)</formula>
    </cfRule>
    <cfRule type="expression" dxfId="4627" priority="152">
      <formula>AND(P$9&gt;=8/24,P$9&lt;14/24)</formula>
    </cfRule>
    <cfRule type="expression" dxfId="4626" priority="153">
      <formula>P$9&lt;8/24</formula>
    </cfRule>
  </conditionalFormatting>
  <conditionalFormatting sqref="P43:Z54 AA48:AD54">
    <cfRule type="expression" dxfId="4625" priority="149">
      <formula>P43&gt;$AG43</formula>
    </cfRule>
  </conditionalFormatting>
  <conditionalFormatting sqref="C16:D16 C25:D30 D17:D24 C11:E14 E16:M30 N16:Z28 AA16:AF24 AA26:AF28 N30:AF30 B32:AF32">
    <cfRule type="expression" dxfId="4624" priority="141">
      <formula>B$9&gt;=20/24</formula>
    </cfRule>
    <cfRule type="expression" dxfId="4623" priority="142">
      <formula>AND(B$9&gt;=14/24,B$9&lt;20/24)</formula>
    </cfRule>
    <cfRule type="expression" dxfId="4622" priority="143">
      <formula>AND(B$9&gt;=8/24,B$9&lt;14/24)</formula>
    </cfRule>
    <cfRule type="expression" dxfId="4621" priority="144">
      <formula>B$9&lt;8/24</formula>
    </cfRule>
  </conditionalFormatting>
  <conditionalFormatting sqref="D33:AF33">
    <cfRule type="expression" dxfId="4620" priority="137">
      <formula>D$9&gt;=20/24</formula>
    </cfRule>
    <cfRule type="expression" dxfId="4619" priority="138">
      <formula>AND(D$9&gt;=14/24,D$9&lt;20/24)</formula>
    </cfRule>
    <cfRule type="expression" dxfId="4618" priority="139">
      <formula>AND(D$9&gt;=8/24,D$9&lt;14/24)</formula>
    </cfRule>
    <cfRule type="expression" dxfId="4617" priority="140">
      <formula>D$9&lt;8/24</formula>
    </cfRule>
  </conditionalFormatting>
  <conditionalFormatting sqref="C25:D30 D17:D24 D33:F33 B32:F32 E17:M30 N17:Z28 AA17:AF24 AA26:AF28 N30:AF30 G32:AF33">
    <cfRule type="expression" dxfId="4616" priority="136">
      <formula>B17&gt;$AG17</formula>
    </cfRule>
  </conditionalFormatting>
  <conditionalFormatting sqref="D35:AF35">
    <cfRule type="expression" dxfId="4615" priority="132">
      <formula>D$9&gt;=20/24</formula>
    </cfRule>
    <cfRule type="expression" dxfId="4614" priority="133">
      <formula>AND(D$9&gt;=14/24,D$9&lt;20/24)</formula>
    </cfRule>
    <cfRule type="expression" dxfId="4613" priority="134">
      <formula>AND(D$9&gt;=8/24,D$9&lt;14/24)</formula>
    </cfRule>
    <cfRule type="expression" dxfId="4612" priority="135">
      <formula>D$9&lt;8/24</formula>
    </cfRule>
  </conditionalFormatting>
  <conditionalFormatting sqref="C15:E15">
    <cfRule type="expression" dxfId="4611" priority="128">
      <formula>C$9&gt;=20/24</formula>
    </cfRule>
    <cfRule type="expression" dxfId="4610" priority="129">
      <formula>AND(C$9&gt;=14/24,C$9&lt;20/24)</formula>
    </cfRule>
    <cfRule type="expression" dxfId="4609" priority="130">
      <formula>AND(C$9&gt;=8/24,C$9&lt;14/24)</formula>
    </cfRule>
    <cfRule type="expression" dxfId="4608" priority="131">
      <formula>C$9&lt;8/24</formula>
    </cfRule>
  </conditionalFormatting>
  <conditionalFormatting sqref="D34:AF34">
    <cfRule type="expression" dxfId="4607" priority="124">
      <formula>D$9&gt;=20/24</formula>
    </cfRule>
    <cfRule type="expression" dxfId="4606" priority="125">
      <formula>AND(D$9&gt;=14/24,D$9&lt;20/24)</formula>
    </cfRule>
    <cfRule type="expression" dxfId="4605" priority="126">
      <formula>AND(D$9&gt;=8/24,D$9&lt;14/24)</formula>
    </cfRule>
    <cfRule type="expression" dxfId="4604" priority="127">
      <formula>D$9&lt;8/24</formula>
    </cfRule>
  </conditionalFormatting>
  <conditionalFormatting sqref="D34:AF34">
    <cfRule type="expression" dxfId="4603" priority="123">
      <formula>D34&gt;$AG34</formula>
    </cfRule>
  </conditionalFormatting>
  <conditionalFormatting sqref="C44:D45">
    <cfRule type="expression" dxfId="4602" priority="119">
      <formula>C$9&gt;=20/24</formula>
    </cfRule>
    <cfRule type="expression" dxfId="4601" priority="120">
      <formula>AND(C$9&gt;=14/24,C$9&lt;20/24)</formula>
    </cfRule>
    <cfRule type="expression" dxfId="4600" priority="121">
      <formula>AND(C$9&gt;=8/24,C$9&lt;14/24)</formula>
    </cfRule>
    <cfRule type="expression" dxfId="4599" priority="122">
      <formula>C$9&lt;8/24</formula>
    </cfRule>
  </conditionalFormatting>
  <conditionalFormatting sqref="C43:D43">
    <cfRule type="expression" dxfId="4598" priority="115">
      <formula>C$9&gt;=20/24</formula>
    </cfRule>
    <cfRule type="expression" dxfId="4597" priority="116">
      <formula>AND(C$9&gt;=14/24,C$9&lt;20/24)</formula>
    </cfRule>
    <cfRule type="expression" dxfId="4596" priority="117">
      <formula>AND(C$9&gt;=8/24,C$9&lt;14/24)</formula>
    </cfRule>
    <cfRule type="expression" dxfId="4595" priority="118">
      <formula>C$9&lt;8/24</formula>
    </cfRule>
  </conditionalFormatting>
  <conditionalFormatting sqref="C43:D45">
    <cfRule type="expression" dxfId="4594" priority="114">
      <formula>C43&gt;$AG43</formula>
    </cfRule>
  </conditionalFormatting>
  <conditionalFormatting sqref="F68:L70">
    <cfRule type="expression" dxfId="4593" priority="110">
      <formula>F$9&gt;=20/24</formula>
    </cfRule>
    <cfRule type="expression" dxfId="4592" priority="111">
      <formula>AND(F$9&gt;=14/24,F$9&lt;20/24)</formula>
    </cfRule>
    <cfRule type="expression" dxfId="4591" priority="112">
      <formula>AND(F$9&gt;=8/24,F$9&lt;14/24)</formula>
    </cfRule>
    <cfRule type="expression" dxfId="4590" priority="113">
      <formula>F$9&lt;8/24</formula>
    </cfRule>
  </conditionalFormatting>
  <conditionalFormatting sqref="C46:E47">
    <cfRule type="expression" dxfId="4589" priority="109">
      <formula>C46&gt;$AG46</formula>
    </cfRule>
  </conditionalFormatting>
  <conditionalFormatting sqref="D48:E50 F49:O54">
    <cfRule type="expression" dxfId="4588" priority="105">
      <formula>D$9&gt;=20/24</formula>
    </cfRule>
    <cfRule type="expression" dxfId="4587" priority="106">
      <formula>AND(D$9&gt;=14/24,D$9&lt;20/24)</formula>
    </cfRule>
    <cfRule type="expression" dxfId="4586" priority="107">
      <formula>AND(D$9&gt;=8/24,D$9&lt;14/24)</formula>
    </cfRule>
    <cfRule type="expression" dxfId="4585" priority="108">
      <formula>D$9&lt;8/24</formula>
    </cfRule>
  </conditionalFormatting>
  <conditionalFormatting sqref="D48:E50 F49:O54">
    <cfRule type="expression" dxfId="4584" priority="104">
      <formula>D48&gt;$AG48</formula>
    </cfRule>
  </conditionalFormatting>
  <conditionalFormatting sqref="B99:B105 B11 B78:AF78 B87:AF87">
    <cfRule type="expression" dxfId="4583" priority="91">
      <formula>B$9&gt;=20/24</formula>
    </cfRule>
    <cfRule type="expression" dxfId="4582" priority="92">
      <formula>AND(B$9&gt;=14/24,B$9&lt;20/24)</formula>
    </cfRule>
    <cfRule type="expression" dxfId="4581" priority="93">
      <formula>AND(B$9&gt;=8/24,B$9&lt;14/24)</formula>
    </cfRule>
    <cfRule type="expression" dxfId="4580" priority="94">
      <formula>B$9&lt;8/24</formula>
    </cfRule>
  </conditionalFormatting>
  <conditionalFormatting sqref="B37">
    <cfRule type="expression" dxfId="4579" priority="87">
      <formula>B$9&gt;=20/24</formula>
    </cfRule>
    <cfRule type="expression" dxfId="4578" priority="88">
      <formula>AND(B$9&gt;=14/24,B$9&lt;20/24)</formula>
    </cfRule>
    <cfRule type="expression" dxfId="4577" priority="89">
      <formula>AND(B$9&gt;=8/24,B$9&lt;14/24)</formula>
    </cfRule>
    <cfRule type="expression" dxfId="4576" priority="90">
      <formula>B$9&lt;8/24</formula>
    </cfRule>
  </conditionalFormatting>
  <conditionalFormatting sqref="B37 B11">
    <cfRule type="expression" dxfId="4575" priority="86">
      <formula>B11&gt;$AG11</formula>
    </cfRule>
  </conditionalFormatting>
  <conditionalFormatting sqref="B89">
    <cfRule type="expression" dxfId="4574" priority="82">
      <formula>B$9&gt;=20/24</formula>
    </cfRule>
    <cfRule type="expression" dxfId="4573" priority="83">
      <formula>AND(B$9&gt;=14/24,B$9&lt;20/24)</formula>
    </cfRule>
    <cfRule type="expression" dxfId="4572" priority="84">
      <formula>AND(B$9&gt;=8/24,B$9&lt;14/24)</formula>
    </cfRule>
    <cfRule type="expression" dxfId="4571" priority="85">
      <formula>B$9&lt;8/24</formula>
    </cfRule>
  </conditionalFormatting>
  <conditionalFormatting sqref="B44:B45 B61 B36:C36">
    <cfRule type="expression" dxfId="4570" priority="78">
      <formula>B$9&gt;=20/24</formula>
    </cfRule>
    <cfRule type="expression" dxfId="4569" priority="79">
      <formula>AND(B$9&gt;=14/24,B$9&lt;20/24)</formula>
    </cfRule>
    <cfRule type="expression" dxfId="4568" priority="80">
      <formula>AND(B$9&gt;=8/24,B$9&lt;14/24)</formula>
    </cfRule>
    <cfRule type="expression" dxfId="4567" priority="81">
      <formula>B$9&lt;8/24</formula>
    </cfRule>
  </conditionalFormatting>
  <conditionalFormatting sqref="B43">
    <cfRule type="expression" dxfId="4566" priority="74">
      <formula>B$9&gt;=20/24</formula>
    </cfRule>
    <cfRule type="expression" dxfId="4565" priority="75">
      <formula>AND(B$9&gt;=14/24,B$9&lt;20/24)</formula>
    </cfRule>
    <cfRule type="expression" dxfId="4564" priority="76">
      <formula>AND(B$9&gt;=8/24,B$9&lt;14/24)</formula>
    </cfRule>
    <cfRule type="expression" dxfId="4563" priority="77">
      <formula>B$9&lt;8/24</formula>
    </cfRule>
  </conditionalFormatting>
  <conditionalFormatting sqref="B43:B45 B36:C36">
    <cfRule type="expression" dxfId="4562" priority="73">
      <formula>B36&gt;$AG36</formula>
    </cfRule>
  </conditionalFormatting>
  <conditionalFormatting sqref="B90:B96 B12:B14 B16 B28:B30 B24:B26 B57:B60 B62:B71 B73:B77 B79:AF79 B86 C60:AG60 C77:AG77 B88:AF88 B18:C22 C24 C57:E59 C64:E71">
    <cfRule type="expression" dxfId="4561" priority="69">
      <formula>B$9&gt;=20/24</formula>
    </cfRule>
    <cfRule type="expression" dxfId="4560" priority="70">
      <formula>AND(B$9&gt;=14/24,B$9&lt;20/24)</formula>
    </cfRule>
    <cfRule type="expression" dxfId="4559" priority="71">
      <formula>AND(B$9&gt;=8/24,B$9&lt;14/24)</formula>
    </cfRule>
    <cfRule type="expression" dxfId="4558" priority="72">
      <formula>B$9&lt;8/24</formula>
    </cfRule>
  </conditionalFormatting>
  <conditionalFormatting sqref="B33:C33">
    <cfRule type="expression" dxfId="4557" priority="65">
      <formula>B$9&gt;=20/24</formula>
    </cfRule>
    <cfRule type="expression" dxfId="4556" priority="66">
      <formula>AND(B$9&gt;=14/24,B$9&lt;20/24)</formula>
    </cfRule>
    <cfRule type="expression" dxfId="4555" priority="67">
      <formula>AND(B$9&gt;=8/24,B$9&lt;14/24)</formula>
    </cfRule>
    <cfRule type="expression" dxfId="4554" priority="68">
      <formula>B$9&lt;8/24</formula>
    </cfRule>
  </conditionalFormatting>
  <conditionalFormatting sqref="B46:B47 B24:B30 B55:B60 B38:AG38 C56:AG56 C60:AG60 B18:C22 C24 B33:C33 C57:E59">
    <cfRule type="expression" dxfId="4553" priority="64">
      <formula>B18&gt;$AG18</formula>
    </cfRule>
  </conditionalFormatting>
  <conditionalFormatting sqref="B35:C35">
    <cfRule type="expression" dxfId="4552" priority="60">
      <formula>B$9&gt;=20/24</formula>
    </cfRule>
    <cfRule type="expression" dxfId="4551" priority="61">
      <formula>AND(B$9&gt;=14/24,B$9&lt;20/24)</formula>
    </cfRule>
    <cfRule type="expression" dxfId="4550" priority="62">
      <formula>AND(B$9&gt;=8/24,B$9&lt;14/24)</formula>
    </cfRule>
    <cfRule type="expression" dxfId="4549" priority="63">
      <formula>B$9&lt;8/24</formula>
    </cfRule>
  </conditionalFormatting>
  <conditionalFormatting sqref="B15">
    <cfRule type="expression" dxfId="4548" priority="56">
      <formula>B$9&gt;=20/24</formula>
    </cfRule>
    <cfRule type="expression" dxfId="4547" priority="57">
      <formula>AND(B$9&gt;=14/24,B$9&lt;20/24)</formula>
    </cfRule>
    <cfRule type="expression" dxfId="4546" priority="58">
      <formula>AND(B$9&gt;=8/24,B$9&lt;14/24)</formula>
    </cfRule>
    <cfRule type="expression" dxfId="4545" priority="59">
      <formula>B$9&lt;8/24</formula>
    </cfRule>
  </conditionalFormatting>
  <conditionalFormatting sqref="B34:C34">
    <cfRule type="expression" dxfId="4544" priority="52">
      <formula>B$9&gt;=20/24</formula>
    </cfRule>
    <cfRule type="expression" dxfId="4543" priority="53">
      <formula>AND(B$9&gt;=14/24,B$9&lt;20/24)</formula>
    </cfRule>
    <cfRule type="expression" dxfId="4542" priority="54">
      <formula>AND(B$9&gt;=8/24,B$9&lt;14/24)</formula>
    </cfRule>
    <cfRule type="expression" dxfId="4541" priority="55">
      <formula>B$9&lt;8/24</formula>
    </cfRule>
  </conditionalFormatting>
  <conditionalFormatting sqref="B34:C34">
    <cfRule type="expression" dxfId="4540" priority="51">
      <formula>B34&gt;$AG34</formula>
    </cfRule>
  </conditionalFormatting>
  <conditionalFormatting sqref="B48:C54 D51:E54">
    <cfRule type="expression" dxfId="4539" priority="47">
      <formula>B$9&gt;=20/24</formula>
    </cfRule>
    <cfRule type="expression" dxfId="4538" priority="48">
      <formula>AND(B$9&gt;=14/24,B$9&lt;20/24)</formula>
    </cfRule>
    <cfRule type="expression" dxfId="4537" priority="49">
      <formula>AND(B$9&gt;=8/24,B$9&lt;14/24)</formula>
    </cfRule>
    <cfRule type="expression" dxfId="4536" priority="50">
      <formula>B$9&lt;8/24</formula>
    </cfRule>
  </conditionalFormatting>
  <conditionalFormatting sqref="B48:C54 D51:E54">
    <cfRule type="expression" dxfId="4535" priority="46">
      <formula>B48&gt;$AG48</formula>
    </cfRule>
  </conditionalFormatting>
  <conditionalFormatting sqref="B27">
    <cfRule type="expression" dxfId="4534" priority="42">
      <formula>B$9&gt;=20/24</formula>
    </cfRule>
    <cfRule type="expression" dxfId="4533" priority="43">
      <formula>AND(B$9&gt;=14/24,B$9&lt;20/24)</formula>
    </cfRule>
    <cfRule type="expression" dxfId="4532" priority="44">
      <formula>AND(B$9&gt;=8/24,B$9&lt;14/24)</formula>
    </cfRule>
    <cfRule type="expression" dxfId="4531" priority="45">
      <formula>B$9&lt;8/24</formula>
    </cfRule>
  </conditionalFormatting>
  <conditionalFormatting sqref="B17:C17 B23:C23">
    <cfRule type="expression" dxfId="4530" priority="38">
      <formula>B$9&gt;=20/24</formula>
    </cfRule>
    <cfRule type="expression" dxfId="4529" priority="39">
      <formula>AND(B$9&gt;=14/24,B$9&lt;20/24)</formula>
    </cfRule>
    <cfRule type="expression" dxfId="4528" priority="40">
      <formula>AND(B$9&gt;=8/24,B$9&lt;14/24)</formula>
    </cfRule>
    <cfRule type="expression" dxfId="4527" priority="41">
      <formula>B$9&lt;8/24</formula>
    </cfRule>
  </conditionalFormatting>
  <conditionalFormatting sqref="B17:C17 B23:C23">
    <cfRule type="expression" dxfId="4526" priority="37">
      <formula>B17&gt;$AG17</formula>
    </cfRule>
  </conditionalFormatting>
  <conditionalFormatting sqref="A34">
    <cfRule type="expression" dxfId="4525" priority="36">
      <formula>$AH34=0</formula>
    </cfRule>
  </conditionalFormatting>
  <conditionalFormatting sqref="B72:AF72">
    <cfRule type="expression" dxfId="4524" priority="32">
      <formula>B$9&gt;=20/24</formula>
    </cfRule>
    <cfRule type="expression" dxfId="4523" priority="33">
      <formula>AND(B$9&gt;=14/24,B$9&lt;20/24)</formula>
    </cfRule>
    <cfRule type="expression" dxfId="4522" priority="34">
      <formula>AND(B$9&gt;=8/24,B$9&lt;14/24)</formula>
    </cfRule>
    <cfRule type="expression" dxfId="4521" priority="35">
      <formula>B$9&lt;8/24</formula>
    </cfRule>
  </conditionalFormatting>
  <conditionalFormatting sqref="B81:AF85">
    <cfRule type="expression" dxfId="4520" priority="28">
      <formula>B$9&gt;=20/24</formula>
    </cfRule>
    <cfRule type="expression" dxfId="4519" priority="29">
      <formula>AND(B$9&gt;=14/24,B$9&lt;20/24)</formula>
    </cfRule>
    <cfRule type="expression" dxfId="4518" priority="30">
      <formula>AND(B$9&gt;=8/24,B$9&lt;14/24)</formula>
    </cfRule>
    <cfRule type="expression" dxfId="4517" priority="31">
      <formula>B$9&lt;8/24</formula>
    </cfRule>
  </conditionalFormatting>
  <conditionalFormatting sqref="AL35 AL7:AL30 AL32">
    <cfRule type="iconSet" priority="247">
      <iconSet iconSet="3TrafficLights2" reverse="1">
        <cfvo type="percent" val="0"/>
        <cfvo type="num" val="1"/>
        <cfvo type="num" val="1"/>
      </iconSet>
    </cfRule>
  </conditionalFormatting>
  <conditionalFormatting sqref="F39:AF41">
    <cfRule type="expression" dxfId="4516" priority="24">
      <formula>F$9&gt;=20/24</formula>
    </cfRule>
    <cfRule type="expression" dxfId="4515" priority="25">
      <formula>AND(F$9&gt;=14/24,F$9&lt;20/24)</formula>
    </cfRule>
    <cfRule type="expression" dxfId="4514" priority="26">
      <formula>AND(F$9&gt;=8/24,F$9&lt;14/24)</formula>
    </cfRule>
    <cfRule type="expression" dxfId="4513" priority="27">
      <formula>F$9&lt;8/24</formula>
    </cfRule>
  </conditionalFormatting>
  <conditionalFormatting sqref="F39:AF41">
    <cfRule type="expression" dxfId="4512" priority="23">
      <formula>F39&gt;$AG39</formula>
    </cfRule>
  </conditionalFormatting>
  <conditionalFormatting sqref="B39:B42 C42:AG42 C39:E41">
    <cfRule type="expression" dxfId="4511" priority="19">
      <formula>B$9&gt;=20/24</formula>
    </cfRule>
    <cfRule type="expression" dxfId="4510" priority="20">
      <formula>AND(B$9&gt;=14/24,B$9&lt;20/24)</formula>
    </cfRule>
    <cfRule type="expression" dxfId="4509" priority="21">
      <formula>AND(B$9&gt;=8/24,B$9&lt;14/24)</formula>
    </cfRule>
    <cfRule type="expression" dxfId="4508" priority="22">
      <formula>B$9&lt;8/24</formula>
    </cfRule>
  </conditionalFormatting>
  <conditionalFormatting sqref="B39:B42 C42:AG42 C39:E41">
    <cfRule type="expression" dxfId="4507" priority="18">
      <formula>B39&gt;$AG39</formula>
    </cfRule>
  </conditionalFormatting>
  <conditionalFormatting sqref="C97:AF97">
    <cfRule type="expression" dxfId="4506" priority="14">
      <formula>C$9&gt;=20/24</formula>
    </cfRule>
    <cfRule type="expression" dxfId="4505" priority="15">
      <formula>AND(C$9&gt;=14/24,C$9&lt;20/24)</formula>
    </cfRule>
    <cfRule type="expression" dxfId="4504" priority="16">
      <formula>AND(C$9&gt;=8/24,C$9&lt;14/24)</formula>
    </cfRule>
    <cfRule type="expression" dxfId="4503" priority="17">
      <formula>C$9&lt;8/24</formula>
    </cfRule>
  </conditionalFormatting>
  <conditionalFormatting sqref="B97">
    <cfRule type="expression" dxfId="4502" priority="10">
      <formula>B$9&gt;=20/24</formula>
    </cfRule>
    <cfRule type="expression" dxfId="4501" priority="11">
      <formula>AND(B$9&gt;=14/24,B$9&lt;20/24)</formula>
    </cfRule>
    <cfRule type="expression" dxfId="4500" priority="12">
      <formula>AND(B$9&gt;=8/24,B$9&lt;14/24)</formula>
    </cfRule>
    <cfRule type="expression" dxfId="4499" priority="13">
      <formula>B$9&lt;8/24</formula>
    </cfRule>
  </conditionalFormatting>
  <conditionalFormatting sqref="AL31">
    <cfRule type="iconSet" priority="9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4498" priority="3">
      <formula>$AH31=0</formula>
    </cfRule>
  </conditionalFormatting>
  <conditionalFormatting sqref="A80">
    <cfRule type="expression" dxfId="4497" priority="1">
      <formula>$AH80=0</formula>
    </cfRule>
  </conditionalFormatting>
  <conditionalFormatting sqref="A77">
    <cfRule type="expression" dxfId="4496" priority="2">
      <formula>$AH77=0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4F212917-2EB2-4725-A277-03D5E00597F7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" id="{E1668F13-EE1B-406A-B875-5A6A03B82302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" id="{838B1C2D-74F2-4040-810B-436B3D99767F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" id="{954304A9-BCF1-4047-ADFC-A4EEDA9185C6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4" id="{00003E5E-6AF9-47E5-B97F-64F68E99983E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2"/>
  <sheetViews>
    <sheetView zoomScaleNormal="100" workbookViewId="0">
      <pane xSplit="1" ySplit="10" topLeftCell="B47" activePane="bottomRight" state="frozen"/>
      <selection activeCell="AF88" sqref="AF88"/>
      <selection pane="topRight" activeCell="AF88" sqref="AF88"/>
      <selection pane="bottomLeft" activeCell="AF88" sqref="AF88"/>
      <selection pane="bottomRight" activeCell="AH11" sqref="AH11:AI105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2079/02/13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("&amp;ROUND(B237,0)&amp;" MW)"&amp;"    IPP   = "&amp;ROUND(B232,0)&amp;" MW     NEA RoR = "&amp;ROUND(B233,0)&amp;" MWImport   = "&amp;ROUND(B235,0)&amp;" MW      KL1+KL2+K3 = "&amp;ROUND(B234,0) &amp;" MW    EXPORT = "&amp;ROUND(B236,0)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4</v>
      </c>
      <c r="C5" s="32">
        <f t="shared" si="0"/>
        <v>0</v>
      </c>
      <c r="D5" s="32">
        <f t="shared" si="0"/>
        <v>18</v>
      </c>
      <c r="E5" s="32">
        <f t="shared" si="0"/>
        <v>5</v>
      </c>
      <c r="F5" s="32">
        <f t="shared" si="0"/>
        <v>9</v>
      </c>
      <c r="G5" s="32">
        <f t="shared" si="0"/>
        <v>8</v>
      </c>
      <c r="H5" s="32">
        <f t="shared" si="0"/>
        <v>3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18.899999999999999</v>
      </c>
      <c r="N5" s="32">
        <f t="shared" si="0"/>
        <v>28.2</v>
      </c>
      <c r="O5" s="32">
        <f t="shared" si="0"/>
        <v>15.3</v>
      </c>
      <c r="P5" s="32">
        <f t="shared" si="0"/>
        <v>16</v>
      </c>
      <c r="Q5" s="32">
        <f t="shared" si="0"/>
        <v>16</v>
      </c>
      <c r="R5" s="32">
        <f t="shared" si="0"/>
        <v>24</v>
      </c>
      <c r="S5" s="32">
        <f t="shared" si="0"/>
        <v>17</v>
      </c>
      <c r="T5" s="32">
        <f t="shared" si="0"/>
        <v>13.7</v>
      </c>
      <c r="U5" s="32">
        <f t="shared" si="0"/>
        <v>13.3</v>
      </c>
      <c r="V5" s="32">
        <f t="shared" si="0"/>
        <v>13</v>
      </c>
      <c r="W5" s="32">
        <f t="shared" si="0"/>
        <v>7.6</v>
      </c>
      <c r="X5" s="32">
        <f t="shared" si="0"/>
        <v>34.4</v>
      </c>
      <c r="Y5" s="32">
        <f t="shared" si="0"/>
        <v>50</v>
      </c>
      <c r="Z5" s="32">
        <f t="shared" si="0"/>
        <v>34.4</v>
      </c>
      <c r="AA5" s="32">
        <f t="shared" si="0"/>
        <v>27.8</v>
      </c>
      <c r="AB5" s="32">
        <f t="shared" si="0"/>
        <v>30.5</v>
      </c>
      <c r="AC5" s="32">
        <f t="shared" si="0"/>
        <v>32.4</v>
      </c>
      <c r="AD5" s="32">
        <f t="shared" si="0"/>
        <v>9.6999999999999993</v>
      </c>
      <c r="AE5" s="32">
        <f t="shared" si="0"/>
        <v>4.3</v>
      </c>
      <c r="AF5" s="32">
        <f>B72</f>
        <v>14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"&amp;ROUND(B237,0)&amp;"MW at "&amp;TRUNC(B238*24,0)&amp;":"&amp;ROUND((B238*24-TRUNC(B238*24,0))*60,0)&amp;"hr at "&amp;ROUND(B239,1)&amp;"Hz     "&amp;A229&amp;" "&amp;ROUND(B229,0)&amp;"MW at "&amp;TRUNC(C229*24,0)&amp;":"&amp;ROUND((C229*24-TRUNC(C229*24,0))*6,0)&amp;"0hr"</f>
        <v>Evening Peak 0MW at 0:0hr at 0Hz     Morning Peak 1766MW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Load=1642</v>
      </c>
      <c r="B7" s="37">
        <f>B79</f>
        <v>1761.74</v>
      </c>
      <c r="C7" s="37">
        <f t="shared" ref="C7:AF7" si="1">C79</f>
        <v>1676.54</v>
      </c>
      <c r="D7" s="37">
        <f t="shared" si="1"/>
        <v>1672.1399999999999</v>
      </c>
      <c r="E7" s="37">
        <f t="shared" si="1"/>
        <v>1677.34</v>
      </c>
      <c r="F7" s="37">
        <f t="shared" si="1"/>
        <v>1641.54</v>
      </c>
      <c r="G7" s="37">
        <f t="shared" si="1"/>
        <v>1663.54</v>
      </c>
      <c r="H7" s="37">
        <f t="shared" si="1"/>
        <v>1672.54</v>
      </c>
      <c r="I7" s="37">
        <f t="shared" si="1"/>
        <v>1649.54</v>
      </c>
      <c r="J7" s="37">
        <f t="shared" si="1"/>
        <v>1655.44</v>
      </c>
      <c r="K7" s="37">
        <f t="shared" si="1"/>
        <v>1734.54</v>
      </c>
      <c r="L7" s="37">
        <f t="shared" si="1"/>
        <v>1746.34</v>
      </c>
      <c r="M7" s="37">
        <f t="shared" si="1"/>
        <v>1693.14</v>
      </c>
      <c r="N7" s="37">
        <f t="shared" si="1"/>
        <v>1765.6400000000003</v>
      </c>
      <c r="O7" s="37">
        <f t="shared" si="1"/>
        <v>1774.9400000000003</v>
      </c>
      <c r="P7" s="37">
        <f t="shared" si="1"/>
        <v>1761.9399999999998</v>
      </c>
      <c r="Q7" s="37">
        <f t="shared" si="1"/>
        <v>1762.6399999999999</v>
      </c>
      <c r="R7" s="37">
        <f t="shared" si="1"/>
        <v>1762.6399999999999</v>
      </c>
      <c r="S7" s="37">
        <f t="shared" si="1"/>
        <v>1817.5400000000002</v>
      </c>
      <c r="T7" s="37">
        <f t="shared" si="1"/>
        <v>1807.1400000000003</v>
      </c>
      <c r="U7" s="37">
        <f t="shared" si="1"/>
        <v>1803.8400000000004</v>
      </c>
      <c r="V7" s="37">
        <f t="shared" si="1"/>
        <v>1765.4400000000003</v>
      </c>
      <c r="W7" s="37">
        <f t="shared" si="1"/>
        <v>1765.1400000000003</v>
      </c>
      <c r="X7" s="37">
        <f t="shared" si="1"/>
        <v>1699.0400000000002</v>
      </c>
      <c r="Y7" s="37">
        <f t="shared" si="1"/>
        <v>1697.8400000000004</v>
      </c>
      <c r="Z7" s="37">
        <f t="shared" si="1"/>
        <v>1744.74</v>
      </c>
      <c r="AA7" s="37">
        <f t="shared" si="1"/>
        <v>1801.7400000000002</v>
      </c>
      <c r="AB7" s="37">
        <f t="shared" si="1"/>
        <v>1785.3400000000001</v>
      </c>
      <c r="AC7" s="37">
        <f t="shared" si="1"/>
        <v>1789.54</v>
      </c>
      <c r="AD7" s="37">
        <f t="shared" si="1"/>
        <v>1790.0400000000002</v>
      </c>
      <c r="AE7" s="37">
        <f t="shared" si="1"/>
        <v>1691.0400000000002</v>
      </c>
      <c r="AF7" s="37">
        <f t="shared" si="1"/>
        <v>1769.84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2">
        <v>53.7</v>
      </c>
      <c r="C11" s="52">
        <v>53.7</v>
      </c>
      <c r="D11" s="52">
        <v>53.7</v>
      </c>
      <c r="E11" s="52">
        <v>53.7</v>
      </c>
      <c r="F11" s="52">
        <v>53.7</v>
      </c>
      <c r="G11" s="52">
        <v>53.7</v>
      </c>
      <c r="H11" s="52">
        <v>53.7</v>
      </c>
      <c r="I11" s="52">
        <v>53.7</v>
      </c>
      <c r="J11" s="52">
        <v>53.7</v>
      </c>
      <c r="K11" s="52">
        <v>53.7</v>
      </c>
      <c r="L11" s="52">
        <v>53.7</v>
      </c>
      <c r="M11" s="50">
        <v>0</v>
      </c>
      <c r="N11" s="50">
        <v>53.9</v>
      </c>
      <c r="O11" s="50">
        <v>53.9</v>
      </c>
      <c r="P11" s="50">
        <v>53.9</v>
      </c>
      <c r="Q11" s="50">
        <v>53.9</v>
      </c>
      <c r="R11" s="50">
        <v>53.9</v>
      </c>
      <c r="S11" s="52">
        <v>53.9</v>
      </c>
      <c r="T11" s="52">
        <v>53.9</v>
      </c>
      <c r="U11" s="52">
        <v>53.9</v>
      </c>
      <c r="V11" s="52">
        <v>53.9</v>
      </c>
      <c r="W11" s="52">
        <v>53.9</v>
      </c>
      <c r="X11" s="52">
        <v>53.9</v>
      </c>
      <c r="Y11" s="52">
        <v>53.9</v>
      </c>
      <c r="Z11" s="52">
        <v>53.9</v>
      </c>
      <c r="AA11" s="52">
        <v>53.9</v>
      </c>
      <c r="AB11" s="52">
        <v>53.9</v>
      </c>
      <c r="AC11" s="52">
        <v>53.9</v>
      </c>
      <c r="AD11" s="52">
        <v>53.9</v>
      </c>
      <c r="AE11" s="52">
        <v>53.8</v>
      </c>
      <c r="AF11" s="52">
        <v>53.8</v>
      </c>
      <c r="AG11" s="133">
        <v>52.4</v>
      </c>
      <c r="AH11" s="54">
        <f>MAX(B11:AF11)</f>
        <v>53.9</v>
      </c>
      <c r="AI11" s="55">
        <f>MIN(B11:AF11)</f>
        <v>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50.2</v>
      </c>
      <c r="C12" s="50">
        <v>50.6</v>
      </c>
      <c r="D12" s="50">
        <v>50.5</v>
      </c>
      <c r="E12" s="50">
        <v>50.5</v>
      </c>
      <c r="F12" s="50">
        <v>50.5</v>
      </c>
      <c r="G12" s="50">
        <v>50.5</v>
      </c>
      <c r="H12" s="50">
        <v>50.5</v>
      </c>
      <c r="I12" s="50">
        <v>50.5</v>
      </c>
      <c r="J12" s="50">
        <v>50.5</v>
      </c>
      <c r="K12" s="50">
        <v>50.5</v>
      </c>
      <c r="L12" s="50">
        <v>50.5</v>
      </c>
      <c r="M12" s="50">
        <v>50.6</v>
      </c>
      <c r="N12" s="50">
        <v>50.6</v>
      </c>
      <c r="O12" s="50">
        <v>50.6</v>
      </c>
      <c r="P12" s="50">
        <v>50.5</v>
      </c>
      <c r="Q12" s="50">
        <v>50.5</v>
      </c>
      <c r="R12" s="50">
        <v>50.5</v>
      </c>
      <c r="S12" s="50">
        <v>50.5</v>
      </c>
      <c r="T12" s="50">
        <v>50.5</v>
      </c>
      <c r="U12" s="50">
        <v>50.5</v>
      </c>
      <c r="V12" s="50">
        <v>50.5</v>
      </c>
      <c r="W12" s="50">
        <v>50.5</v>
      </c>
      <c r="X12" s="50">
        <v>50.5</v>
      </c>
      <c r="Y12" s="50">
        <v>50.5</v>
      </c>
      <c r="Z12" s="50">
        <v>50.5</v>
      </c>
      <c r="AA12" s="50">
        <v>50.5</v>
      </c>
      <c r="AB12" s="50">
        <v>50.5</v>
      </c>
      <c r="AC12" s="50">
        <v>50.5</v>
      </c>
      <c r="AD12" s="50">
        <v>50.3</v>
      </c>
      <c r="AE12" s="50">
        <v>50.4</v>
      </c>
      <c r="AF12" s="50">
        <v>50.3</v>
      </c>
      <c r="AG12" s="134">
        <v>50</v>
      </c>
      <c r="AH12" s="54">
        <f t="shared" ref="AH12:AH79" si="2">MAX(B12:AF12)</f>
        <v>50.6</v>
      </c>
      <c r="AI12" s="55">
        <f t="shared" ref="AI12:AI79" si="3">MIN(B12:AF12)</f>
        <v>50.2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45.8</v>
      </c>
      <c r="C13" s="50">
        <v>45.9</v>
      </c>
      <c r="D13" s="50">
        <v>45.9</v>
      </c>
      <c r="E13" s="50">
        <v>45.9</v>
      </c>
      <c r="F13" s="50">
        <v>45.9</v>
      </c>
      <c r="G13" s="50">
        <v>45.9</v>
      </c>
      <c r="H13" s="50">
        <v>45.9</v>
      </c>
      <c r="I13" s="50">
        <v>45.9</v>
      </c>
      <c r="J13" s="50">
        <v>45.9</v>
      </c>
      <c r="K13" s="50">
        <v>45.9</v>
      </c>
      <c r="L13" s="50">
        <v>45.9</v>
      </c>
      <c r="M13" s="50">
        <v>45.9</v>
      </c>
      <c r="N13" s="50">
        <v>45.9</v>
      </c>
      <c r="O13" s="50">
        <v>45.9</v>
      </c>
      <c r="P13" s="50">
        <v>45.9</v>
      </c>
      <c r="Q13" s="50">
        <v>45.9</v>
      </c>
      <c r="R13" s="50">
        <v>45.9</v>
      </c>
      <c r="S13" s="50">
        <v>45.9</v>
      </c>
      <c r="T13" s="50">
        <v>45.9</v>
      </c>
      <c r="U13" s="50">
        <v>45.9</v>
      </c>
      <c r="V13" s="50">
        <v>45.9</v>
      </c>
      <c r="W13" s="50">
        <v>45.9</v>
      </c>
      <c r="X13" s="50">
        <v>45.9</v>
      </c>
      <c r="Y13" s="50">
        <v>45.9</v>
      </c>
      <c r="Z13" s="50">
        <v>45.9</v>
      </c>
      <c r="AA13" s="50">
        <v>45.9</v>
      </c>
      <c r="AB13" s="50">
        <v>45.9</v>
      </c>
      <c r="AC13" s="50">
        <v>45.9</v>
      </c>
      <c r="AD13" s="50">
        <v>45.9</v>
      </c>
      <c r="AE13" s="50">
        <v>45.9</v>
      </c>
      <c r="AF13" s="50">
        <v>46</v>
      </c>
      <c r="AG13" s="134">
        <v>45</v>
      </c>
      <c r="AH13" s="54">
        <f t="shared" si="2"/>
        <v>46</v>
      </c>
      <c r="AI13" s="55">
        <f t="shared" si="3"/>
        <v>45.8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26</v>
      </c>
      <c r="C14" s="50">
        <v>28</v>
      </c>
      <c r="D14" s="50">
        <v>28</v>
      </c>
      <c r="E14" s="50">
        <v>28</v>
      </c>
      <c r="F14" s="50">
        <v>28</v>
      </c>
      <c r="G14" s="50">
        <v>28</v>
      </c>
      <c r="H14" s="50">
        <v>28</v>
      </c>
      <c r="I14" s="50">
        <v>28</v>
      </c>
      <c r="J14" s="50">
        <v>28</v>
      </c>
      <c r="K14" s="50">
        <v>28</v>
      </c>
      <c r="L14" s="50">
        <v>28</v>
      </c>
      <c r="M14" s="50">
        <v>28</v>
      </c>
      <c r="N14" s="50">
        <v>28</v>
      </c>
      <c r="O14" s="50">
        <v>28</v>
      </c>
      <c r="P14" s="50">
        <v>28</v>
      </c>
      <c r="Q14" s="50">
        <v>28</v>
      </c>
      <c r="R14" s="50">
        <v>28</v>
      </c>
      <c r="S14" s="50">
        <v>34</v>
      </c>
      <c r="T14" s="50">
        <v>34</v>
      </c>
      <c r="U14" s="50">
        <v>34</v>
      </c>
      <c r="V14" s="50">
        <v>26</v>
      </c>
      <c r="W14" s="50">
        <v>26</v>
      </c>
      <c r="X14" s="50">
        <v>26</v>
      </c>
      <c r="Y14" s="50">
        <v>26</v>
      </c>
      <c r="Z14" s="50">
        <v>10</v>
      </c>
      <c r="AA14" s="50">
        <v>16</v>
      </c>
      <c r="AB14" s="50">
        <v>16</v>
      </c>
      <c r="AC14" s="50">
        <v>16</v>
      </c>
      <c r="AD14" s="50">
        <v>16</v>
      </c>
      <c r="AE14" s="50">
        <v>16</v>
      </c>
      <c r="AF14" s="50">
        <v>26</v>
      </c>
      <c r="AG14" s="134">
        <v>42</v>
      </c>
      <c r="AH14" s="54">
        <f t="shared" si="2"/>
        <v>34</v>
      </c>
      <c r="AI14" s="55">
        <f t="shared" si="3"/>
        <v>10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0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30</v>
      </c>
      <c r="T15" s="50">
        <v>30</v>
      </c>
      <c r="U15" s="50">
        <v>30</v>
      </c>
      <c r="V15" s="50">
        <v>0</v>
      </c>
      <c r="W15" s="50">
        <v>0</v>
      </c>
      <c r="X15" s="50">
        <v>0</v>
      </c>
      <c r="Y15" s="50">
        <v>0</v>
      </c>
      <c r="Z15" s="50">
        <v>5</v>
      </c>
      <c r="AA15" s="50">
        <v>15</v>
      </c>
      <c r="AB15" s="50">
        <v>30</v>
      </c>
      <c r="AC15" s="50">
        <v>30</v>
      </c>
      <c r="AD15" s="50">
        <v>30</v>
      </c>
      <c r="AE15" s="50">
        <v>10</v>
      </c>
      <c r="AF15" s="50">
        <v>10</v>
      </c>
      <c r="AG15" s="135">
        <v>30</v>
      </c>
      <c r="AH15" s="54">
        <f t="shared" si="2"/>
        <v>30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25.1</v>
      </c>
      <c r="C16" s="50">
        <v>25.2</v>
      </c>
      <c r="D16" s="50">
        <v>25.1</v>
      </c>
      <c r="E16" s="50">
        <v>25.1</v>
      </c>
      <c r="F16" s="50">
        <v>25.1</v>
      </c>
      <c r="G16" s="50">
        <v>25.1</v>
      </c>
      <c r="H16" s="50">
        <v>25.1</v>
      </c>
      <c r="I16" s="50">
        <v>25.1</v>
      </c>
      <c r="J16" s="50">
        <v>25.1</v>
      </c>
      <c r="K16" s="50">
        <v>25.1</v>
      </c>
      <c r="L16" s="50">
        <v>25.1</v>
      </c>
      <c r="M16" s="50">
        <v>25.1</v>
      </c>
      <c r="N16" s="50">
        <v>25.1</v>
      </c>
      <c r="O16" s="50">
        <v>25.1</v>
      </c>
      <c r="P16" s="50">
        <v>25.1</v>
      </c>
      <c r="Q16" s="50">
        <v>25.1</v>
      </c>
      <c r="R16" s="50">
        <v>25.1</v>
      </c>
      <c r="S16" s="50">
        <v>26.3</v>
      </c>
      <c r="T16" s="50">
        <v>26.3</v>
      </c>
      <c r="U16" s="50">
        <v>26.3</v>
      </c>
      <c r="V16" s="50">
        <v>26.3</v>
      </c>
      <c r="W16" s="50">
        <v>26.3</v>
      </c>
      <c r="X16" s="50">
        <v>26.3</v>
      </c>
      <c r="Y16" s="50">
        <v>26.3</v>
      </c>
      <c r="Z16" s="50">
        <v>13</v>
      </c>
      <c r="AA16" s="50">
        <v>25</v>
      </c>
      <c r="AB16" s="50">
        <v>13.2</v>
      </c>
      <c r="AC16" s="50">
        <v>13</v>
      </c>
      <c r="AD16" s="50">
        <v>13.2</v>
      </c>
      <c r="AE16" s="50">
        <v>24</v>
      </c>
      <c r="AF16" s="50">
        <v>25.3</v>
      </c>
      <c r="AG16" s="134">
        <v>25</v>
      </c>
      <c r="AH16" s="54">
        <f t="shared" si="2"/>
        <v>26.3</v>
      </c>
      <c r="AI16" s="55">
        <f t="shared" si="3"/>
        <v>13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25</v>
      </c>
      <c r="D18" s="50">
        <v>25</v>
      </c>
      <c r="E18" s="50">
        <v>25</v>
      </c>
      <c r="F18" s="50">
        <v>25</v>
      </c>
      <c r="G18" s="50">
        <v>25</v>
      </c>
      <c r="H18" s="50">
        <v>25</v>
      </c>
      <c r="I18" s="50">
        <v>25</v>
      </c>
      <c r="J18" s="50">
        <v>25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25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25</v>
      </c>
      <c r="C19" s="50">
        <v>25</v>
      </c>
      <c r="D19" s="50">
        <v>24.8</v>
      </c>
      <c r="E19" s="50">
        <v>24.8</v>
      </c>
      <c r="F19" s="50">
        <v>24.8</v>
      </c>
      <c r="G19" s="50">
        <v>24.8</v>
      </c>
      <c r="H19" s="50">
        <v>24.8</v>
      </c>
      <c r="I19" s="50">
        <v>24.8</v>
      </c>
      <c r="J19" s="50">
        <v>24.8</v>
      </c>
      <c r="K19" s="50">
        <v>24.8</v>
      </c>
      <c r="L19" s="50">
        <v>24.8</v>
      </c>
      <c r="M19" s="50">
        <v>24.8</v>
      </c>
      <c r="N19" s="50">
        <v>24.8</v>
      </c>
      <c r="O19" s="50">
        <v>24.8</v>
      </c>
      <c r="P19" s="50">
        <v>24.8</v>
      </c>
      <c r="Q19" s="50">
        <v>24.8</v>
      </c>
      <c r="R19" s="50">
        <v>24.8</v>
      </c>
      <c r="S19" s="50">
        <v>25.1</v>
      </c>
      <c r="T19" s="50">
        <v>25.1</v>
      </c>
      <c r="U19" s="50">
        <v>25.1</v>
      </c>
      <c r="V19" s="50">
        <v>25.1</v>
      </c>
      <c r="W19" s="50">
        <v>25.1</v>
      </c>
      <c r="X19" s="50">
        <v>25.1</v>
      </c>
      <c r="Y19" s="50">
        <v>25.1</v>
      </c>
      <c r="Z19" s="50">
        <v>25.1</v>
      </c>
      <c r="AA19" s="50">
        <v>25.1</v>
      </c>
      <c r="AB19" s="50">
        <v>25.1</v>
      </c>
      <c r="AC19" s="50">
        <v>25.1</v>
      </c>
      <c r="AD19" s="50">
        <v>25.3</v>
      </c>
      <c r="AE19" s="50">
        <v>31</v>
      </c>
      <c r="AF19" s="50">
        <v>30.5</v>
      </c>
      <c r="AG19" s="134">
        <v>24.2</v>
      </c>
      <c r="AH19" s="54">
        <f t="shared" si="2"/>
        <v>31</v>
      </c>
      <c r="AI19" s="55">
        <f t="shared" si="3"/>
        <v>24.8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24.1</v>
      </c>
      <c r="C20" s="50">
        <v>24.1</v>
      </c>
      <c r="D20" s="50">
        <v>24.1</v>
      </c>
      <c r="E20" s="50">
        <v>24.1</v>
      </c>
      <c r="F20" s="50">
        <v>24.1</v>
      </c>
      <c r="G20" s="50">
        <v>24.1</v>
      </c>
      <c r="H20" s="50">
        <v>24.1</v>
      </c>
      <c r="I20" s="50">
        <v>24.1</v>
      </c>
      <c r="J20" s="50">
        <v>24.1</v>
      </c>
      <c r="K20" s="50">
        <v>24.1</v>
      </c>
      <c r="L20" s="50">
        <v>24.1</v>
      </c>
      <c r="M20" s="50">
        <v>24.1</v>
      </c>
      <c r="N20" s="50">
        <v>24.1</v>
      </c>
      <c r="O20" s="50">
        <v>24.1</v>
      </c>
      <c r="P20" s="50">
        <v>24.1</v>
      </c>
      <c r="Q20" s="50">
        <v>24.1</v>
      </c>
      <c r="R20" s="50">
        <v>24.1</v>
      </c>
      <c r="S20" s="50">
        <v>24.1</v>
      </c>
      <c r="T20" s="50">
        <v>24.1</v>
      </c>
      <c r="U20" s="50">
        <v>24.1</v>
      </c>
      <c r="V20" s="50">
        <v>24.1</v>
      </c>
      <c r="W20" s="50">
        <v>24.1</v>
      </c>
      <c r="X20" s="50">
        <v>24.1</v>
      </c>
      <c r="Y20" s="50">
        <v>24.1</v>
      </c>
      <c r="Z20" s="50">
        <v>24.1</v>
      </c>
      <c r="AA20" s="50">
        <v>24.1</v>
      </c>
      <c r="AB20" s="50">
        <v>24.1</v>
      </c>
      <c r="AC20" s="50">
        <v>24.1</v>
      </c>
      <c r="AD20" s="50">
        <v>24.1</v>
      </c>
      <c r="AE20" s="50">
        <v>24.1</v>
      </c>
      <c r="AF20" s="50">
        <v>24.1</v>
      </c>
      <c r="AG20" s="134">
        <v>23.5</v>
      </c>
      <c r="AH20" s="54">
        <f t="shared" si="2"/>
        <v>24.1</v>
      </c>
      <c r="AI20" s="55">
        <f t="shared" si="3"/>
        <v>24.1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20.6</v>
      </c>
      <c r="C21" s="50">
        <v>20.6</v>
      </c>
      <c r="D21" s="50">
        <v>20.6</v>
      </c>
      <c r="E21" s="50">
        <v>20.6</v>
      </c>
      <c r="F21" s="50">
        <v>20.6</v>
      </c>
      <c r="G21" s="50">
        <v>20.6</v>
      </c>
      <c r="H21" s="50">
        <v>20.6</v>
      </c>
      <c r="I21" s="50">
        <v>20.6</v>
      </c>
      <c r="J21" s="50">
        <v>20.6</v>
      </c>
      <c r="K21" s="50">
        <v>20.6</v>
      </c>
      <c r="L21" s="50">
        <v>20.6</v>
      </c>
      <c r="M21" s="50">
        <v>20.6</v>
      </c>
      <c r="N21" s="50">
        <v>20.6</v>
      </c>
      <c r="O21" s="50">
        <v>20.6</v>
      </c>
      <c r="P21" s="50">
        <v>20.6</v>
      </c>
      <c r="Q21" s="50">
        <v>20.6</v>
      </c>
      <c r="R21" s="50">
        <v>20.6</v>
      </c>
      <c r="S21" s="50">
        <v>20.6</v>
      </c>
      <c r="T21" s="50">
        <v>20.6</v>
      </c>
      <c r="U21" s="50">
        <v>20.6</v>
      </c>
      <c r="V21" s="50">
        <v>20.6</v>
      </c>
      <c r="W21" s="50">
        <v>20.6</v>
      </c>
      <c r="X21" s="50">
        <v>20.6</v>
      </c>
      <c r="Y21" s="50">
        <v>20.6</v>
      </c>
      <c r="Z21" s="50">
        <v>20.6</v>
      </c>
      <c r="AA21" s="50">
        <v>20.6</v>
      </c>
      <c r="AB21" s="50">
        <v>20.6</v>
      </c>
      <c r="AC21" s="50">
        <v>20.6</v>
      </c>
      <c r="AD21" s="50">
        <v>20.6</v>
      </c>
      <c r="AE21" s="50">
        <v>20.6</v>
      </c>
      <c r="AF21" s="50">
        <v>20.6</v>
      </c>
      <c r="AG21" s="134">
        <v>22.2</v>
      </c>
      <c r="AH21" s="54">
        <f t="shared" si="2"/>
        <v>20.6</v>
      </c>
      <c r="AI21" s="55">
        <f t="shared" si="3"/>
        <v>20.6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134">
        <v>22.1</v>
      </c>
      <c r="AH22" s="54">
        <f t="shared" si="2"/>
        <v>22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22</v>
      </c>
      <c r="C23" s="50">
        <v>20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20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22</v>
      </c>
      <c r="AI24" s="55">
        <f t="shared" si="3"/>
        <v>22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0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134">
        <v>20</v>
      </c>
      <c r="AH25" s="54">
        <f t="shared" si="2"/>
        <v>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14.9</v>
      </c>
      <c r="C26" s="50">
        <v>14.9</v>
      </c>
      <c r="D26" s="50">
        <v>14.9</v>
      </c>
      <c r="E26" s="50">
        <v>14.9</v>
      </c>
      <c r="F26" s="50">
        <v>14.9</v>
      </c>
      <c r="G26" s="50">
        <v>14.9</v>
      </c>
      <c r="H26" s="50">
        <v>14.9</v>
      </c>
      <c r="I26" s="50">
        <v>14.9</v>
      </c>
      <c r="J26" s="50">
        <v>14.9</v>
      </c>
      <c r="K26" s="50">
        <v>14.9</v>
      </c>
      <c r="L26" s="50">
        <v>14.9</v>
      </c>
      <c r="M26" s="50">
        <v>14.9</v>
      </c>
      <c r="N26" s="50">
        <v>14.9</v>
      </c>
      <c r="O26" s="50">
        <v>14.9</v>
      </c>
      <c r="P26" s="50">
        <v>14.9</v>
      </c>
      <c r="Q26" s="50">
        <v>14.9</v>
      </c>
      <c r="R26" s="50">
        <v>14.9</v>
      </c>
      <c r="S26" s="50">
        <v>14.9</v>
      </c>
      <c r="T26" s="50">
        <v>14.9</v>
      </c>
      <c r="U26" s="50">
        <v>14.9</v>
      </c>
      <c r="V26" s="50">
        <v>14.9</v>
      </c>
      <c r="W26" s="50">
        <v>14.9</v>
      </c>
      <c r="X26" s="50">
        <v>14.9</v>
      </c>
      <c r="Y26" s="50">
        <v>14.9</v>
      </c>
      <c r="Z26" s="50">
        <v>14.9</v>
      </c>
      <c r="AA26" s="50">
        <v>14.9</v>
      </c>
      <c r="AB26" s="50">
        <v>14.9</v>
      </c>
      <c r="AC26" s="50">
        <v>14.9</v>
      </c>
      <c r="AD26" s="50">
        <v>14.9</v>
      </c>
      <c r="AE26" s="50">
        <v>14.9</v>
      </c>
      <c r="AF26" s="50">
        <v>14.9</v>
      </c>
      <c r="AG26" s="134">
        <v>14.9</v>
      </c>
      <c r="AH26" s="54">
        <f t="shared" si="2"/>
        <v>14.9</v>
      </c>
      <c r="AI26" s="55">
        <f t="shared" si="3"/>
        <v>14.9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10</v>
      </c>
      <c r="C27" s="50">
        <v>10</v>
      </c>
      <c r="D27" s="50">
        <v>10</v>
      </c>
      <c r="E27" s="50">
        <v>10</v>
      </c>
      <c r="F27" s="50">
        <v>10</v>
      </c>
      <c r="G27" s="50">
        <v>10</v>
      </c>
      <c r="H27" s="50">
        <v>10</v>
      </c>
      <c r="I27" s="50">
        <v>10</v>
      </c>
      <c r="J27" s="50">
        <v>10</v>
      </c>
      <c r="K27" s="50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134">
        <v>13.6</v>
      </c>
      <c r="AH27" s="54">
        <f t="shared" si="2"/>
        <v>10</v>
      </c>
      <c r="AI27" s="55">
        <f t="shared" si="3"/>
        <v>10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13</v>
      </c>
      <c r="C28" s="50">
        <v>13</v>
      </c>
      <c r="D28" s="50">
        <v>13</v>
      </c>
      <c r="E28" s="50">
        <v>13</v>
      </c>
      <c r="F28" s="50">
        <v>13</v>
      </c>
      <c r="G28" s="50">
        <v>13</v>
      </c>
      <c r="H28" s="50">
        <v>13</v>
      </c>
      <c r="I28" s="50">
        <v>13</v>
      </c>
      <c r="J28" s="50">
        <v>13</v>
      </c>
      <c r="K28" s="50">
        <v>13</v>
      </c>
      <c r="L28" s="50">
        <v>13</v>
      </c>
      <c r="M28" s="50">
        <v>13</v>
      </c>
      <c r="N28" s="50">
        <v>13</v>
      </c>
      <c r="O28" s="50">
        <v>13</v>
      </c>
      <c r="P28" s="50">
        <v>13</v>
      </c>
      <c r="Q28" s="50">
        <v>13</v>
      </c>
      <c r="R28" s="50">
        <v>13</v>
      </c>
      <c r="S28" s="50">
        <v>13</v>
      </c>
      <c r="T28" s="50">
        <v>13</v>
      </c>
      <c r="U28" s="50">
        <v>13</v>
      </c>
      <c r="V28" s="50">
        <v>13</v>
      </c>
      <c r="W28" s="50">
        <v>13</v>
      </c>
      <c r="X28" s="50">
        <v>13</v>
      </c>
      <c r="Y28" s="50">
        <v>13</v>
      </c>
      <c r="Z28" s="50">
        <v>7</v>
      </c>
      <c r="AA28" s="50">
        <v>13</v>
      </c>
      <c r="AB28" s="50">
        <v>13</v>
      </c>
      <c r="AC28" s="50">
        <v>13</v>
      </c>
      <c r="AD28" s="50">
        <v>13</v>
      </c>
      <c r="AE28" s="50">
        <v>13</v>
      </c>
      <c r="AF28" s="50">
        <v>13</v>
      </c>
      <c r="AG28" s="134">
        <v>13</v>
      </c>
      <c r="AH28" s="54">
        <f t="shared" si="2"/>
        <v>13</v>
      </c>
      <c r="AI28" s="55">
        <f t="shared" si="3"/>
        <v>7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0</v>
      </c>
      <c r="C29" s="50">
        <v>8</v>
      </c>
      <c r="D29" s="50">
        <v>8</v>
      </c>
      <c r="E29" s="50">
        <v>8</v>
      </c>
      <c r="F29" s="50">
        <v>8</v>
      </c>
      <c r="G29" s="50">
        <v>8</v>
      </c>
      <c r="H29" s="50">
        <v>8</v>
      </c>
      <c r="I29" s="50">
        <v>8</v>
      </c>
      <c r="J29" s="50">
        <v>8</v>
      </c>
      <c r="K29" s="50">
        <v>8</v>
      </c>
      <c r="L29" s="50">
        <v>8</v>
      </c>
      <c r="M29" s="50">
        <v>8</v>
      </c>
      <c r="N29" s="50">
        <v>8</v>
      </c>
      <c r="O29" s="50">
        <v>8</v>
      </c>
      <c r="P29" s="50">
        <v>8</v>
      </c>
      <c r="Q29" s="50">
        <v>8</v>
      </c>
      <c r="R29" s="50">
        <v>8</v>
      </c>
      <c r="S29" s="50">
        <v>8</v>
      </c>
      <c r="T29" s="50">
        <v>8</v>
      </c>
      <c r="U29" s="50">
        <v>8</v>
      </c>
      <c r="V29" s="50">
        <v>8</v>
      </c>
      <c r="W29" s="50">
        <v>8</v>
      </c>
      <c r="X29" s="50">
        <v>8</v>
      </c>
      <c r="Y29" s="50">
        <v>8</v>
      </c>
      <c r="Z29" s="50">
        <v>8</v>
      </c>
      <c r="AA29" s="50">
        <v>8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134">
        <v>12</v>
      </c>
      <c r="AH29" s="54">
        <f t="shared" si="2"/>
        <v>12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7</v>
      </c>
      <c r="C30" s="50">
        <v>7</v>
      </c>
      <c r="D30" s="50">
        <v>7</v>
      </c>
      <c r="E30" s="50">
        <v>7</v>
      </c>
      <c r="F30" s="50">
        <v>7</v>
      </c>
      <c r="G30" s="50">
        <v>7</v>
      </c>
      <c r="H30" s="50">
        <v>7</v>
      </c>
      <c r="I30" s="50">
        <v>7</v>
      </c>
      <c r="J30" s="50">
        <v>7</v>
      </c>
      <c r="K30" s="50">
        <v>7</v>
      </c>
      <c r="L30" s="50">
        <v>7</v>
      </c>
      <c r="M30" s="50">
        <v>7</v>
      </c>
      <c r="N30" s="50">
        <v>7</v>
      </c>
      <c r="O30" s="50">
        <v>7</v>
      </c>
      <c r="P30" s="50">
        <v>7</v>
      </c>
      <c r="Q30" s="50">
        <v>7</v>
      </c>
      <c r="R30" s="50">
        <v>7</v>
      </c>
      <c r="S30" s="50">
        <v>7</v>
      </c>
      <c r="T30" s="50">
        <v>7</v>
      </c>
      <c r="U30" s="50">
        <v>7</v>
      </c>
      <c r="V30" s="50">
        <v>7</v>
      </c>
      <c r="W30" s="50">
        <v>7</v>
      </c>
      <c r="X30" s="50">
        <v>7</v>
      </c>
      <c r="Y30" s="50">
        <v>7</v>
      </c>
      <c r="Z30" s="50">
        <v>7</v>
      </c>
      <c r="AA30" s="50">
        <v>7</v>
      </c>
      <c r="AB30" s="50">
        <v>7</v>
      </c>
      <c r="AC30" s="50">
        <v>7</v>
      </c>
      <c r="AD30" s="50">
        <v>7</v>
      </c>
      <c r="AE30" s="50">
        <v>7</v>
      </c>
      <c r="AF30" s="50">
        <v>7</v>
      </c>
      <c r="AG30" s="134">
        <v>12</v>
      </c>
      <c r="AH30" s="54">
        <f t="shared" si="2"/>
        <v>7</v>
      </c>
      <c r="AI30" s="55">
        <f t="shared" si="3"/>
        <v>7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9</v>
      </c>
      <c r="C31" s="50">
        <v>9</v>
      </c>
      <c r="D31" s="50">
        <v>9</v>
      </c>
      <c r="E31" s="50">
        <v>9</v>
      </c>
      <c r="F31" s="50">
        <v>9</v>
      </c>
      <c r="G31" s="50">
        <v>9</v>
      </c>
      <c r="H31" s="50">
        <v>9</v>
      </c>
      <c r="I31" s="50">
        <v>9</v>
      </c>
      <c r="J31" s="50">
        <v>9</v>
      </c>
      <c r="K31" s="50">
        <v>9</v>
      </c>
      <c r="L31" s="50">
        <v>9</v>
      </c>
      <c r="M31" s="50">
        <v>9</v>
      </c>
      <c r="N31" s="50">
        <v>9</v>
      </c>
      <c r="O31" s="50">
        <v>9</v>
      </c>
      <c r="P31" s="50">
        <v>9</v>
      </c>
      <c r="Q31" s="50">
        <v>9</v>
      </c>
      <c r="R31" s="50">
        <v>9</v>
      </c>
      <c r="S31" s="50">
        <v>9</v>
      </c>
      <c r="T31" s="50">
        <v>9</v>
      </c>
      <c r="U31" s="50">
        <v>9</v>
      </c>
      <c r="V31" s="50">
        <v>9</v>
      </c>
      <c r="W31" s="50">
        <v>9</v>
      </c>
      <c r="X31" s="50">
        <v>9</v>
      </c>
      <c r="Y31" s="50">
        <v>9</v>
      </c>
      <c r="Z31" s="50">
        <v>9</v>
      </c>
      <c r="AA31" s="50">
        <v>9</v>
      </c>
      <c r="AB31" s="50">
        <v>9</v>
      </c>
      <c r="AC31" s="50">
        <v>9</v>
      </c>
      <c r="AD31" s="50">
        <v>9</v>
      </c>
      <c r="AE31" s="50">
        <v>9</v>
      </c>
      <c r="AF31" s="50">
        <v>9</v>
      </c>
      <c r="AG31" s="178">
        <v>22</v>
      </c>
      <c r="AH31" s="54">
        <f>MAX(B31:AF31)</f>
        <v>9</v>
      </c>
      <c r="AI31" s="55">
        <f>MIN(B31:AF31)</f>
        <v>9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11</v>
      </c>
      <c r="C32" s="50">
        <v>11</v>
      </c>
      <c r="D32" s="50">
        <v>11</v>
      </c>
      <c r="E32" s="50">
        <v>11</v>
      </c>
      <c r="F32" s="50">
        <v>11</v>
      </c>
      <c r="G32" s="50">
        <v>11</v>
      </c>
      <c r="H32" s="50">
        <v>11</v>
      </c>
      <c r="I32" s="50">
        <v>11</v>
      </c>
      <c r="J32" s="50">
        <v>11</v>
      </c>
      <c r="K32" s="50">
        <v>11</v>
      </c>
      <c r="L32" s="50">
        <v>11</v>
      </c>
      <c r="M32" s="50">
        <v>11</v>
      </c>
      <c r="N32" s="50">
        <v>11</v>
      </c>
      <c r="O32" s="50">
        <v>11</v>
      </c>
      <c r="P32" s="50">
        <v>11</v>
      </c>
      <c r="Q32" s="50">
        <v>11</v>
      </c>
      <c r="R32" s="50">
        <v>11</v>
      </c>
      <c r="S32" s="50">
        <v>11</v>
      </c>
      <c r="T32" s="50">
        <v>11</v>
      </c>
      <c r="U32" s="50">
        <v>11</v>
      </c>
      <c r="V32" s="50">
        <v>11</v>
      </c>
      <c r="W32" s="50">
        <v>11</v>
      </c>
      <c r="X32" s="50">
        <v>11</v>
      </c>
      <c r="Y32" s="50">
        <v>11</v>
      </c>
      <c r="Z32" s="50">
        <v>6</v>
      </c>
      <c r="AA32" s="50">
        <v>12</v>
      </c>
      <c r="AB32" s="50">
        <v>12</v>
      </c>
      <c r="AC32" s="50">
        <v>12</v>
      </c>
      <c r="AD32" s="50">
        <v>12</v>
      </c>
      <c r="AE32" s="50">
        <v>12</v>
      </c>
      <c r="AF32" s="50">
        <v>12</v>
      </c>
      <c r="AG32" s="135">
        <v>11.88</v>
      </c>
      <c r="AH32" s="54">
        <f t="shared" si="2"/>
        <v>12</v>
      </c>
      <c r="AI32" s="55">
        <f t="shared" si="3"/>
        <v>6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11</v>
      </c>
      <c r="D33" s="50">
        <v>11</v>
      </c>
      <c r="E33" s="50">
        <v>11</v>
      </c>
      <c r="F33" s="50">
        <v>11</v>
      </c>
      <c r="G33" s="50">
        <v>11</v>
      </c>
      <c r="H33" s="50">
        <v>11</v>
      </c>
      <c r="I33" s="50">
        <v>11</v>
      </c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11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8</v>
      </c>
      <c r="C34" s="50">
        <v>8</v>
      </c>
      <c r="D34" s="50">
        <v>8</v>
      </c>
      <c r="E34" s="50">
        <v>8</v>
      </c>
      <c r="F34" s="50">
        <v>8</v>
      </c>
      <c r="G34" s="50">
        <v>8</v>
      </c>
      <c r="H34" s="50">
        <v>8</v>
      </c>
      <c r="I34" s="50">
        <v>8</v>
      </c>
      <c r="J34" s="50">
        <v>8</v>
      </c>
      <c r="K34" s="50">
        <v>8</v>
      </c>
      <c r="L34" s="50">
        <v>8</v>
      </c>
      <c r="M34" s="50">
        <v>8</v>
      </c>
      <c r="N34" s="50">
        <v>8</v>
      </c>
      <c r="O34" s="50">
        <v>8</v>
      </c>
      <c r="P34" s="50">
        <v>8</v>
      </c>
      <c r="Q34" s="50">
        <v>8</v>
      </c>
      <c r="R34" s="50">
        <v>8</v>
      </c>
      <c r="S34" s="50">
        <v>8</v>
      </c>
      <c r="T34" s="50">
        <v>8</v>
      </c>
      <c r="U34" s="50">
        <v>8</v>
      </c>
      <c r="V34" s="50">
        <v>8</v>
      </c>
      <c r="W34" s="50">
        <v>8</v>
      </c>
      <c r="X34" s="50">
        <v>8</v>
      </c>
      <c r="Y34" s="50">
        <v>8</v>
      </c>
      <c r="Z34" s="50">
        <v>8</v>
      </c>
      <c r="AA34" s="50">
        <v>8</v>
      </c>
      <c r="AB34" s="50">
        <v>8</v>
      </c>
      <c r="AC34" s="50">
        <v>8</v>
      </c>
      <c r="AD34" s="50">
        <v>8</v>
      </c>
      <c r="AE34" s="50">
        <v>8</v>
      </c>
      <c r="AF34" s="50">
        <v>8</v>
      </c>
      <c r="AG34" s="136">
        <v>10</v>
      </c>
      <c r="AH34" s="54">
        <f t="shared" si="2"/>
        <v>8</v>
      </c>
      <c r="AI34" s="55">
        <f t="shared" si="3"/>
        <v>8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4</v>
      </c>
      <c r="C35" s="50">
        <v>4</v>
      </c>
      <c r="D35" s="50">
        <v>4</v>
      </c>
      <c r="E35" s="50">
        <v>4</v>
      </c>
      <c r="F35" s="50">
        <v>4</v>
      </c>
      <c r="G35" s="50">
        <v>4</v>
      </c>
      <c r="H35" s="50">
        <v>4</v>
      </c>
      <c r="I35" s="50">
        <v>4</v>
      </c>
      <c r="J35" s="50">
        <v>4</v>
      </c>
      <c r="K35" s="50">
        <v>4</v>
      </c>
      <c r="L35" s="50">
        <v>4</v>
      </c>
      <c r="M35" s="50">
        <v>4</v>
      </c>
      <c r="N35" s="50">
        <v>4</v>
      </c>
      <c r="O35" s="50">
        <v>4</v>
      </c>
      <c r="P35" s="50">
        <v>4</v>
      </c>
      <c r="Q35" s="50">
        <v>4</v>
      </c>
      <c r="R35" s="50">
        <v>4</v>
      </c>
      <c r="S35" s="50">
        <v>4</v>
      </c>
      <c r="T35" s="50">
        <v>4</v>
      </c>
      <c r="U35" s="50">
        <v>4</v>
      </c>
      <c r="V35" s="50">
        <v>4</v>
      </c>
      <c r="W35" s="50">
        <v>4</v>
      </c>
      <c r="X35" s="50">
        <v>4</v>
      </c>
      <c r="Y35" s="50">
        <v>4</v>
      </c>
      <c r="Z35" s="50">
        <v>4</v>
      </c>
      <c r="AA35" s="50">
        <v>4</v>
      </c>
      <c r="AB35" s="50">
        <v>4</v>
      </c>
      <c r="AC35" s="50">
        <v>4</v>
      </c>
      <c r="AD35" s="50">
        <v>4</v>
      </c>
      <c r="AE35" s="50">
        <v>4</v>
      </c>
      <c r="AF35" s="50">
        <v>4</v>
      </c>
      <c r="AG35" s="136">
        <v>10</v>
      </c>
      <c r="AH35" s="54">
        <f t="shared" si="2"/>
        <v>4</v>
      </c>
      <c r="AI35" s="55">
        <f t="shared" si="3"/>
        <v>4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303</v>
      </c>
      <c r="C36" s="62">
        <v>303</v>
      </c>
      <c r="D36" s="62">
        <v>303</v>
      </c>
      <c r="E36" s="62">
        <v>303</v>
      </c>
      <c r="F36" s="62">
        <v>303</v>
      </c>
      <c r="G36" s="62">
        <v>303</v>
      </c>
      <c r="H36" s="62">
        <v>303</v>
      </c>
      <c r="I36" s="62">
        <v>303</v>
      </c>
      <c r="J36" s="62">
        <v>303</v>
      </c>
      <c r="K36" s="62">
        <v>303</v>
      </c>
      <c r="L36" s="62">
        <v>303</v>
      </c>
      <c r="M36" s="62">
        <v>303</v>
      </c>
      <c r="N36" s="62">
        <v>303</v>
      </c>
      <c r="O36" s="62">
        <v>303</v>
      </c>
      <c r="P36" s="62">
        <v>303</v>
      </c>
      <c r="Q36" s="62">
        <v>303</v>
      </c>
      <c r="R36" s="62">
        <v>303</v>
      </c>
      <c r="S36" s="62">
        <v>303</v>
      </c>
      <c r="T36" s="62">
        <v>303</v>
      </c>
      <c r="U36" s="62">
        <v>303</v>
      </c>
      <c r="V36" s="62">
        <v>303</v>
      </c>
      <c r="W36" s="62">
        <v>303</v>
      </c>
      <c r="X36" s="62">
        <v>303</v>
      </c>
      <c r="Y36" s="62">
        <v>303</v>
      </c>
      <c r="Z36" s="62">
        <v>303</v>
      </c>
      <c r="AA36" s="62">
        <v>303</v>
      </c>
      <c r="AB36" s="62">
        <v>303</v>
      </c>
      <c r="AC36" s="62">
        <v>303</v>
      </c>
      <c r="AD36" s="62">
        <v>303</v>
      </c>
      <c r="AE36" s="62">
        <v>303</v>
      </c>
      <c r="AF36" s="62">
        <v>303</v>
      </c>
      <c r="AG36" s="136">
        <v>85</v>
      </c>
      <c r="AH36" s="54">
        <f t="shared" si="2"/>
        <v>303</v>
      </c>
      <c r="AI36" s="55">
        <f t="shared" si="3"/>
        <v>303</v>
      </c>
      <c r="AK36" s="56"/>
    </row>
    <row r="37" spans="1:88" ht="15.75" thickBot="1" x14ac:dyDescent="0.3">
      <c r="A37" s="63" t="s">
        <v>21</v>
      </c>
      <c r="B37" s="64">
        <f>71.9+98.7</f>
        <v>170.60000000000002</v>
      </c>
      <c r="C37" s="64">
        <f>72.2+97.3</f>
        <v>169.5</v>
      </c>
      <c r="D37" s="64">
        <f t="shared" ref="D37:L37" si="4">72+99</f>
        <v>171</v>
      </c>
      <c r="E37" s="64">
        <f t="shared" si="4"/>
        <v>171</v>
      </c>
      <c r="F37" s="64">
        <f t="shared" si="4"/>
        <v>171</v>
      </c>
      <c r="G37" s="64">
        <f t="shared" si="4"/>
        <v>171</v>
      </c>
      <c r="H37" s="64">
        <f t="shared" si="4"/>
        <v>171</v>
      </c>
      <c r="I37" s="64">
        <f t="shared" si="4"/>
        <v>171</v>
      </c>
      <c r="J37" s="64">
        <f t="shared" si="4"/>
        <v>171</v>
      </c>
      <c r="K37" s="64">
        <f t="shared" si="4"/>
        <v>171</v>
      </c>
      <c r="L37" s="64">
        <f t="shared" si="4"/>
        <v>171</v>
      </c>
      <c r="M37" s="64">
        <f>71.5+97.8</f>
        <v>169.3</v>
      </c>
      <c r="N37" s="64">
        <f>71.7+98</f>
        <v>169.7</v>
      </c>
      <c r="O37" s="64">
        <f>71.7+97.4</f>
        <v>169.10000000000002</v>
      </c>
      <c r="P37" s="64">
        <f>72+98.4</f>
        <v>170.4</v>
      </c>
      <c r="Q37" s="64">
        <f>47.6+97.5</f>
        <v>145.1</v>
      </c>
      <c r="R37" s="64">
        <f>47.6+97.5</f>
        <v>145.1</v>
      </c>
      <c r="S37" s="64">
        <v>145.1</v>
      </c>
      <c r="T37" s="64">
        <v>145.1</v>
      </c>
      <c r="U37" s="64">
        <f>73.1+98.2</f>
        <v>171.3</v>
      </c>
      <c r="V37" s="64">
        <f>73.1+98.2</f>
        <v>171.3</v>
      </c>
      <c r="W37" s="64">
        <f>73.1+98.2</f>
        <v>171.3</v>
      </c>
      <c r="X37" s="64">
        <f>73.1+98.2</f>
        <v>171.3</v>
      </c>
      <c r="Y37" s="64">
        <f>98+57.4</f>
        <v>155.4</v>
      </c>
      <c r="Z37" s="64">
        <f>72.1+96.2</f>
        <v>168.3</v>
      </c>
      <c r="AA37" s="64">
        <v>168.3</v>
      </c>
      <c r="AB37" s="64">
        <f>71.9+96.5</f>
        <v>168.4</v>
      </c>
      <c r="AC37" s="64">
        <f>72.2+96.9</f>
        <v>169.10000000000002</v>
      </c>
      <c r="AD37" s="64">
        <f>72.8+97.4</f>
        <v>170.2</v>
      </c>
      <c r="AE37" s="64">
        <f>72.3+98.4</f>
        <v>170.7</v>
      </c>
      <c r="AF37" s="64">
        <f>72.6+96</f>
        <v>168.6</v>
      </c>
      <c r="AG37" s="136">
        <v>240</v>
      </c>
      <c r="AH37" s="54">
        <f t="shared" si="2"/>
        <v>171.3</v>
      </c>
      <c r="AI37" s="55">
        <f t="shared" si="3"/>
        <v>145.1</v>
      </c>
      <c r="AK37" s="56"/>
    </row>
    <row r="38" spans="1:88" ht="15.75" thickBot="1" x14ac:dyDescent="0.3">
      <c r="A38" s="131" t="s">
        <v>22</v>
      </c>
      <c r="B38" s="66">
        <f t="shared" ref="B38:AG38" si="5">SUM(B11:B36)</f>
        <v>777.4</v>
      </c>
      <c r="C38" s="66">
        <f t="shared" si="5"/>
        <v>786</v>
      </c>
      <c r="D38" s="66">
        <f t="shared" si="5"/>
        <v>787.6</v>
      </c>
      <c r="E38" s="66">
        <f t="shared" si="5"/>
        <v>787.6</v>
      </c>
      <c r="F38" s="66">
        <f t="shared" si="5"/>
        <v>787.6</v>
      </c>
      <c r="G38" s="66">
        <f t="shared" si="5"/>
        <v>787.6</v>
      </c>
      <c r="H38" s="66">
        <f t="shared" si="5"/>
        <v>787.6</v>
      </c>
      <c r="I38" s="66">
        <f t="shared" si="5"/>
        <v>787.6</v>
      </c>
      <c r="J38" s="66">
        <f t="shared" si="5"/>
        <v>787.6</v>
      </c>
      <c r="K38" s="66">
        <f t="shared" si="5"/>
        <v>787.6</v>
      </c>
      <c r="L38" s="66">
        <f t="shared" si="5"/>
        <v>787.6</v>
      </c>
      <c r="M38" s="66">
        <f t="shared" si="5"/>
        <v>734</v>
      </c>
      <c r="N38" s="66">
        <f t="shared" si="5"/>
        <v>787.90000000000009</v>
      </c>
      <c r="O38" s="66">
        <f t="shared" si="5"/>
        <v>787.90000000000009</v>
      </c>
      <c r="P38" s="66">
        <f t="shared" si="5"/>
        <v>787.8</v>
      </c>
      <c r="Q38" s="66">
        <f t="shared" si="5"/>
        <v>787.8</v>
      </c>
      <c r="R38" s="66">
        <f t="shared" si="5"/>
        <v>787.8</v>
      </c>
      <c r="S38" s="66">
        <f t="shared" si="5"/>
        <v>825.30000000000007</v>
      </c>
      <c r="T38" s="66">
        <f t="shared" si="5"/>
        <v>825.30000000000007</v>
      </c>
      <c r="U38" s="66">
        <f t="shared" si="5"/>
        <v>825.30000000000007</v>
      </c>
      <c r="V38" s="66">
        <f t="shared" si="5"/>
        <v>787.30000000000007</v>
      </c>
      <c r="W38" s="66">
        <f t="shared" si="5"/>
        <v>787.30000000000007</v>
      </c>
      <c r="X38" s="66">
        <f t="shared" si="5"/>
        <v>787.30000000000007</v>
      </c>
      <c r="Y38" s="66">
        <f t="shared" si="5"/>
        <v>787.30000000000007</v>
      </c>
      <c r="Z38" s="66">
        <f t="shared" si="5"/>
        <v>752</v>
      </c>
      <c r="AA38" s="66">
        <f t="shared" si="5"/>
        <v>792</v>
      </c>
      <c r="AB38" s="66">
        <f t="shared" si="5"/>
        <v>799.2</v>
      </c>
      <c r="AC38" s="66">
        <f t="shared" si="5"/>
        <v>799</v>
      </c>
      <c r="AD38" s="66">
        <f t="shared" si="5"/>
        <v>799.2</v>
      </c>
      <c r="AE38" s="66">
        <f t="shared" si="5"/>
        <v>795.7</v>
      </c>
      <c r="AF38" s="66">
        <f t="shared" si="5"/>
        <v>806.5</v>
      </c>
      <c r="AG38" s="143">
        <f t="shared" si="5"/>
        <v>665.78</v>
      </c>
      <c r="AH38" s="54">
        <f t="shared" si="2"/>
        <v>825.30000000000007</v>
      </c>
      <c r="AI38" s="55">
        <f t="shared" si="3"/>
        <v>734</v>
      </c>
      <c r="AK38" s="56"/>
    </row>
    <row r="39" spans="1:88" x14ac:dyDescent="0.25">
      <c r="A39" s="159" t="s">
        <v>130</v>
      </c>
      <c r="B39" s="50">
        <v>330</v>
      </c>
      <c r="C39" s="50">
        <v>400</v>
      </c>
      <c r="D39" s="50">
        <v>400</v>
      </c>
      <c r="E39" s="50">
        <v>456</v>
      </c>
      <c r="F39" s="50">
        <v>456</v>
      </c>
      <c r="G39" s="50">
        <v>456</v>
      </c>
      <c r="H39" s="50">
        <v>456</v>
      </c>
      <c r="I39" s="50">
        <v>456</v>
      </c>
      <c r="J39" s="50">
        <v>456</v>
      </c>
      <c r="K39" s="50">
        <v>456</v>
      </c>
      <c r="L39" s="50">
        <v>456</v>
      </c>
      <c r="M39" s="50">
        <v>456</v>
      </c>
      <c r="N39" s="50">
        <v>456</v>
      </c>
      <c r="O39" s="50">
        <v>456</v>
      </c>
      <c r="P39" s="50">
        <v>456</v>
      </c>
      <c r="Q39" s="50">
        <v>456</v>
      </c>
      <c r="R39" s="50">
        <v>456</v>
      </c>
      <c r="S39" s="50">
        <v>456</v>
      </c>
      <c r="T39" s="50">
        <v>456</v>
      </c>
      <c r="U39" s="50">
        <v>456</v>
      </c>
      <c r="V39" s="50">
        <v>456</v>
      </c>
      <c r="W39" s="50">
        <v>456</v>
      </c>
      <c r="X39" s="50">
        <v>456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380</v>
      </c>
      <c r="AF39" s="50">
        <v>456</v>
      </c>
      <c r="AG39" s="135">
        <v>456</v>
      </c>
      <c r="AH39" s="54">
        <f t="shared" si="2"/>
        <v>456</v>
      </c>
      <c r="AI39" s="55">
        <f t="shared" si="3"/>
        <v>330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f t="shared" ref="B42" si="6">SUM(B39:B41)</f>
        <v>412</v>
      </c>
      <c r="C42" s="66">
        <f t="shared" ref="C42:AG42" si="7">SUM(C39:C41)</f>
        <v>482</v>
      </c>
      <c r="D42" s="66">
        <f t="shared" si="7"/>
        <v>482</v>
      </c>
      <c r="E42" s="66">
        <f t="shared" si="7"/>
        <v>538</v>
      </c>
      <c r="F42" s="66">
        <f t="shared" si="7"/>
        <v>538</v>
      </c>
      <c r="G42" s="66">
        <f t="shared" si="7"/>
        <v>538</v>
      </c>
      <c r="H42" s="66">
        <f t="shared" si="7"/>
        <v>538</v>
      </c>
      <c r="I42" s="66">
        <f t="shared" si="7"/>
        <v>538</v>
      </c>
      <c r="J42" s="66">
        <f t="shared" si="7"/>
        <v>538</v>
      </c>
      <c r="K42" s="66">
        <f t="shared" si="7"/>
        <v>538</v>
      </c>
      <c r="L42" s="66">
        <f t="shared" si="7"/>
        <v>538</v>
      </c>
      <c r="M42" s="66">
        <f t="shared" si="7"/>
        <v>538</v>
      </c>
      <c r="N42" s="66">
        <f t="shared" si="7"/>
        <v>538</v>
      </c>
      <c r="O42" s="66">
        <f t="shared" si="7"/>
        <v>538</v>
      </c>
      <c r="P42" s="66">
        <f t="shared" si="7"/>
        <v>538</v>
      </c>
      <c r="Q42" s="66">
        <f t="shared" si="7"/>
        <v>538</v>
      </c>
      <c r="R42" s="66">
        <f t="shared" si="7"/>
        <v>538</v>
      </c>
      <c r="S42" s="66">
        <f t="shared" si="7"/>
        <v>538</v>
      </c>
      <c r="T42" s="66">
        <f t="shared" si="7"/>
        <v>538</v>
      </c>
      <c r="U42" s="66">
        <f t="shared" si="7"/>
        <v>538</v>
      </c>
      <c r="V42" s="66">
        <f t="shared" si="7"/>
        <v>538</v>
      </c>
      <c r="W42" s="66">
        <f t="shared" si="7"/>
        <v>538</v>
      </c>
      <c r="X42" s="66">
        <f t="shared" si="7"/>
        <v>538</v>
      </c>
      <c r="Y42" s="66">
        <f t="shared" si="7"/>
        <v>538</v>
      </c>
      <c r="Z42" s="66">
        <f t="shared" si="7"/>
        <v>538</v>
      </c>
      <c r="AA42" s="66">
        <f t="shared" si="7"/>
        <v>538</v>
      </c>
      <c r="AB42" s="66">
        <f t="shared" si="7"/>
        <v>538</v>
      </c>
      <c r="AC42" s="66">
        <f t="shared" si="7"/>
        <v>538</v>
      </c>
      <c r="AD42" s="66">
        <f t="shared" si="7"/>
        <v>538</v>
      </c>
      <c r="AE42" s="66">
        <f t="shared" si="7"/>
        <v>462</v>
      </c>
      <c r="AF42" s="66">
        <f t="shared" si="7"/>
        <v>538</v>
      </c>
      <c r="AG42" s="143">
        <f t="shared" si="7"/>
        <v>538.1</v>
      </c>
      <c r="AH42" s="54">
        <f t="shared" si="2"/>
        <v>538</v>
      </c>
      <c r="AI42" s="55">
        <f t="shared" si="3"/>
        <v>412</v>
      </c>
      <c r="AK42" s="56"/>
    </row>
    <row r="43" spans="1:88" x14ac:dyDescent="0.25">
      <c r="A43" s="57" t="s">
        <v>23</v>
      </c>
      <c r="B43" s="50">
        <v>142.4</v>
      </c>
      <c r="C43" s="50">
        <v>135.30000000000001</v>
      </c>
      <c r="D43" s="50">
        <v>134.9</v>
      </c>
      <c r="E43" s="50">
        <v>74</v>
      </c>
      <c r="F43" s="50">
        <v>74</v>
      </c>
      <c r="G43" s="50">
        <v>74</v>
      </c>
      <c r="H43" s="50">
        <v>74</v>
      </c>
      <c r="I43" s="50">
        <v>73</v>
      </c>
      <c r="J43" s="50">
        <v>85</v>
      </c>
      <c r="K43" s="50">
        <v>139</v>
      </c>
      <c r="L43" s="50">
        <v>140</v>
      </c>
      <c r="M43" s="50">
        <v>139.9</v>
      </c>
      <c r="N43" s="50">
        <v>139.6</v>
      </c>
      <c r="O43" s="50">
        <v>139.6</v>
      </c>
      <c r="P43" s="50">
        <v>139.6</v>
      </c>
      <c r="Q43" s="50">
        <v>139.6</v>
      </c>
      <c r="R43" s="50">
        <v>139.6</v>
      </c>
      <c r="S43" s="50">
        <v>141.30000000000001</v>
      </c>
      <c r="T43" s="50">
        <v>141.30000000000001</v>
      </c>
      <c r="U43" s="50">
        <v>141.30000000000001</v>
      </c>
      <c r="V43" s="50">
        <v>141.30000000000001</v>
      </c>
      <c r="W43" s="50">
        <v>141.30000000000001</v>
      </c>
      <c r="X43" s="50">
        <v>141.30000000000001</v>
      </c>
      <c r="Y43" s="50">
        <v>141.30000000000001</v>
      </c>
      <c r="Z43" s="50">
        <v>141.30000000000001</v>
      </c>
      <c r="AA43" s="50">
        <v>141.30000000000001</v>
      </c>
      <c r="AB43" s="50">
        <v>140.9</v>
      </c>
      <c r="AC43" s="50">
        <v>141.19999999999999</v>
      </c>
      <c r="AD43" s="50">
        <v>141.4</v>
      </c>
      <c r="AE43" s="50">
        <v>141.9</v>
      </c>
      <c r="AF43" s="50">
        <v>142.1</v>
      </c>
      <c r="AG43" s="135">
        <v>144</v>
      </c>
      <c r="AH43" s="54">
        <f t="shared" si="2"/>
        <v>142.4</v>
      </c>
      <c r="AI43" s="55">
        <f t="shared" si="3"/>
        <v>73</v>
      </c>
      <c r="AK43" s="56"/>
    </row>
    <row r="44" spans="1:88" x14ac:dyDescent="0.25">
      <c r="A44" s="60" t="s">
        <v>24</v>
      </c>
      <c r="B44" s="48">
        <v>72</v>
      </c>
      <c r="C44" s="48">
        <v>72.599999999999994</v>
      </c>
      <c r="D44" s="48">
        <v>70.2</v>
      </c>
      <c r="E44" s="48">
        <v>72</v>
      </c>
      <c r="F44" s="48">
        <v>60</v>
      </c>
      <c r="G44" s="48">
        <v>60</v>
      </c>
      <c r="H44" s="48">
        <v>70</v>
      </c>
      <c r="I44" s="48">
        <v>60</v>
      </c>
      <c r="J44" s="48">
        <v>55</v>
      </c>
      <c r="K44" s="48">
        <v>72</v>
      </c>
      <c r="L44" s="48">
        <v>73</v>
      </c>
      <c r="M44" s="50">
        <v>72.900000000000006</v>
      </c>
      <c r="N44" s="50">
        <v>72.900000000000006</v>
      </c>
      <c r="O44" s="50">
        <v>72.900000000000006</v>
      </c>
      <c r="P44" s="50">
        <v>72.900000000000006</v>
      </c>
      <c r="Q44" s="50">
        <v>72.900000000000006</v>
      </c>
      <c r="R44" s="50">
        <v>72.900000000000006</v>
      </c>
      <c r="S44" s="50">
        <v>72.900000000000006</v>
      </c>
      <c r="T44" s="50">
        <v>70.7</v>
      </c>
      <c r="U44" s="50">
        <v>70.7</v>
      </c>
      <c r="V44" s="50">
        <v>70.7</v>
      </c>
      <c r="W44" s="50">
        <v>70.7</v>
      </c>
      <c r="X44" s="50">
        <v>70.7</v>
      </c>
      <c r="Y44" s="50">
        <v>70.7</v>
      </c>
      <c r="Z44" s="50">
        <v>70.7</v>
      </c>
      <c r="AA44" s="48">
        <v>70.7</v>
      </c>
      <c r="AB44" s="48">
        <v>70.400000000000006</v>
      </c>
      <c r="AC44" s="48">
        <v>71.900000000000006</v>
      </c>
      <c r="AD44" s="48">
        <v>71.7</v>
      </c>
      <c r="AE44" s="48">
        <v>71.900000000000006</v>
      </c>
      <c r="AF44" s="48">
        <v>72.2</v>
      </c>
      <c r="AG44" s="136">
        <v>70</v>
      </c>
      <c r="AH44" s="54">
        <f t="shared" si="2"/>
        <v>73</v>
      </c>
      <c r="AI44" s="55">
        <f t="shared" si="3"/>
        <v>55</v>
      </c>
      <c r="AK44" s="56"/>
    </row>
    <row r="45" spans="1:88" x14ac:dyDescent="0.25">
      <c r="A45" s="60" t="s">
        <v>25</v>
      </c>
      <c r="B45" s="48">
        <v>62.6</v>
      </c>
      <c r="C45" s="48">
        <v>62.3</v>
      </c>
      <c r="D45" s="48">
        <v>62.3</v>
      </c>
      <c r="E45" s="48">
        <v>62.8</v>
      </c>
      <c r="F45" s="48">
        <v>52</v>
      </c>
      <c r="G45" s="48">
        <v>60</v>
      </c>
      <c r="H45" s="48">
        <v>60</v>
      </c>
      <c r="I45" s="48">
        <v>63</v>
      </c>
      <c r="J45" s="48">
        <v>63.9</v>
      </c>
      <c r="K45" s="48">
        <v>62</v>
      </c>
      <c r="L45" s="48">
        <v>62.8</v>
      </c>
      <c r="M45" s="50">
        <v>63</v>
      </c>
      <c r="N45" s="50">
        <v>63</v>
      </c>
      <c r="O45" s="50">
        <v>63</v>
      </c>
      <c r="P45" s="50">
        <v>63</v>
      </c>
      <c r="Q45" s="50">
        <v>63</v>
      </c>
      <c r="R45" s="50">
        <v>63</v>
      </c>
      <c r="S45" s="50">
        <v>63</v>
      </c>
      <c r="T45" s="50">
        <v>63</v>
      </c>
      <c r="U45" s="50">
        <v>63</v>
      </c>
      <c r="V45" s="50">
        <v>63</v>
      </c>
      <c r="W45" s="50">
        <v>63</v>
      </c>
      <c r="X45" s="50">
        <v>63</v>
      </c>
      <c r="Y45" s="50">
        <v>63</v>
      </c>
      <c r="Z45" s="50">
        <v>63</v>
      </c>
      <c r="AA45" s="48">
        <v>63</v>
      </c>
      <c r="AB45" s="48">
        <v>63</v>
      </c>
      <c r="AC45" s="48">
        <v>63</v>
      </c>
      <c r="AD45" s="48">
        <v>62.3</v>
      </c>
      <c r="AE45" s="48">
        <v>62.5</v>
      </c>
      <c r="AF45" s="48">
        <v>62.9</v>
      </c>
      <c r="AG45" s="136">
        <v>69</v>
      </c>
      <c r="AH45" s="54">
        <f t="shared" si="2"/>
        <v>63.9</v>
      </c>
      <c r="AI45" s="55">
        <f t="shared" si="3"/>
        <v>52</v>
      </c>
      <c r="AK45" s="56"/>
    </row>
    <row r="46" spans="1:88" x14ac:dyDescent="0.25">
      <c r="A46" s="60" t="s">
        <v>26</v>
      </c>
      <c r="B46" s="62">
        <v>60.2</v>
      </c>
      <c r="C46" s="62">
        <v>45</v>
      </c>
      <c r="D46" s="62">
        <v>51</v>
      </c>
      <c r="E46" s="62">
        <v>41</v>
      </c>
      <c r="F46" s="62">
        <v>41</v>
      </c>
      <c r="G46" s="62">
        <v>51</v>
      </c>
      <c r="H46" s="62">
        <v>51</v>
      </c>
      <c r="I46" s="62">
        <v>41</v>
      </c>
      <c r="J46" s="62">
        <v>42</v>
      </c>
      <c r="K46" s="62">
        <v>52</v>
      </c>
      <c r="L46" s="62">
        <v>61</v>
      </c>
      <c r="M46" s="50">
        <v>61.4</v>
      </c>
      <c r="N46" s="50">
        <v>61.4</v>
      </c>
      <c r="O46" s="50">
        <v>61.4</v>
      </c>
      <c r="P46" s="50">
        <v>61.4</v>
      </c>
      <c r="Q46" s="50">
        <v>61.4</v>
      </c>
      <c r="R46" s="50">
        <v>61.4</v>
      </c>
      <c r="S46" s="50">
        <v>61.4</v>
      </c>
      <c r="T46" s="50">
        <v>60.7</v>
      </c>
      <c r="U46" s="50">
        <v>60.7</v>
      </c>
      <c r="V46" s="50">
        <v>60.7</v>
      </c>
      <c r="W46" s="50">
        <v>60.7</v>
      </c>
      <c r="X46" s="50">
        <v>0</v>
      </c>
      <c r="Y46" s="50">
        <v>0</v>
      </c>
      <c r="Z46" s="50">
        <v>60.7</v>
      </c>
      <c r="AA46" s="48">
        <v>60.7</v>
      </c>
      <c r="AB46" s="48">
        <v>60.7</v>
      </c>
      <c r="AC46" s="62">
        <v>60.7</v>
      </c>
      <c r="AD46" s="62">
        <v>60.7</v>
      </c>
      <c r="AE46" s="62">
        <v>60.7</v>
      </c>
      <c r="AF46" s="62">
        <v>60.7</v>
      </c>
      <c r="AG46" s="136">
        <v>60</v>
      </c>
      <c r="AH46" s="54">
        <f t="shared" si="2"/>
        <v>61.4</v>
      </c>
      <c r="AI46" s="55">
        <f t="shared" si="3"/>
        <v>0</v>
      </c>
      <c r="AK46" s="56"/>
    </row>
    <row r="47" spans="1:88" x14ac:dyDescent="0.25">
      <c r="A47" s="60" t="s">
        <v>27</v>
      </c>
      <c r="B47" s="62">
        <v>28.9</v>
      </c>
      <c r="C47" s="62">
        <v>28.2</v>
      </c>
      <c r="D47" s="62">
        <v>28.2</v>
      </c>
      <c r="E47" s="62">
        <v>28</v>
      </c>
      <c r="F47" s="62">
        <v>28</v>
      </c>
      <c r="G47" s="62">
        <v>28</v>
      </c>
      <c r="H47" s="62">
        <v>28</v>
      </c>
      <c r="I47" s="62">
        <v>28</v>
      </c>
      <c r="J47" s="62">
        <v>28</v>
      </c>
      <c r="K47" s="62">
        <v>28</v>
      </c>
      <c r="L47" s="62">
        <v>28</v>
      </c>
      <c r="M47" s="50">
        <v>28</v>
      </c>
      <c r="N47" s="50">
        <v>28</v>
      </c>
      <c r="O47" s="50">
        <v>28</v>
      </c>
      <c r="P47" s="50">
        <v>28</v>
      </c>
      <c r="Q47" s="50">
        <v>28</v>
      </c>
      <c r="R47" s="50">
        <v>28</v>
      </c>
      <c r="S47" s="50">
        <v>28</v>
      </c>
      <c r="T47" s="50">
        <v>28</v>
      </c>
      <c r="U47" s="50">
        <v>28</v>
      </c>
      <c r="V47" s="50">
        <v>28</v>
      </c>
      <c r="W47" s="50">
        <v>28</v>
      </c>
      <c r="X47" s="50">
        <v>28</v>
      </c>
      <c r="Y47" s="50">
        <v>0</v>
      </c>
      <c r="Z47" s="50">
        <v>0</v>
      </c>
      <c r="AA47" s="48">
        <v>30</v>
      </c>
      <c r="AB47" s="48">
        <v>30</v>
      </c>
      <c r="AC47" s="62">
        <v>29</v>
      </c>
      <c r="AD47" s="62">
        <v>28.8</v>
      </c>
      <c r="AE47" s="62">
        <v>28.8</v>
      </c>
      <c r="AF47" s="62">
        <v>28.7</v>
      </c>
      <c r="AG47" s="136">
        <v>30</v>
      </c>
      <c r="AH47" s="54">
        <f t="shared" si="2"/>
        <v>30</v>
      </c>
      <c r="AI47" s="55">
        <f t="shared" si="3"/>
        <v>0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48">
        <v>0</v>
      </c>
      <c r="M48" s="50">
        <v>0</v>
      </c>
      <c r="N48" s="50">
        <v>0</v>
      </c>
      <c r="O48" s="50">
        <v>0</v>
      </c>
      <c r="P48" s="50">
        <v>0</v>
      </c>
      <c r="Q48" s="50">
        <v>0</v>
      </c>
      <c r="R48" s="50">
        <v>0</v>
      </c>
      <c r="S48" s="50">
        <v>8</v>
      </c>
      <c r="T48" s="50">
        <v>8</v>
      </c>
      <c r="U48" s="50">
        <v>8</v>
      </c>
      <c r="V48" s="50">
        <v>8</v>
      </c>
      <c r="W48" s="50">
        <v>8</v>
      </c>
      <c r="X48" s="50">
        <v>8</v>
      </c>
      <c r="Y48" s="50">
        <v>8</v>
      </c>
      <c r="Z48" s="50">
        <v>0</v>
      </c>
      <c r="AA48" s="50">
        <v>0</v>
      </c>
      <c r="AB48" s="50">
        <v>0</v>
      </c>
      <c r="AC48" s="48">
        <v>0</v>
      </c>
      <c r="AD48" s="48">
        <v>0</v>
      </c>
      <c r="AE48" s="48">
        <v>0</v>
      </c>
      <c r="AF48" s="48">
        <v>0</v>
      </c>
      <c r="AG48" s="136">
        <v>25</v>
      </c>
      <c r="AH48" s="54">
        <f t="shared" si="2"/>
        <v>8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16.8</v>
      </c>
      <c r="C49" s="48">
        <v>16.8</v>
      </c>
      <c r="D49" s="48">
        <v>16.8</v>
      </c>
      <c r="E49" s="48">
        <v>16.8</v>
      </c>
      <c r="F49" s="48">
        <v>16.8</v>
      </c>
      <c r="G49" s="48">
        <v>16.8</v>
      </c>
      <c r="H49" s="48">
        <v>16.8</v>
      </c>
      <c r="I49" s="48">
        <v>16.8</v>
      </c>
      <c r="J49" s="48">
        <v>16.8</v>
      </c>
      <c r="K49" s="48">
        <v>16.8</v>
      </c>
      <c r="L49" s="48">
        <v>16.8</v>
      </c>
      <c r="M49" s="50">
        <v>16.8</v>
      </c>
      <c r="N49" s="50">
        <v>16.8</v>
      </c>
      <c r="O49" s="50">
        <v>16.8</v>
      </c>
      <c r="P49" s="50">
        <v>16.8</v>
      </c>
      <c r="Q49" s="50">
        <v>16.8</v>
      </c>
      <c r="R49" s="50">
        <v>16.8</v>
      </c>
      <c r="S49" s="50">
        <v>16.8</v>
      </c>
      <c r="T49" s="50">
        <v>15.8</v>
      </c>
      <c r="U49" s="50">
        <v>15.8</v>
      </c>
      <c r="V49" s="50">
        <v>15.8</v>
      </c>
      <c r="W49" s="50">
        <v>15.8</v>
      </c>
      <c r="X49" s="50">
        <v>15.8</v>
      </c>
      <c r="Y49" s="50">
        <v>15.8</v>
      </c>
      <c r="Z49" s="50">
        <v>15.8</v>
      </c>
      <c r="AA49" s="50">
        <v>15.8</v>
      </c>
      <c r="AB49" s="50">
        <v>15.8</v>
      </c>
      <c r="AC49" s="48">
        <v>17.2</v>
      </c>
      <c r="AD49" s="48">
        <v>17.2</v>
      </c>
      <c r="AE49" s="48">
        <v>17.3</v>
      </c>
      <c r="AF49" s="48">
        <v>17.2</v>
      </c>
      <c r="AG49" s="136">
        <v>24</v>
      </c>
      <c r="AH49" s="54">
        <f t="shared" si="2"/>
        <v>17.3</v>
      </c>
      <c r="AI49" s="55">
        <f t="shared" si="3"/>
        <v>15.8</v>
      </c>
      <c r="AK49" s="56"/>
    </row>
    <row r="50" spans="1:41" x14ac:dyDescent="0.25">
      <c r="A50" s="60" t="s">
        <v>30</v>
      </c>
      <c r="B50" s="48">
        <v>2.5</v>
      </c>
      <c r="C50" s="48">
        <v>2.5</v>
      </c>
      <c r="D50" s="48">
        <v>2.5</v>
      </c>
      <c r="E50" s="48">
        <v>2.5</v>
      </c>
      <c r="F50" s="48">
        <v>2.5</v>
      </c>
      <c r="G50" s="48">
        <v>2.5</v>
      </c>
      <c r="H50" s="48">
        <v>2.5</v>
      </c>
      <c r="I50" s="48">
        <v>2.5</v>
      </c>
      <c r="J50" s="48">
        <v>2.5</v>
      </c>
      <c r="K50" s="48">
        <v>2.5</v>
      </c>
      <c r="L50" s="48">
        <v>2.5</v>
      </c>
      <c r="M50" s="50">
        <v>2.5</v>
      </c>
      <c r="N50" s="50">
        <v>2.5</v>
      </c>
      <c r="O50" s="50">
        <v>2.5</v>
      </c>
      <c r="P50" s="50">
        <v>2.5</v>
      </c>
      <c r="Q50" s="50">
        <v>2.5</v>
      </c>
      <c r="R50" s="50">
        <v>2.5</v>
      </c>
      <c r="S50" s="50">
        <v>0</v>
      </c>
      <c r="T50" s="50">
        <v>2.5</v>
      </c>
      <c r="U50" s="50">
        <v>2.5</v>
      </c>
      <c r="V50" s="50">
        <v>2.5</v>
      </c>
      <c r="W50" s="50">
        <v>2.5</v>
      </c>
      <c r="X50" s="50">
        <v>2.5</v>
      </c>
      <c r="Y50" s="50">
        <v>2.5</v>
      </c>
      <c r="Z50" s="50">
        <v>2.5</v>
      </c>
      <c r="AA50" s="50">
        <v>2.5</v>
      </c>
      <c r="AB50" s="50">
        <v>2.5</v>
      </c>
      <c r="AC50" s="48">
        <v>2.5</v>
      </c>
      <c r="AD50" s="48">
        <v>2.5</v>
      </c>
      <c r="AE50" s="48">
        <v>2.5</v>
      </c>
      <c r="AF50" s="48">
        <v>2.5</v>
      </c>
      <c r="AG50" s="136">
        <v>15</v>
      </c>
      <c r="AH50" s="54">
        <f t="shared" si="2"/>
        <v>2.5</v>
      </c>
      <c r="AI50" s="55">
        <f t="shared" si="3"/>
        <v>0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12.4</v>
      </c>
      <c r="C51" s="48">
        <v>12.5</v>
      </c>
      <c r="D51" s="48">
        <v>12.6</v>
      </c>
      <c r="E51" s="48">
        <v>12.6</v>
      </c>
      <c r="F51" s="48">
        <v>12.6</v>
      </c>
      <c r="G51" s="48">
        <v>12.6</v>
      </c>
      <c r="H51" s="48">
        <v>12.6</v>
      </c>
      <c r="I51" s="48">
        <v>12.6</v>
      </c>
      <c r="J51" s="48">
        <v>12.6</v>
      </c>
      <c r="K51" s="48">
        <v>12.6</v>
      </c>
      <c r="L51" s="48">
        <v>12.6</v>
      </c>
      <c r="M51" s="48">
        <v>12.6</v>
      </c>
      <c r="N51" s="48">
        <v>12.6</v>
      </c>
      <c r="O51" s="48">
        <v>12.6</v>
      </c>
      <c r="P51" s="48">
        <v>12.6</v>
      </c>
      <c r="Q51" s="48">
        <v>12.6</v>
      </c>
      <c r="R51" s="48">
        <v>12.6</v>
      </c>
      <c r="S51" s="48">
        <v>12.6</v>
      </c>
      <c r="T51" s="48">
        <v>10.6</v>
      </c>
      <c r="U51" s="48">
        <v>10.6</v>
      </c>
      <c r="V51" s="48">
        <v>10.6</v>
      </c>
      <c r="W51" s="48">
        <v>10.6</v>
      </c>
      <c r="X51" s="48">
        <v>10.6</v>
      </c>
      <c r="Y51" s="48">
        <v>10.6</v>
      </c>
      <c r="Z51" s="48">
        <v>10.6</v>
      </c>
      <c r="AA51" s="50">
        <v>10.6</v>
      </c>
      <c r="AB51" s="50">
        <v>10.6</v>
      </c>
      <c r="AC51" s="48">
        <v>11.7</v>
      </c>
      <c r="AD51" s="48">
        <v>11</v>
      </c>
      <c r="AE51" s="48">
        <v>11.5</v>
      </c>
      <c r="AF51" s="48">
        <v>11.9</v>
      </c>
      <c r="AG51" s="136">
        <v>14.1</v>
      </c>
      <c r="AH51" s="54">
        <f t="shared" si="2"/>
        <v>12.6</v>
      </c>
      <c r="AI51" s="55">
        <f t="shared" si="3"/>
        <v>10.6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11.2</v>
      </c>
      <c r="C52" s="48">
        <v>10</v>
      </c>
      <c r="D52" s="48">
        <v>4.7</v>
      </c>
      <c r="E52" s="48">
        <v>4.7</v>
      </c>
      <c r="F52" s="48">
        <v>4.7</v>
      </c>
      <c r="G52" s="48">
        <v>4.7</v>
      </c>
      <c r="H52" s="48">
        <v>4.7</v>
      </c>
      <c r="I52" s="48">
        <v>4.7</v>
      </c>
      <c r="J52" s="48">
        <v>4.7</v>
      </c>
      <c r="K52" s="48">
        <v>4.7</v>
      </c>
      <c r="L52" s="48">
        <v>4.7</v>
      </c>
      <c r="M52" s="48">
        <v>4.7</v>
      </c>
      <c r="N52" s="48">
        <v>4.7</v>
      </c>
      <c r="O52" s="48">
        <v>4.7</v>
      </c>
      <c r="P52" s="48">
        <v>4.7</v>
      </c>
      <c r="Q52" s="48">
        <v>4.7</v>
      </c>
      <c r="R52" s="48">
        <v>4.7</v>
      </c>
      <c r="S52" s="48">
        <v>6.9</v>
      </c>
      <c r="T52" s="48">
        <v>6.9</v>
      </c>
      <c r="U52" s="48">
        <v>6.9</v>
      </c>
      <c r="V52" s="48">
        <v>6.9</v>
      </c>
      <c r="W52" s="48">
        <v>6.9</v>
      </c>
      <c r="X52" s="48">
        <v>6.9</v>
      </c>
      <c r="Y52" s="48">
        <v>6.9</v>
      </c>
      <c r="Z52" s="48">
        <v>0</v>
      </c>
      <c r="AA52" s="50">
        <v>7.1</v>
      </c>
      <c r="AB52" s="50">
        <v>7.1</v>
      </c>
      <c r="AC52" s="48">
        <v>7</v>
      </c>
      <c r="AD52" s="48">
        <v>7</v>
      </c>
      <c r="AE52" s="48">
        <v>8.6999999999999993</v>
      </c>
      <c r="AF52" s="48">
        <v>5</v>
      </c>
      <c r="AG52" s="136">
        <v>14</v>
      </c>
      <c r="AH52" s="54">
        <f t="shared" si="2"/>
        <v>11.2</v>
      </c>
      <c r="AI52" s="55">
        <f t="shared" si="3"/>
        <v>0</v>
      </c>
      <c r="AK52" s="56"/>
    </row>
    <row r="53" spans="1:41" x14ac:dyDescent="0.25">
      <c r="A53" s="60" t="s">
        <v>33</v>
      </c>
      <c r="B53" s="48">
        <v>9.6</v>
      </c>
      <c r="C53" s="48">
        <v>9.6</v>
      </c>
      <c r="D53" s="48">
        <v>9.6</v>
      </c>
      <c r="E53" s="48">
        <v>9.6</v>
      </c>
      <c r="F53" s="48">
        <v>9.6</v>
      </c>
      <c r="G53" s="48">
        <v>9.6</v>
      </c>
      <c r="H53" s="48">
        <v>9.6</v>
      </c>
      <c r="I53" s="48">
        <v>9.6</v>
      </c>
      <c r="J53" s="48">
        <v>9.6</v>
      </c>
      <c r="K53" s="48">
        <v>9.6</v>
      </c>
      <c r="L53" s="48">
        <v>9.6</v>
      </c>
      <c r="M53" s="48">
        <v>9.6</v>
      </c>
      <c r="N53" s="48">
        <v>9.6</v>
      </c>
      <c r="O53" s="48">
        <v>9.6</v>
      </c>
      <c r="P53" s="48">
        <v>9.6</v>
      </c>
      <c r="Q53" s="48">
        <v>9.6</v>
      </c>
      <c r="R53" s="48">
        <v>9.6</v>
      </c>
      <c r="S53" s="48">
        <v>9.6</v>
      </c>
      <c r="T53" s="48">
        <v>9.6</v>
      </c>
      <c r="U53" s="48">
        <v>9.6</v>
      </c>
      <c r="V53" s="48">
        <v>9.6</v>
      </c>
      <c r="W53" s="48">
        <v>9.6</v>
      </c>
      <c r="X53" s="48">
        <v>9.6</v>
      </c>
      <c r="Y53" s="48">
        <v>9.6</v>
      </c>
      <c r="Z53" s="48">
        <v>9.6</v>
      </c>
      <c r="AA53" s="50">
        <v>9.6</v>
      </c>
      <c r="AB53" s="50">
        <v>9.6</v>
      </c>
      <c r="AC53" s="48">
        <v>8.1</v>
      </c>
      <c r="AD53" s="48">
        <v>8.1</v>
      </c>
      <c r="AE53" s="48">
        <v>8.1</v>
      </c>
      <c r="AF53" s="48">
        <v>8.1</v>
      </c>
      <c r="AG53" s="136">
        <v>10.050000000000001</v>
      </c>
      <c r="AH53" s="54">
        <f t="shared" si="2"/>
        <v>9.6</v>
      </c>
      <c r="AI53" s="55">
        <f t="shared" si="3"/>
        <v>8.1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48">
        <v>6.2</v>
      </c>
      <c r="N54" s="48">
        <v>6.2</v>
      </c>
      <c r="O54" s="48">
        <v>6.2</v>
      </c>
      <c r="P54" s="48">
        <v>6.2</v>
      </c>
      <c r="Q54" s="48">
        <v>6.2</v>
      </c>
      <c r="R54" s="48">
        <v>6.2</v>
      </c>
      <c r="S54" s="48">
        <v>6.2</v>
      </c>
      <c r="T54" s="48">
        <v>6.2</v>
      </c>
      <c r="U54" s="48">
        <v>6.2</v>
      </c>
      <c r="V54" s="48">
        <v>6.2</v>
      </c>
      <c r="W54" s="48">
        <v>6.2</v>
      </c>
      <c r="X54" s="48">
        <v>6.2</v>
      </c>
      <c r="Y54" s="48">
        <v>6.2</v>
      </c>
      <c r="Z54" s="48">
        <v>6.2</v>
      </c>
      <c r="AA54" s="50">
        <v>6.2</v>
      </c>
      <c r="AB54" s="50">
        <v>6.2</v>
      </c>
      <c r="AC54" s="48">
        <v>6.2</v>
      </c>
      <c r="AD54" s="48">
        <v>6.2</v>
      </c>
      <c r="AE54" s="48">
        <v>6.2</v>
      </c>
      <c r="AF54" s="48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8">AG220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 t="shared" ref="B56" si="9">SUM(B43:B55)</f>
        <v>428.34</v>
      </c>
      <c r="C56" s="66">
        <f t="shared" ref="C56:AG56" si="10">SUM(C43:C55)</f>
        <v>404.54</v>
      </c>
      <c r="D56" s="66">
        <f t="shared" si="10"/>
        <v>402.54000000000008</v>
      </c>
      <c r="E56" s="66">
        <f t="shared" si="10"/>
        <v>333.74000000000007</v>
      </c>
      <c r="F56" s="66">
        <f t="shared" si="10"/>
        <v>310.94000000000005</v>
      </c>
      <c r="G56" s="66">
        <f t="shared" si="10"/>
        <v>328.94000000000005</v>
      </c>
      <c r="H56" s="66">
        <f t="shared" si="10"/>
        <v>338.94000000000005</v>
      </c>
      <c r="I56" s="66">
        <f t="shared" si="10"/>
        <v>320.94000000000005</v>
      </c>
      <c r="J56" s="66">
        <f t="shared" si="10"/>
        <v>329.84000000000003</v>
      </c>
      <c r="K56" s="66">
        <f t="shared" si="10"/>
        <v>408.94000000000005</v>
      </c>
      <c r="L56" s="66">
        <f t="shared" si="10"/>
        <v>420.74000000000007</v>
      </c>
      <c r="M56" s="66">
        <f t="shared" si="10"/>
        <v>421.14000000000004</v>
      </c>
      <c r="N56" s="66">
        <f t="shared" si="10"/>
        <v>420.84000000000003</v>
      </c>
      <c r="O56" s="66">
        <f t="shared" si="10"/>
        <v>420.84000000000003</v>
      </c>
      <c r="P56" s="66">
        <f t="shared" si="10"/>
        <v>420.84000000000003</v>
      </c>
      <c r="Q56" s="66">
        <f t="shared" si="10"/>
        <v>420.84000000000003</v>
      </c>
      <c r="R56" s="66">
        <f t="shared" si="10"/>
        <v>420.84000000000003</v>
      </c>
      <c r="S56" s="66">
        <f t="shared" si="10"/>
        <v>430.24000000000007</v>
      </c>
      <c r="T56" s="66">
        <f t="shared" si="10"/>
        <v>426.84000000000003</v>
      </c>
      <c r="U56" s="66">
        <f t="shared" si="10"/>
        <v>426.84000000000003</v>
      </c>
      <c r="V56" s="66">
        <f t="shared" si="10"/>
        <v>426.84000000000003</v>
      </c>
      <c r="W56" s="66">
        <f t="shared" si="10"/>
        <v>426.84000000000003</v>
      </c>
      <c r="X56" s="66">
        <f t="shared" si="10"/>
        <v>366.14000000000004</v>
      </c>
      <c r="Y56" s="66">
        <f t="shared" si="10"/>
        <v>338.14000000000004</v>
      </c>
      <c r="Z56" s="66">
        <f t="shared" si="10"/>
        <v>383.94000000000005</v>
      </c>
      <c r="AA56" s="66">
        <f t="shared" si="10"/>
        <v>421.04000000000008</v>
      </c>
      <c r="AB56" s="66">
        <f t="shared" si="10"/>
        <v>420.34000000000009</v>
      </c>
      <c r="AC56" s="66">
        <f t="shared" si="10"/>
        <v>422.04</v>
      </c>
      <c r="AD56" s="66">
        <f t="shared" si="10"/>
        <v>420.44000000000005</v>
      </c>
      <c r="AE56" s="66">
        <f t="shared" si="10"/>
        <v>423.64000000000004</v>
      </c>
      <c r="AF56" s="66">
        <f t="shared" si="10"/>
        <v>421.03999999999996</v>
      </c>
      <c r="AG56" s="143">
        <f t="shared" si="10"/>
        <v>489.91</v>
      </c>
      <c r="AH56" s="54">
        <f t="shared" si="2"/>
        <v>430.24000000000007</v>
      </c>
      <c r="AI56" s="55">
        <f t="shared" si="3"/>
        <v>310.94000000000005</v>
      </c>
      <c r="AK56" s="56"/>
    </row>
    <row r="57" spans="1:41" x14ac:dyDescent="0.25">
      <c r="A57" s="57" t="s">
        <v>37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10.3</v>
      </c>
      <c r="AA57" s="50">
        <v>10</v>
      </c>
      <c r="AB57" s="50">
        <v>0</v>
      </c>
      <c r="AC57" s="50">
        <v>0</v>
      </c>
      <c r="AD57" s="50">
        <v>0</v>
      </c>
      <c r="AE57" s="50">
        <v>0</v>
      </c>
      <c r="AF57" s="50">
        <v>0</v>
      </c>
      <c r="AG57" s="135">
        <v>60</v>
      </c>
      <c r="AH57" s="54">
        <f t="shared" si="2"/>
        <v>10.3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7.7</v>
      </c>
      <c r="AA58" s="48">
        <v>4.5999999999999996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136">
        <v>32</v>
      </c>
      <c r="AH58" s="54">
        <f t="shared" si="2"/>
        <v>7.7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70">
        <v>0</v>
      </c>
      <c r="P59" s="70">
        <v>0</v>
      </c>
      <c r="Q59" s="70">
        <v>0</v>
      </c>
      <c r="R59" s="70">
        <v>0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2.8</v>
      </c>
      <c r="AA59" s="70">
        <v>1.7</v>
      </c>
      <c r="AB59" s="70">
        <v>0</v>
      </c>
      <c r="AC59" s="70">
        <v>0</v>
      </c>
      <c r="AD59" s="70">
        <v>0</v>
      </c>
      <c r="AE59" s="70">
        <v>0</v>
      </c>
      <c r="AF59" s="70">
        <v>0</v>
      </c>
      <c r="AG59" s="137">
        <v>14</v>
      </c>
      <c r="AH59" s="54">
        <f t="shared" si="2"/>
        <v>2.8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 t="shared" ref="B60" si="11">SUM(B57:B59)</f>
        <v>0</v>
      </c>
      <c r="C60" s="66">
        <f t="shared" ref="C60:AG60" si="12">SUM(C57:C59)</f>
        <v>0</v>
      </c>
      <c r="D60" s="66">
        <f t="shared" si="12"/>
        <v>0</v>
      </c>
      <c r="E60" s="66">
        <f t="shared" si="12"/>
        <v>0</v>
      </c>
      <c r="F60" s="66">
        <f t="shared" si="12"/>
        <v>0</v>
      </c>
      <c r="G60" s="66">
        <f t="shared" si="12"/>
        <v>0</v>
      </c>
      <c r="H60" s="66">
        <f t="shared" si="12"/>
        <v>0</v>
      </c>
      <c r="I60" s="66">
        <f t="shared" si="12"/>
        <v>0</v>
      </c>
      <c r="J60" s="66">
        <f t="shared" si="12"/>
        <v>0</v>
      </c>
      <c r="K60" s="66">
        <f t="shared" si="12"/>
        <v>0</v>
      </c>
      <c r="L60" s="66">
        <f t="shared" si="12"/>
        <v>0</v>
      </c>
      <c r="M60" s="66">
        <f t="shared" si="12"/>
        <v>0</v>
      </c>
      <c r="N60" s="66">
        <f t="shared" si="12"/>
        <v>0</v>
      </c>
      <c r="O60" s="66">
        <f t="shared" si="12"/>
        <v>0</v>
      </c>
      <c r="P60" s="66">
        <f t="shared" si="12"/>
        <v>0</v>
      </c>
      <c r="Q60" s="66">
        <f t="shared" si="12"/>
        <v>0</v>
      </c>
      <c r="R60" s="66">
        <f t="shared" si="12"/>
        <v>0</v>
      </c>
      <c r="S60" s="66">
        <f t="shared" si="12"/>
        <v>0</v>
      </c>
      <c r="T60" s="66">
        <f t="shared" si="12"/>
        <v>0</v>
      </c>
      <c r="U60" s="66">
        <f t="shared" si="12"/>
        <v>0</v>
      </c>
      <c r="V60" s="66">
        <f t="shared" si="12"/>
        <v>0</v>
      </c>
      <c r="W60" s="66">
        <f t="shared" si="12"/>
        <v>0</v>
      </c>
      <c r="X60" s="66">
        <f t="shared" si="12"/>
        <v>0</v>
      </c>
      <c r="Y60" s="66">
        <f t="shared" si="12"/>
        <v>0</v>
      </c>
      <c r="Z60" s="66">
        <f t="shared" si="12"/>
        <v>20.8</v>
      </c>
      <c r="AA60" s="66">
        <f t="shared" si="12"/>
        <v>16.3</v>
      </c>
      <c r="AB60" s="66">
        <f t="shared" si="12"/>
        <v>0</v>
      </c>
      <c r="AC60" s="66">
        <f t="shared" si="12"/>
        <v>0</v>
      </c>
      <c r="AD60" s="66">
        <f t="shared" si="12"/>
        <v>0</v>
      </c>
      <c r="AE60" s="66">
        <f t="shared" si="12"/>
        <v>0</v>
      </c>
      <c r="AF60" s="66">
        <f t="shared" si="12"/>
        <v>0</v>
      </c>
      <c r="AG60" s="143">
        <f t="shared" si="12"/>
        <v>106</v>
      </c>
      <c r="AH60" s="54">
        <f t="shared" si="2"/>
        <v>20.8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14</v>
      </c>
      <c r="C61" s="50">
        <v>4</v>
      </c>
      <c r="D61" s="50">
        <v>0</v>
      </c>
      <c r="E61" s="50">
        <v>18</v>
      </c>
      <c r="F61" s="50">
        <v>5</v>
      </c>
      <c r="G61" s="50">
        <v>9</v>
      </c>
      <c r="H61" s="50">
        <v>8</v>
      </c>
      <c r="I61" s="50">
        <v>3</v>
      </c>
      <c r="J61" s="50">
        <v>0</v>
      </c>
      <c r="K61" s="50">
        <v>-2</v>
      </c>
      <c r="L61" s="50">
        <v>-2</v>
      </c>
      <c r="M61" s="50">
        <v>0</v>
      </c>
      <c r="N61" s="50">
        <v>18.899999999999999</v>
      </c>
      <c r="O61" s="50">
        <v>28.2</v>
      </c>
      <c r="P61" s="50">
        <v>15.3</v>
      </c>
      <c r="Q61" s="50">
        <v>16</v>
      </c>
      <c r="R61" s="50">
        <v>16</v>
      </c>
      <c r="S61" s="50">
        <v>24</v>
      </c>
      <c r="T61" s="50">
        <v>17</v>
      </c>
      <c r="U61" s="50">
        <v>13.7</v>
      </c>
      <c r="V61" s="50">
        <v>13.3</v>
      </c>
      <c r="W61" s="50">
        <v>13</v>
      </c>
      <c r="X61" s="50">
        <v>7.6</v>
      </c>
      <c r="Y61" s="50">
        <v>34.4</v>
      </c>
      <c r="Z61" s="50">
        <v>50</v>
      </c>
      <c r="AA61" s="50">
        <v>34.4</v>
      </c>
      <c r="AB61" s="50">
        <v>27.8</v>
      </c>
      <c r="AC61" s="50">
        <v>30.5</v>
      </c>
      <c r="AD61" s="50">
        <v>32.4</v>
      </c>
      <c r="AE61" s="50">
        <v>9.6999999999999993</v>
      </c>
      <c r="AF61" s="50">
        <v>4.3</v>
      </c>
      <c r="AG61" s="135"/>
      <c r="AH61" s="54">
        <f t="shared" si="2"/>
        <v>50</v>
      </c>
      <c r="AI61" s="55">
        <f t="shared" si="3"/>
        <v>-2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-415</v>
      </c>
      <c r="C63" s="48">
        <v>-410</v>
      </c>
      <c r="D63" s="48">
        <v>-398</v>
      </c>
      <c r="E63" s="48">
        <v>-389</v>
      </c>
      <c r="F63" s="48">
        <v>-450</v>
      </c>
      <c r="G63" s="48">
        <v>-409</v>
      </c>
      <c r="H63" s="48">
        <v>-450</v>
      </c>
      <c r="I63" s="48">
        <v>-389</v>
      </c>
      <c r="J63" s="48">
        <v>-380</v>
      </c>
      <c r="K63" s="48">
        <v>-438</v>
      </c>
      <c r="L63" s="48">
        <v>-384</v>
      </c>
      <c r="M63" s="48">
        <v>-350</v>
      </c>
      <c r="N63" s="48">
        <v>-386</v>
      </c>
      <c r="O63" s="48">
        <v>-373</v>
      </c>
      <c r="P63" s="48">
        <v>-393</v>
      </c>
      <c r="Q63" s="48">
        <v>-355</v>
      </c>
      <c r="R63" s="48">
        <v>-355</v>
      </c>
      <c r="S63" s="48">
        <v>-378</v>
      </c>
      <c r="T63" s="48">
        <v>-368</v>
      </c>
      <c r="U63" s="48">
        <v>-375</v>
      </c>
      <c r="V63" s="48">
        <v>-437</v>
      </c>
      <c r="W63" s="48">
        <v>-424</v>
      </c>
      <c r="X63" s="48">
        <v>-367</v>
      </c>
      <c r="Y63" s="48">
        <v>-371</v>
      </c>
      <c r="Z63" s="48">
        <v>-310</v>
      </c>
      <c r="AA63" s="48">
        <v>-247</v>
      </c>
      <c r="AB63" s="48">
        <v>-254.6</v>
      </c>
      <c r="AC63" s="48">
        <v>-246.5</v>
      </c>
      <c r="AD63" s="48">
        <v>-288</v>
      </c>
      <c r="AE63" s="48">
        <v>-306</v>
      </c>
      <c r="AF63" s="48">
        <v>-403.4</v>
      </c>
      <c r="AG63" s="140"/>
      <c r="AH63" s="54">
        <f t="shared" si="2"/>
        <v>-246.5</v>
      </c>
      <c r="AI63" s="55">
        <f t="shared" si="3"/>
        <v>-450</v>
      </c>
      <c r="AK63" s="56"/>
    </row>
    <row r="64" spans="1:41" x14ac:dyDescent="0.25">
      <c r="A64" s="60" t="s">
        <v>44</v>
      </c>
      <c r="B64" s="71">
        <v>0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140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0</v>
      </c>
      <c r="C66" s="72">
        <v>0</v>
      </c>
      <c r="D66" s="72">
        <v>0</v>
      </c>
      <c r="E66" s="72">
        <v>0</v>
      </c>
      <c r="F66" s="72">
        <v>0</v>
      </c>
      <c r="G66" s="72">
        <v>0</v>
      </c>
      <c r="H66" s="72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0</v>
      </c>
      <c r="AD66" s="72">
        <v>0</v>
      </c>
      <c r="AE66" s="72">
        <v>0</v>
      </c>
      <c r="AF66" s="72">
        <v>0</v>
      </c>
      <c r="AG66" s="140"/>
      <c r="AH66" s="54">
        <f t="shared" si="2"/>
        <v>0</v>
      </c>
      <c r="AI66" s="55">
        <f t="shared" si="3"/>
        <v>0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1">
        <v>0</v>
      </c>
      <c r="D68" s="71">
        <v>0</v>
      </c>
      <c r="E68" s="71">
        <v>0</v>
      </c>
      <c r="F68" s="71">
        <v>0</v>
      </c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1">
        <v>0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4">
        <v>0</v>
      </c>
      <c r="C70" s="74">
        <v>0</v>
      </c>
      <c r="D70" s="74">
        <v>0</v>
      </c>
      <c r="E70" s="74">
        <v>0</v>
      </c>
      <c r="F70" s="74">
        <v>0</v>
      </c>
      <c r="G70" s="74">
        <v>0</v>
      </c>
      <c r="H70" s="74">
        <v>0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4">
        <v>0</v>
      </c>
      <c r="C71" s="74">
        <v>0</v>
      </c>
      <c r="D71" s="74">
        <v>0</v>
      </c>
      <c r="E71" s="74">
        <v>0</v>
      </c>
      <c r="F71" s="74">
        <v>0</v>
      </c>
      <c r="G71" s="74">
        <v>0</v>
      </c>
      <c r="H71" s="74">
        <v>0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 t="shared" ref="B72" si="13">SUMIF(B61:B71,"&gt;0")</f>
        <v>14</v>
      </c>
      <c r="C72" s="66">
        <f t="shared" ref="C72:L72" si="14">SUMIF(C61:C71,"&gt;0")</f>
        <v>4</v>
      </c>
      <c r="D72" s="66">
        <f t="shared" si="14"/>
        <v>0</v>
      </c>
      <c r="E72" s="66">
        <f t="shared" si="14"/>
        <v>18</v>
      </c>
      <c r="F72" s="66">
        <f t="shared" si="14"/>
        <v>5</v>
      </c>
      <c r="G72" s="66">
        <f t="shared" si="14"/>
        <v>9</v>
      </c>
      <c r="H72" s="66">
        <f t="shared" si="14"/>
        <v>8</v>
      </c>
      <c r="I72" s="66">
        <f t="shared" si="14"/>
        <v>3</v>
      </c>
      <c r="J72" s="66">
        <f t="shared" si="14"/>
        <v>0</v>
      </c>
      <c r="K72" s="66">
        <f t="shared" si="14"/>
        <v>0</v>
      </c>
      <c r="L72" s="66">
        <f t="shared" si="14"/>
        <v>0</v>
      </c>
      <c r="M72" s="66">
        <f>SUMIF(M61:M71,"&gt;0")</f>
        <v>0</v>
      </c>
      <c r="N72" s="66">
        <f t="shared" ref="N72:AF72" si="15">SUMIF(N61:N71,"&gt;0")</f>
        <v>18.899999999999999</v>
      </c>
      <c r="O72" s="66">
        <f t="shared" si="15"/>
        <v>28.2</v>
      </c>
      <c r="P72" s="66">
        <f t="shared" si="15"/>
        <v>15.3</v>
      </c>
      <c r="Q72" s="66">
        <f t="shared" si="15"/>
        <v>16</v>
      </c>
      <c r="R72" s="66">
        <f t="shared" si="15"/>
        <v>16</v>
      </c>
      <c r="S72" s="66">
        <f t="shared" si="15"/>
        <v>24</v>
      </c>
      <c r="T72" s="66">
        <f t="shared" si="15"/>
        <v>17</v>
      </c>
      <c r="U72" s="66">
        <f t="shared" si="15"/>
        <v>13.7</v>
      </c>
      <c r="V72" s="66">
        <f t="shared" si="15"/>
        <v>13.3</v>
      </c>
      <c r="W72" s="66">
        <f t="shared" si="15"/>
        <v>13</v>
      </c>
      <c r="X72" s="66">
        <f t="shared" si="15"/>
        <v>7.6</v>
      </c>
      <c r="Y72" s="66">
        <f t="shared" si="15"/>
        <v>34.4</v>
      </c>
      <c r="Z72" s="66">
        <f t="shared" si="15"/>
        <v>50</v>
      </c>
      <c r="AA72" s="66">
        <f t="shared" si="15"/>
        <v>34.4</v>
      </c>
      <c r="AB72" s="66">
        <f t="shared" si="15"/>
        <v>27.8</v>
      </c>
      <c r="AC72" s="66">
        <f t="shared" si="15"/>
        <v>30.5</v>
      </c>
      <c r="AD72" s="66">
        <f t="shared" si="15"/>
        <v>32.4</v>
      </c>
      <c r="AE72" s="66">
        <f t="shared" si="15"/>
        <v>9.6999999999999993</v>
      </c>
      <c r="AF72" s="66">
        <f t="shared" si="15"/>
        <v>4.3</v>
      </c>
      <c r="AG72" s="138">
        <f>SUM(AG61:AG71)</f>
        <v>0</v>
      </c>
      <c r="AH72" s="54">
        <f t="shared" si="2"/>
        <v>50</v>
      </c>
      <c r="AI72" s="55">
        <f t="shared" si="3"/>
        <v>0</v>
      </c>
      <c r="AK72" s="56"/>
    </row>
    <row r="73" spans="1:88" x14ac:dyDescent="0.25">
      <c r="A73" s="57" t="s">
        <v>53</v>
      </c>
      <c r="B73" s="71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>
        <v>0</v>
      </c>
      <c r="C75" s="74">
        <v>0</v>
      </c>
      <c r="D75" s="74">
        <v>0</v>
      </c>
      <c r="E75" s="74">
        <v>0</v>
      </c>
      <c r="F75" s="74">
        <v>0</v>
      </c>
      <c r="G75" s="74">
        <v>0</v>
      </c>
      <c r="H75" s="74">
        <v>0</v>
      </c>
      <c r="I75" s="74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 t="shared" ref="B77" si="16">B38+B42+B60+B56+B72+B76</f>
        <v>1631.74</v>
      </c>
      <c r="C77" s="75">
        <f t="shared" ref="C77:AF77" si="17">C38+C42+C60+C56+C72+C76</f>
        <v>1676.54</v>
      </c>
      <c r="D77" s="75">
        <f t="shared" si="17"/>
        <v>1672.1399999999999</v>
      </c>
      <c r="E77" s="75">
        <f t="shared" si="17"/>
        <v>1677.34</v>
      </c>
      <c r="F77" s="75">
        <f t="shared" si="17"/>
        <v>1641.54</v>
      </c>
      <c r="G77" s="75">
        <f t="shared" si="17"/>
        <v>1663.54</v>
      </c>
      <c r="H77" s="75">
        <f t="shared" si="17"/>
        <v>1672.54</v>
      </c>
      <c r="I77" s="75">
        <f t="shared" si="17"/>
        <v>1649.54</v>
      </c>
      <c r="J77" s="75">
        <f t="shared" si="17"/>
        <v>1655.44</v>
      </c>
      <c r="K77" s="75">
        <f t="shared" si="17"/>
        <v>1734.54</v>
      </c>
      <c r="L77" s="75">
        <f t="shared" si="17"/>
        <v>1746.34</v>
      </c>
      <c r="M77" s="75">
        <f t="shared" si="17"/>
        <v>1693.14</v>
      </c>
      <c r="N77" s="75">
        <f t="shared" si="17"/>
        <v>1765.6400000000003</v>
      </c>
      <c r="O77" s="75">
        <f t="shared" si="17"/>
        <v>1774.9400000000003</v>
      </c>
      <c r="P77" s="75">
        <f t="shared" si="17"/>
        <v>1761.9399999999998</v>
      </c>
      <c r="Q77" s="75">
        <f t="shared" si="17"/>
        <v>1762.6399999999999</v>
      </c>
      <c r="R77" s="75">
        <f t="shared" si="17"/>
        <v>1762.6399999999999</v>
      </c>
      <c r="S77" s="75">
        <f t="shared" si="17"/>
        <v>1817.5400000000002</v>
      </c>
      <c r="T77" s="75">
        <f t="shared" si="17"/>
        <v>1807.1400000000003</v>
      </c>
      <c r="U77" s="75">
        <f t="shared" si="17"/>
        <v>1803.8400000000004</v>
      </c>
      <c r="V77" s="75">
        <f t="shared" si="17"/>
        <v>1765.4400000000003</v>
      </c>
      <c r="W77" s="75">
        <f t="shared" si="17"/>
        <v>1765.1400000000003</v>
      </c>
      <c r="X77" s="75">
        <f t="shared" si="17"/>
        <v>1699.0400000000002</v>
      </c>
      <c r="Y77" s="75">
        <f t="shared" si="17"/>
        <v>1697.8400000000004</v>
      </c>
      <c r="Z77" s="75">
        <f t="shared" si="17"/>
        <v>1744.74</v>
      </c>
      <c r="AA77" s="75">
        <f t="shared" si="17"/>
        <v>1801.7400000000002</v>
      </c>
      <c r="AB77" s="75">
        <f t="shared" si="17"/>
        <v>1785.3400000000001</v>
      </c>
      <c r="AC77" s="75">
        <f t="shared" si="17"/>
        <v>1789.54</v>
      </c>
      <c r="AD77" s="75">
        <f t="shared" si="17"/>
        <v>1790.0400000000002</v>
      </c>
      <c r="AE77" s="75">
        <f t="shared" si="17"/>
        <v>1691.0400000000002</v>
      </c>
      <c r="AF77" s="75">
        <f t="shared" si="17"/>
        <v>1769.84</v>
      </c>
      <c r="AG77" s="143">
        <f>AG38+AG42+AG60+AG56+AG72+AG76</f>
        <v>1855.1900000000003</v>
      </c>
      <c r="AH77" s="54">
        <f t="shared" si="2"/>
        <v>1817.5400000000002</v>
      </c>
      <c r="AI77" s="55">
        <f t="shared" si="3"/>
        <v>1631.74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>
        <v>130</v>
      </c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130</v>
      </c>
      <c r="AI78" s="55">
        <f t="shared" si="3"/>
        <v>130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 t="shared" ref="B79" si="18">B77+B78</f>
        <v>1761.74</v>
      </c>
      <c r="C79" s="75">
        <f t="shared" ref="C79:AF79" si="19">C77+C78</f>
        <v>1676.54</v>
      </c>
      <c r="D79" s="75">
        <f t="shared" si="19"/>
        <v>1672.1399999999999</v>
      </c>
      <c r="E79" s="75">
        <f t="shared" si="19"/>
        <v>1677.34</v>
      </c>
      <c r="F79" s="75">
        <f t="shared" si="19"/>
        <v>1641.54</v>
      </c>
      <c r="G79" s="75">
        <f t="shared" si="19"/>
        <v>1663.54</v>
      </c>
      <c r="H79" s="75">
        <f t="shared" si="19"/>
        <v>1672.54</v>
      </c>
      <c r="I79" s="75">
        <f t="shared" si="19"/>
        <v>1649.54</v>
      </c>
      <c r="J79" s="75">
        <f t="shared" si="19"/>
        <v>1655.44</v>
      </c>
      <c r="K79" s="75">
        <f t="shared" si="19"/>
        <v>1734.54</v>
      </c>
      <c r="L79" s="75">
        <f t="shared" si="19"/>
        <v>1746.34</v>
      </c>
      <c r="M79" s="75">
        <f t="shared" si="19"/>
        <v>1693.14</v>
      </c>
      <c r="N79" s="75">
        <f t="shared" si="19"/>
        <v>1765.6400000000003</v>
      </c>
      <c r="O79" s="75">
        <f t="shared" si="19"/>
        <v>1774.9400000000003</v>
      </c>
      <c r="P79" s="75">
        <f t="shared" si="19"/>
        <v>1761.9399999999998</v>
      </c>
      <c r="Q79" s="75">
        <f t="shared" si="19"/>
        <v>1762.6399999999999</v>
      </c>
      <c r="R79" s="75">
        <f t="shared" si="19"/>
        <v>1762.6399999999999</v>
      </c>
      <c r="S79" s="75">
        <f t="shared" si="19"/>
        <v>1817.5400000000002</v>
      </c>
      <c r="T79" s="75">
        <f t="shared" si="19"/>
        <v>1807.1400000000003</v>
      </c>
      <c r="U79" s="75">
        <f t="shared" si="19"/>
        <v>1803.8400000000004</v>
      </c>
      <c r="V79" s="75">
        <f t="shared" si="19"/>
        <v>1765.4400000000003</v>
      </c>
      <c r="W79" s="75">
        <f t="shared" si="19"/>
        <v>1765.1400000000003</v>
      </c>
      <c r="X79" s="75">
        <f t="shared" si="19"/>
        <v>1699.0400000000002</v>
      </c>
      <c r="Y79" s="75">
        <f t="shared" si="19"/>
        <v>1697.8400000000004</v>
      </c>
      <c r="Z79" s="75">
        <f t="shared" si="19"/>
        <v>1744.74</v>
      </c>
      <c r="AA79" s="75">
        <f t="shared" si="19"/>
        <v>1801.7400000000002</v>
      </c>
      <c r="AB79" s="75">
        <f t="shared" si="19"/>
        <v>1785.3400000000001</v>
      </c>
      <c r="AC79" s="75">
        <f t="shared" si="19"/>
        <v>1789.54</v>
      </c>
      <c r="AD79" s="75">
        <f t="shared" si="19"/>
        <v>1790.0400000000002</v>
      </c>
      <c r="AE79" s="75">
        <f t="shared" si="19"/>
        <v>1691.0400000000002</v>
      </c>
      <c r="AF79" s="75">
        <f t="shared" si="19"/>
        <v>1769.84</v>
      </c>
      <c r="AG79" s="138">
        <f>AG76+AG72+AG60+AG56+AG38+AG78</f>
        <v>1317.0900000000001</v>
      </c>
      <c r="AH79" s="54">
        <f t="shared" si="2"/>
        <v>1817.5400000000002</v>
      </c>
      <c r="AI79" s="55">
        <f t="shared" si="3"/>
        <v>1641.54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" si="20">B79-B87</f>
        <v>1346.74</v>
      </c>
      <c r="C80" s="75">
        <f t="shared" ref="C80:AF80" si="21">C79-C87</f>
        <v>1266.54</v>
      </c>
      <c r="D80" s="75">
        <f t="shared" si="21"/>
        <v>1274.1399999999999</v>
      </c>
      <c r="E80" s="75">
        <f t="shared" si="21"/>
        <v>1288.3399999999999</v>
      </c>
      <c r="F80" s="75">
        <f t="shared" si="21"/>
        <v>1191.54</v>
      </c>
      <c r="G80" s="75">
        <f t="shared" si="21"/>
        <v>1254.54</v>
      </c>
      <c r="H80" s="75">
        <f t="shared" si="21"/>
        <v>1222.54</v>
      </c>
      <c r="I80" s="75">
        <f t="shared" si="21"/>
        <v>1260.54</v>
      </c>
      <c r="J80" s="75">
        <f t="shared" si="21"/>
        <v>1275.44</v>
      </c>
      <c r="K80" s="75">
        <f t="shared" si="21"/>
        <v>1294.54</v>
      </c>
      <c r="L80" s="75">
        <f t="shared" si="21"/>
        <v>1360.34</v>
      </c>
      <c r="M80" s="75">
        <f t="shared" si="21"/>
        <v>1343.14</v>
      </c>
      <c r="N80" s="75">
        <f t="shared" si="21"/>
        <v>1379.6400000000003</v>
      </c>
      <c r="O80" s="75">
        <f t="shared" si="21"/>
        <v>1401.9400000000003</v>
      </c>
      <c r="P80" s="75">
        <f t="shared" si="21"/>
        <v>1368.9399999999998</v>
      </c>
      <c r="Q80" s="75">
        <f t="shared" si="21"/>
        <v>1407.6399999999999</v>
      </c>
      <c r="R80" s="75">
        <f t="shared" si="21"/>
        <v>1407.6399999999999</v>
      </c>
      <c r="S80" s="75">
        <f t="shared" si="21"/>
        <v>1439.5400000000002</v>
      </c>
      <c r="T80" s="75">
        <f t="shared" si="21"/>
        <v>1439.1400000000003</v>
      </c>
      <c r="U80" s="75">
        <f t="shared" si="21"/>
        <v>1428.8400000000004</v>
      </c>
      <c r="V80" s="75">
        <f t="shared" si="21"/>
        <v>1328.4400000000003</v>
      </c>
      <c r="W80" s="75">
        <f t="shared" si="21"/>
        <v>1341.1400000000003</v>
      </c>
      <c r="X80" s="75">
        <f t="shared" si="21"/>
        <v>1332.0400000000002</v>
      </c>
      <c r="Y80" s="75">
        <f t="shared" si="21"/>
        <v>1326.8400000000004</v>
      </c>
      <c r="Z80" s="75">
        <f t="shared" si="21"/>
        <v>1434.74</v>
      </c>
      <c r="AA80" s="75">
        <f t="shared" si="21"/>
        <v>1554.7400000000002</v>
      </c>
      <c r="AB80" s="75">
        <f t="shared" si="21"/>
        <v>1530.7400000000002</v>
      </c>
      <c r="AC80" s="75">
        <f t="shared" si="21"/>
        <v>1543.04</v>
      </c>
      <c r="AD80" s="75">
        <f t="shared" si="21"/>
        <v>1502.0400000000002</v>
      </c>
      <c r="AE80" s="75">
        <f t="shared" si="21"/>
        <v>1385.0400000000002</v>
      </c>
      <c r="AF80" s="75">
        <f t="shared" si="21"/>
        <v>1366.44</v>
      </c>
      <c r="AG80" s="138"/>
      <c r="AH80" s="54">
        <f t="shared" ref="AH80:AH97" si="22">MAX(B80:AF80)</f>
        <v>1554.7400000000002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 t="shared" ref="B81" si="23">IF(B64&lt;0,B64*-1,0)</f>
        <v>0</v>
      </c>
      <c r="C81" s="71">
        <f t="shared" ref="C81:AF81" si="24">IF(C64&lt;0,C64*-1,0)</f>
        <v>0</v>
      </c>
      <c r="D81" s="71">
        <f t="shared" si="24"/>
        <v>0</v>
      </c>
      <c r="E81" s="71">
        <f t="shared" si="24"/>
        <v>0</v>
      </c>
      <c r="F81" s="71">
        <f t="shared" si="24"/>
        <v>0</v>
      </c>
      <c r="G81" s="71">
        <f t="shared" si="24"/>
        <v>0</v>
      </c>
      <c r="H81" s="71">
        <f t="shared" si="24"/>
        <v>0</v>
      </c>
      <c r="I81" s="71">
        <f t="shared" si="24"/>
        <v>0</v>
      </c>
      <c r="J81" s="71">
        <f t="shared" si="24"/>
        <v>0</v>
      </c>
      <c r="K81" s="71">
        <f t="shared" si="24"/>
        <v>0</v>
      </c>
      <c r="L81" s="71">
        <f t="shared" si="24"/>
        <v>0</v>
      </c>
      <c r="M81" s="71">
        <f t="shared" si="24"/>
        <v>0</v>
      </c>
      <c r="N81" s="71">
        <f t="shared" si="24"/>
        <v>0</v>
      </c>
      <c r="O81" s="71">
        <f t="shared" si="24"/>
        <v>0</v>
      </c>
      <c r="P81" s="71">
        <f t="shared" si="24"/>
        <v>0</v>
      </c>
      <c r="Q81" s="71">
        <f t="shared" si="24"/>
        <v>0</v>
      </c>
      <c r="R81" s="71">
        <f t="shared" si="24"/>
        <v>0</v>
      </c>
      <c r="S81" s="71">
        <f t="shared" si="24"/>
        <v>0</v>
      </c>
      <c r="T81" s="71">
        <f t="shared" si="24"/>
        <v>0</v>
      </c>
      <c r="U81" s="71">
        <f t="shared" si="24"/>
        <v>0</v>
      </c>
      <c r="V81" s="71">
        <f t="shared" si="24"/>
        <v>0</v>
      </c>
      <c r="W81" s="71">
        <f t="shared" si="24"/>
        <v>0</v>
      </c>
      <c r="X81" s="71">
        <f t="shared" si="24"/>
        <v>0</v>
      </c>
      <c r="Y81" s="71">
        <f t="shared" si="24"/>
        <v>0</v>
      </c>
      <c r="Z81" s="71">
        <f t="shared" si="24"/>
        <v>0</v>
      </c>
      <c r="AA81" s="71">
        <f t="shared" si="24"/>
        <v>0</v>
      </c>
      <c r="AB81" s="71">
        <f t="shared" si="24"/>
        <v>0</v>
      </c>
      <c r="AC81" s="71">
        <f t="shared" si="24"/>
        <v>0</v>
      </c>
      <c r="AD81" s="71">
        <f t="shared" si="24"/>
        <v>0</v>
      </c>
      <c r="AE81" s="71">
        <f t="shared" si="24"/>
        <v>0</v>
      </c>
      <c r="AF81" s="71">
        <f t="shared" si="24"/>
        <v>0</v>
      </c>
      <c r="AG81" s="135"/>
      <c r="AH81" s="54">
        <f t="shared" si="22"/>
        <v>0</v>
      </c>
      <c r="AI81" s="55">
        <f t="shared" ref="AI81:AI97" si="25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 t="shared" ref="B82" si="26">IF(B62&lt;0,B62*-1,0)</f>
        <v>0</v>
      </c>
      <c r="C82" s="71">
        <f t="shared" ref="C82:AF82" si="27">IF(C62&lt;0,C62*-1,0)</f>
        <v>0</v>
      </c>
      <c r="D82" s="71">
        <f t="shared" si="27"/>
        <v>0</v>
      </c>
      <c r="E82" s="71">
        <f t="shared" si="27"/>
        <v>0</v>
      </c>
      <c r="F82" s="71">
        <f t="shared" si="27"/>
        <v>0</v>
      </c>
      <c r="G82" s="71">
        <f t="shared" si="27"/>
        <v>0</v>
      </c>
      <c r="H82" s="71">
        <f t="shared" si="27"/>
        <v>0</v>
      </c>
      <c r="I82" s="71">
        <f t="shared" si="27"/>
        <v>0</v>
      </c>
      <c r="J82" s="71">
        <f t="shared" si="27"/>
        <v>0</v>
      </c>
      <c r="K82" s="71">
        <f t="shared" si="27"/>
        <v>0</v>
      </c>
      <c r="L82" s="71">
        <f t="shared" si="27"/>
        <v>0</v>
      </c>
      <c r="M82" s="71">
        <f t="shared" si="27"/>
        <v>0</v>
      </c>
      <c r="N82" s="71">
        <f t="shared" si="27"/>
        <v>0</v>
      </c>
      <c r="O82" s="71">
        <f t="shared" si="27"/>
        <v>0</v>
      </c>
      <c r="P82" s="71">
        <f t="shared" si="27"/>
        <v>0</v>
      </c>
      <c r="Q82" s="71">
        <f t="shared" si="27"/>
        <v>0</v>
      </c>
      <c r="R82" s="71">
        <f t="shared" si="27"/>
        <v>0</v>
      </c>
      <c r="S82" s="71">
        <f t="shared" si="27"/>
        <v>0</v>
      </c>
      <c r="T82" s="71">
        <f t="shared" si="27"/>
        <v>0</v>
      </c>
      <c r="U82" s="71">
        <f t="shared" si="27"/>
        <v>0</v>
      </c>
      <c r="V82" s="71">
        <f t="shared" si="27"/>
        <v>0</v>
      </c>
      <c r="W82" s="71">
        <f t="shared" si="27"/>
        <v>0</v>
      </c>
      <c r="X82" s="71">
        <f t="shared" si="27"/>
        <v>0</v>
      </c>
      <c r="Y82" s="71">
        <f t="shared" si="27"/>
        <v>0</v>
      </c>
      <c r="Z82" s="71">
        <f t="shared" si="27"/>
        <v>0</v>
      </c>
      <c r="AA82" s="71">
        <f t="shared" si="27"/>
        <v>0</v>
      </c>
      <c r="AB82" s="71">
        <f t="shared" si="27"/>
        <v>0</v>
      </c>
      <c r="AC82" s="71">
        <f t="shared" si="27"/>
        <v>0</v>
      </c>
      <c r="AD82" s="71">
        <f t="shared" si="27"/>
        <v>0</v>
      </c>
      <c r="AE82" s="71">
        <f t="shared" si="27"/>
        <v>0</v>
      </c>
      <c r="AF82" s="71">
        <f t="shared" si="27"/>
        <v>0</v>
      </c>
      <c r="AG82" s="136"/>
      <c r="AH82" s="54">
        <f t="shared" si="22"/>
        <v>0</v>
      </c>
      <c r="AI82" s="55">
        <f t="shared" si="25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 t="shared" ref="B83" si="28">IF(B65&lt;0,B65*-1,0)</f>
        <v>0</v>
      </c>
      <c r="C83" s="71">
        <f t="shared" ref="C83:AF83" si="29">IF(C65&lt;0,C65*-1,0)</f>
        <v>0</v>
      </c>
      <c r="D83" s="71">
        <f t="shared" si="29"/>
        <v>0</v>
      </c>
      <c r="E83" s="71">
        <f t="shared" si="29"/>
        <v>0</v>
      </c>
      <c r="F83" s="71">
        <f t="shared" si="29"/>
        <v>0</v>
      </c>
      <c r="G83" s="71">
        <f t="shared" si="29"/>
        <v>0</v>
      </c>
      <c r="H83" s="71">
        <f t="shared" si="29"/>
        <v>0</v>
      </c>
      <c r="I83" s="71">
        <f t="shared" si="29"/>
        <v>0</v>
      </c>
      <c r="J83" s="71">
        <f t="shared" si="29"/>
        <v>0</v>
      </c>
      <c r="K83" s="71">
        <f t="shared" si="29"/>
        <v>0</v>
      </c>
      <c r="L83" s="71">
        <f t="shared" si="29"/>
        <v>0</v>
      </c>
      <c r="M83" s="71">
        <f t="shared" si="29"/>
        <v>0</v>
      </c>
      <c r="N83" s="71">
        <f t="shared" si="29"/>
        <v>0</v>
      </c>
      <c r="O83" s="71">
        <f t="shared" si="29"/>
        <v>0</v>
      </c>
      <c r="P83" s="71">
        <f t="shared" si="29"/>
        <v>0</v>
      </c>
      <c r="Q83" s="71">
        <f t="shared" si="29"/>
        <v>0</v>
      </c>
      <c r="R83" s="71">
        <f t="shared" si="29"/>
        <v>0</v>
      </c>
      <c r="S83" s="71">
        <f t="shared" si="29"/>
        <v>0</v>
      </c>
      <c r="T83" s="71">
        <f t="shared" si="29"/>
        <v>0</v>
      </c>
      <c r="U83" s="71">
        <f t="shared" si="29"/>
        <v>0</v>
      </c>
      <c r="V83" s="71">
        <f t="shared" si="29"/>
        <v>0</v>
      </c>
      <c r="W83" s="71">
        <f t="shared" si="29"/>
        <v>0</v>
      </c>
      <c r="X83" s="71">
        <f t="shared" si="29"/>
        <v>0</v>
      </c>
      <c r="Y83" s="71">
        <f t="shared" si="29"/>
        <v>0</v>
      </c>
      <c r="Z83" s="71">
        <f t="shared" si="29"/>
        <v>0</v>
      </c>
      <c r="AA83" s="71">
        <f t="shared" si="29"/>
        <v>0</v>
      </c>
      <c r="AB83" s="71">
        <f t="shared" si="29"/>
        <v>0</v>
      </c>
      <c r="AC83" s="71">
        <f t="shared" si="29"/>
        <v>0</v>
      </c>
      <c r="AD83" s="71">
        <f t="shared" si="29"/>
        <v>0</v>
      </c>
      <c r="AE83" s="71">
        <f t="shared" si="29"/>
        <v>0</v>
      </c>
      <c r="AF83" s="71">
        <f t="shared" si="29"/>
        <v>0</v>
      </c>
      <c r="AG83" s="144"/>
      <c r="AH83" s="54">
        <f t="shared" si="22"/>
        <v>0</v>
      </c>
      <c r="AI83" s="55">
        <f t="shared" si="25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 t="shared" ref="B84" si="30">IF(B63&lt;0,B63*-1,0)</f>
        <v>415</v>
      </c>
      <c r="C84" s="71">
        <f t="shared" ref="C84:AF84" si="31">IF(C63&lt;0,C63*-1,0)</f>
        <v>410</v>
      </c>
      <c r="D84" s="71">
        <f t="shared" si="31"/>
        <v>398</v>
      </c>
      <c r="E84" s="71">
        <f t="shared" si="31"/>
        <v>389</v>
      </c>
      <c r="F84" s="71">
        <f t="shared" si="31"/>
        <v>450</v>
      </c>
      <c r="G84" s="71">
        <f t="shared" si="31"/>
        <v>409</v>
      </c>
      <c r="H84" s="71">
        <f t="shared" si="31"/>
        <v>450</v>
      </c>
      <c r="I84" s="71">
        <f t="shared" si="31"/>
        <v>389</v>
      </c>
      <c r="J84" s="71">
        <f t="shared" si="31"/>
        <v>380</v>
      </c>
      <c r="K84" s="71">
        <f t="shared" si="31"/>
        <v>438</v>
      </c>
      <c r="L84" s="71">
        <f t="shared" si="31"/>
        <v>384</v>
      </c>
      <c r="M84" s="71">
        <f t="shared" si="31"/>
        <v>350</v>
      </c>
      <c r="N84" s="71">
        <f t="shared" si="31"/>
        <v>386</v>
      </c>
      <c r="O84" s="71">
        <f t="shared" si="31"/>
        <v>373</v>
      </c>
      <c r="P84" s="71">
        <f t="shared" si="31"/>
        <v>393</v>
      </c>
      <c r="Q84" s="71">
        <f t="shared" si="31"/>
        <v>355</v>
      </c>
      <c r="R84" s="71">
        <f t="shared" si="31"/>
        <v>355</v>
      </c>
      <c r="S84" s="71">
        <f t="shared" si="31"/>
        <v>378</v>
      </c>
      <c r="T84" s="71">
        <f t="shared" si="31"/>
        <v>368</v>
      </c>
      <c r="U84" s="71">
        <f t="shared" si="31"/>
        <v>375</v>
      </c>
      <c r="V84" s="71">
        <f t="shared" si="31"/>
        <v>437</v>
      </c>
      <c r="W84" s="71">
        <f t="shared" si="31"/>
        <v>424</v>
      </c>
      <c r="X84" s="71">
        <f t="shared" si="31"/>
        <v>367</v>
      </c>
      <c r="Y84" s="71">
        <f t="shared" si="31"/>
        <v>371</v>
      </c>
      <c r="Z84" s="71">
        <f t="shared" si="31"/>
        <v>310</v>
      </c>
      <c r="AA84" s="71">
        <f t="shared" si="31"/>
        <v>247</v>
      </c>
      <c r="AB84" s="71">
        <f t="shared" si="31"/>
        <v>254.6</v>
      </c>
      <c r="AC84" s="71">
        <f t="shared" si="31"/>
        <v>246.5</v>
      </c>
      <c r="AD84" s="71">
        <f t="shared" si="31"/>
        <v>288</v>
      </c>
      <c r="AE84" s="71">
        <f t="shared" si="31"/>
        <v>306</v>
      </c>
      <c r="AF84" s="71">
        <f t="shared" si="31"/>
        <v>403.4</v>
      </c>
      <c r="AG84" s="144"/>
      <c r="AH84" s="54">
        <f t="shared" si="22"/>
        <v>450</v>
      </c>
      <c r="AI84" s="55">
        <f t="shared" si="25"/>
        <v>246.5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 t="shared" ref="B85" si="32">IF(B61&lt;0,B61*-1,0)</f>
        <v>0</v>
      </c>
      <c r="C85" s="71">
        <f t="shared" ref="C85:AF85" si="33">IF(C61&lt;0,C61*-1,0)</f>
        <v>0</v>
      </c>
      <c r="D85" s="71">
        <f t="shared" si="33"/>
        <v>0</v>
      </c>
      <c r="E85" s="71">
        <f t="shared" si="33"/>
        <v>0</v>
      </c>
      <c r="F85" s="71">
        <f t="shared" si="33"/>
        <v>0</v>
      </c>
      <c r="G85" s="71">
        <f t="shared" si="33"/>
        <v>0</v>
      </c>
      <c r="H85" s="71">
        <f t="shared" si="33"/>
        <v>0</v>
      </c>
      <c r="I85" s="71">
        <f t="shared" si="33"/>
        <v>0</v>
      </c>
      <c r="J85" s="71">
        <f t="shared" si="33"/>
        <v>0</v>
      </c>
      <c r="K85" s="71">
        <f t="shared" si="33"/>
        <v>2</v>
      </c>
      <c r="L85" s="71">
        <f t="shared" si="33"/>
        <v>2</v>
      </c>
      <c r="M85" s="71">
        <f t="shared" si="33"/>
        <v>0</v>
      </c>
      <c r="N85" s="71">
        <f t="shared" si="33"/>
        <v>0</v>
      </c>
      <c r="O85" s="71">
        <f t="shared" si="33"/>
        <v>0</v>
      </c>
      <c r="P85" s="71">
        <f t="shared" si="33"/>
        <v>0</v>
      </c>
      <c r="Q85" s="71">
        <f t="shared" si="33"/>
        <v>0</v>
      </c>
      <c r="R85" s="71">
        <f t="shared" si="33"/>
        <v>0</v>
      </c>
      <c r="S85" s="71">
        <f t="shared" si="33"/>
        <v>0</v>
      </c>
      <c r="T85" s="71">
        <f t="shared" si="33"/>
        <v>0</v>
      </c>
      <c r="U85" s="71">
        <f t="shared" si="33"/>
        <v>0</v>
      </c>
      <c r="V85" s="71">
        <f t="shared" si="33"/>
        <v>0</v>
      </c>
      <c r="W85" s="71">
        <f t="shared" si="33"/>
        <v>0</v>
      </c>
      <c r="X85" s="71">
        <f t="shared" si="33"/>
        <v>0</v>
      </c>
      <c r="Y85" s="71">
        <f t="shared" si="33"/>
        <v>0</v>
      </c>
      <c r="Z85" s="71">
        <f t="shared" si="33"/>
        <v>0</v>
      </c>
      <c r="AA85" s="71">
        <f t="shared" si="33"/>
        <v>0</v>
      </c>
      <c r="AB85" s="71">
        <f t="shared" si="33"/>
        <v>0</v>
      </c>
      <c r="AC85" s="71">
        <f t="shared" si="33"/>
        <v>0</v>
      </c>
      <c r="AD85" s="71">
        <f t="shared" si="33"/>
        <v>0</v>
      </c>
      <c r="AE85" s="71">
        <f t="shared" si="33"/>
        <v>0</v>
      </c>
      <c r="AF85" s="71">
        <f t="shared" si="33"/>
        <v>0</v>
      </c>
      <c r="AG85" s="144"/>
      <c r="AH85" s="54">
        <f t="shared" si="22"/>
        <v>2</v>
      </c>
      <c r="AI85" s="55">
        <f t="shared" si="25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/>
      <c r="AD86" s="74"/>
      <c r="AE86" s="74"/>
      <c r="AF86" s="74"/>
      <c r="AG86" s="141"/>
      <c r="AH86" s="54">
        <f t="shared" si="22"/>
        <v>0</v>
      </c>
      <c r="AI86" s="55">
        <f t="shared" si="25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 t="shared" ref="B87" si="34">SUM(B81:B86)</f>
        <v>415</v>
      </c>
      <c r="C87" s="66">
        <f t="shared" ref="C87:AF87" si="35">SUM(C81:C86)</f>
        <v>410</v>
      </c>
      <c r="D87" s="66">
        <f t="shared" si="35"/>
        <v>398</v>
      </c>
      <c r="E87" s="66">
        <f t="shared" si="35"/>
        <v>389</v>
      </c>
      <c r="F87" s="66">
        <f t="shared" si="35"/>
        <v>450</v>
      </c>
      <c r="G87" s="66">
        <f t="shared" si="35"/>
        <v>409</v>
      </c>
      <c r="H87" s="66">
        <f t="shared" si="35"/>
        <v>450</v>
      </c>
      <c r="I87" s="66">
        <f t="shared" si="35"/>
        <v>389</v>
      </c>
      <c r="J87" s="66">
        <f t="shared" si="35"/>
        <v>380</v>
      </c>
      <c r="K87" s="66">
        <f t="shared" si="35"/>
        <v>440</v>
      </c>
      <c r="L87" s="66">
        <f t="shared" si="35"/>
        <v>386</v>
      </c>
      <c r="M87" s="66">
        <f t="shared" si="35"/>
        <v>350</v>
      </c>
      <c r="N87" s="66">
        <f t="shared" si="35"/>
        <v>386</v>
      </c>
      <c r="O87" s="66">
        <f t="shared" si="35"/>
        <v>373</v>
      </c>
      <c r="P87" s="66">
        <f t="shared" si="35"/>
        <v>393</v>
      </c>
      <c r="Q87" s="66">
        <f t="shared" si="35"/>
        <v>355</v>
      </c>
      <c r="R87" s="66">
        <f t="shared" si="35"/>
        <v>355</v>
      </c>
      <c r="S87" s="66">
        <f t="shared" si="35"/>
        <v>378</v>
      </c>
      <c r="T87" s="66">
        <f t="shared" si="35"/>
        <v>368</v>
      </c>
      <c r="U87" s="66">
        <f t="shared" si="35"/>
        <v>375</v>
      </c>
      <c r="V87" s="66">
        <f t="shared" si="35"/>
        <v>437</v>
      </c>
      <c r="W87" s="66">
        <f t="shared" si="35"/>
        <v>424</v>
      </c>
      <c r="X87" s="66">
        <f t="shared" si="35"/>
        <v>367</v>
      </c>
      <c r="Y87" s="66">
        <f t="shared" si="35"/>
        <v>371</v>
      </c>
      <c r="Z87" s="66">
        <f t="shared" si="35"/>
        <v>310</v>
      </c>
      <c r="AA87" s="66">
        <f t="shared" si="35"/>
        <v>247</v>
      </c>
      <c r="AB87" s="66">
        <f t="shared" si="35"/>
        <v>254.6</v>
      </c>
      <c r="AC87" s="66">
        <f t="shared" si="35"/>
        <v>246.5</v>
      </c>
      <c r="AD87" s="66">
        <f t="shared" si="35"/>
        <v>288</v>
      </c>
      <c r="AE87" s="66">
        <f t="shared" si="35"/>
        <v>306</v>
      </c>
      <c r="AF87" s="66">
        <f t="shared" si="35"/>
        <v>403.4</v>
      </c>
      <c r="AG87" s="138"/>
      <c r="AH87" s="54">
        <f t="shared" si="22"/>
        <v>450</v>
      </c>
      <c r="AI87" s="55">
        <f t="shared" si="25"/>
        <v>246.5</v>
      </c>
      <c r="AK87" s="56"/>
    </row>
    <row r="88" spans="1:88" s="1" customFormat="1" ht="15.75" thickBot="1" x14ac:dyDescent="0.3">
      <c r="A88" s="65" t="s">
        <v>64</v>
      </c>
      <c r="B88" s="66">
        <f t="shared" ref="B88" si="36">B72-B87</f>
        <v>-401</v>
      </c>
      <c r="C88" s="66">
        <f t="shared" ref="C88:AF88" si="37">C72-C87</f>
        <v>-406</v>
      </c>
      <c r="D88" s="66">
        <f t="shared" si="37"/>
        <v>-398</v>
      </c>
      <c r="E88" s="66">
        <f t="shared" si="37"/>
        <v>-371</v>
      </c>
      <c r="F88" s="66">
        <f t="shared" si="37"/>
        <v>-445</v>
      </c>
      <c r="G88" s="66">
        <f t="shared" si="37"/>
        <v>-400</v>
      </c>
      <c r="H88" s="66">
        <f t="shared" si="37"/>
        <v>-442</v>
      </c>
      <c r="I88" s="66">
        <f t="shared" si="37"/>
        <v>-386</v>
      </c>
      <c r="J88" s="66">
        <f t="shared" si="37"/>
        <v>-380</v>
      </c>
      <c r="K88" s="66">
        <f t="shared" si="37"/>
        <v>-440</v>
      </c>
      <c r="L88" s="66">
        <f t="shared" si="37"/>
        <v>-386</v>
      </c>
      <c r="M88" s="66">
        <f t="shared" si="37"/>
        <v>-350</v>
      </c>
      <c r="N88" s="66">
        <f t="shared" si="37"/>
        <v>-367.1</v>
      </c>
      <c r="O88" s="66">
        <f t="shared" si="37"/>
        <v>-344.8</v>
      </c>
      <c r="P88" s="66">
        <f t="shared" si="37"/>
        <v>-377.7</v>
      </c>
      <c r="Q88" s="66">
        <f t="shared" si="37"/>
        <v>-339</v>
      </c>
      <c r="R88" s="66">
        <f t="shared" si="37"/>
        <v>-339</v>
      </c>
      <c r="S88" s="66">
        <f t="shared" si="37"/>
        <v>-354</v>
      </c>
      <c r="T88" s="66">
        <f t="shared" si="37"/>
        <v>-351</v>
      </c>
      <c r="U88" s="66">
        <f t="shared" si="37"/>
        <v>-361.3</v>
      </c>
      <c r="V88" s="66">
        <f t="shared" si="37"/>
        <v>-423.7</v>
      </c>
      <c r="W88" s="66">
        <f t="shared" si="37"/>
        <v>-411</v>
      </c>
      <c r="X88" s="66">
        <f t="shared" si="37"/>
        <v>-359.4</v>
      </c>
      <c r="Y88" s="66">
        <f t="shared" si="37"/>
        <v>-336.6</v>
      </c>
      <c r="Z88" s="66">
        <f t="shared" si="37"/>
        <v>-260</v>
      </c>
      <c r="AA88" s="66">
        <f t="shared" si="37"/>
        <v>-212.6</v>
      </c>
      <c r="AB88" s="66">
        <f t="shared" si="37"/>
        <v>-226.79999999999998</v>
      </c>
      <c r="AC88" s="66">
        <f t="shared" si="37"/>
        <v>-216</v>
      </c>
      <c r="AD88" s="66">
        <f t="shared" si="37"/>
        <v>-255.6</v>
      </c>
      <c r="AE88" s="66">
        <f t="shared" si="37"/>
        <v>-296.3</v>
      </c>
      <c r="AF88" s="66">
        <f t="shared" si="37"/>
        <v>-399.09999999999997</v>
      </c>
      <c r="AG88" s="138"/>
      <c r="AH88" s="54">
        <f t="shared" si="22"/>
        <v>-212.6</v>
      </c>
      <c r="AI88" s="55">
        <f t="shared" si="25"/>
        <v>-445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50.01</v>
      </c>
      <c r="C89" s="80">
        <v>50.03</v>
      </c>
      <c r="D89" s="80">
        <v>50.02</v>
      </c>
      <c r="E89" s="80">
        <v>49.997</v>
      </c>
      <c r="F89" s="80">
        <v>49.997</v>
      </c>
      <c r="G89" s="80">
        <v>50.002000000000002</v>
      </c>
      <c r="H89" s="80">
        <v>50.055999999999997</v>
      </c>
      <c r="I89" s="80">
        <v>49.935000000000002</v>
      </c>
      <c r="J89" s="80">
        <v>49.912999999999997</v>
      </c>
      <c r="K89" s="80">
        <v>49.917999999999999</v>
      </c>
      <c r="L89" s="80">
        <v>50.012999999999998</v>
      </c>
      <c r="M89" s="80">
        <v>50.04</v>
      </c>
      <c r="N89" s="80">
        <v>50.01</v>
      </c>
      <c r="O89" s="80">
        <v>49.99</v>
      </c>
      <c r="P89" s="80">
        <v>50</v>
      </c>
      <c r="Q89" s="80">
        <v>49.96</v>
      </c>
      <c r="R89" s="80">
        <v>49.96</v>
      </c>
      <c r="S89" s="80">
        <v>49.997999999999998</v>
      </c>
      <c r="T89" s="80">
        <v>49.985999999999997</v>
      </c>
      <c r="U89" s="80">
        <v>50.000999999999998</v>
      </c>
      <c r="V89" s="80">
        <v>50.000999999999998</v>
      </c>
      <c r="W89" s="80">
        <v>49.86</v>
      </c>
      <c r="X89" s="80">
        <v>49.9</v>
      </c>
      <c r="Y89" s="80">
        <v>49.944000000000003</v>
      </c>
      <c r="Z89" s="80">
        <v>50.043999999999997</v>
      </c>
      <c r="AA89" s="80">
        <v>50.031999999999996</v>
      </c>
      <c r="AB89" s="80">
        <v>50.052</v>
      </c>
      <c r="AC89" s="80">
        <v>50.021000000000001</v>
      </c>
      <c r="AD89" s="80">
        <v>50.02</v>
      </c>
      <c r="AE89" s="80">
        <v>50.03</v>
      </c>
      <c r="AF89" s="80">
        <v>50.03</v>
      </c>
      <c r="AG89" s="145"/>
      <c r="AH89" s="54">
        <f t="shared" si="22"/>
        <v>50.055999999999997</v>
      </c>
      <c r="AI89" s="55">
        <f t="shared" si="25"/>
        <v>49.86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127.9</v>
      </c>
      <c r="C90" s="48">
        <v>125.1</v>
      </c>
      <c r="D90" s="48">
        <v>125.4</v>
      </c>
      <c r="E90" s="48">
        <v>127</v>
      </c>
      <c r="F90" s="48">
        <v>127</v>
      </c>
      <c r="G90" s="48">
        <v>126</v>
      </c>
      <c r="H90" s="48">
        <v>127</v>
      </c>
      <c r="I90" s="48">
        <v>125</v>
      </c>
      <c r="J90" s="48">
        <v>125</v>
      </c>
      <c r="K90" s="48">
        <v>125</v>
      </c>
      <c r="L90" s="48">
        <v>122</v>
      </c>
      <c r="M90" s="48">
        <v>122.9</v>
      </c>
      <c r="N90" s="48">
        <v>123.1</v>
      </c>
      <c r="O90" s="48">
        <v>123.1</v>
      </c>
      <c r="P90" s="48">
        <v>122.6</v>
      </c>
      <c r="Q90" s="48">
        <v>122</v>
      </c>
      <c r="R90" s="48">
        <v>122</v>
      </c>
      <c r="S90" s="48">
        <v>121.3</v>
      </c>
      <c r="T90" s="48">
        <v>123</v>
      </c>
      <c r="U90" s="48">
        <v>123.4</v>
      </c>
      <c r="V90" s="48">
        <v>123.4</v>
      </c>
      <c r="W90" s="48">
        <v>124.2</v>
      </c>
      <c r="X90" s="48">
        <v>124.1</v>
      </c>
      <c r="Y90" s="48">
        <v>124.4</v>
      </c>
      <c r="Z90" s="48">
        <v>127</v>
      </c>
      <c r="AA90" s="48">
        <v>126.1</v>
      </c>
      <c r="AB90" s="48">
        <v>125.6</v>
      </c>
      <c r="AC90" s="48">
        <v>124.9</v>
      </c>
      <c r="AD90" s="48">
        <v>123.6</v>
      </c>
      <c r="AE90" s="48">
        <v>125.4</v>
      </c>
      <c r="AF90" s="48">
        <v>123.2</v>
      </c>
      <c r="AG90" s="146"/>
      <c r="AH90" s="54">
        <f t="shared" si="22"/>
        <v>127.9</v>
      </c>
      <c r="AI90" s="55">
        <f t="shared" si="25"/>
        <v>121.3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131.5</v>
      </c>
      <c r="C91" s="48">
        <v>129.9</v>
      </c>
      <c r="D91" s="48">
        <v>130.19999999999999</v>
      </c>
      <c r="E91" s="48">
        <v>131</v>
      </c>
      <c r="F91" s="48">
        <v>131</v>
      </c>
      <c r="G91" s="48">
        <v>131</v>
      </c>
      <c r="H91" s="48">
        <v>130</v>
      </c>
      <c r="I91" s="48">
        <v>129</v>
      </c>
      <c r="J91" s="48">
        <v>129</v>
      </c>
      <c r="K91" s="48">
        <v>129</v>
      </c>
      <c r="L91" s="48">
        <v>126</v>
      </c>
      <c r="M91" s="48">
        <v>127</v>
      </c>
      <c r="N91" s="48">
        <v>126.5</v>
      </c>
      <c r="O91" s="48">
        <v>126.3</v>
      </c>
      <c r="P91" s="48">
        <v>126</v>
      </c>
      <c r="Q91" s="48">
        <v>125.6</v>
      </c>
      <c r="R91" s="48">
        <v>125.6</v>
      </c>
      <c r="S91" s="48">
        <v>125.5</v>
      </c>
      <c r="T91" s="48">
        <v>127</v>
      </c>
      <c r="U91" s="48">
        <v>127.1</v>
      </c>
      <c r="V91" s="48">
        <v>127.1</v>
      </c>
      <c r="W91" s="48">
        <v>127.4</v>
      </c>
      <c r="X91" s="48">
        <v>127.3</v>
      </c>
      <c r="Y91" s="48">
        <v>127.3</v>
      </c>
      <c r="Z91" s="48">
        <v>130.6</v>
      </c>
      <c r="AA91" s="48">
        <v>129.80000000000001</v>
      </c>
      <c r="AB91" s="48">
        <v>129.6</v>
      </c>
      <c r="AC91" s="48">
        <v>128.80000000000001</v>
      </c>
      <c r="AD91" s="48">
        <v>127.6</v>
      </c>
      <c r="AE91" s="48">
        <v>129.4</v>
      </c>
      <c r="AF91" s="48">
        <v>128.5</v>
      </c>
      <c r="AG91" s="146"/>
      <c r="AH91" s="54">
        <f t="shared" si="22"/>
        <v>131.5</v>
      </c>
      <c r="AI91" s="55">
        <f t="shared" si="25"/>
        <v>125.5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129.6</v>
      </c>
      <c r="C92" s="48">
        <v>127.5</v>
      </c>
      <c r="D92" s="48">
        <v>128.30000000000001</v>
      </c>
      <c r="E92" s="48">
        <v>131</v>
      </c>
      <c r="F92" s="48">
        <v>131</v>
      </c>
      <c r="G92" s="48">
        <v>127</v>
      </c>
      <c r="H92" s="48">
        <v>127</v>
      </c>
      <c r="I92" s="48">
        <v>128</v>
      </c>
      <c r="J92" s="48">
        <v>128</v>
      </c>
      <c r="K92" s="48">
        <v>128</v>
      </c>
      <c r="L92" s="48">
        <v>128</v>
      </c>
      <c r="M92" s="48">
        <v>126.5</v>
      </c>
      <c r="N92" s="48">
        <v>126.1</v>
      </c>
      <c r="O92" s="48">
        <v>127.9</v>
      </c>
      <c r="P92" s="48">
        <v>126.9</v>
      </c>
      <c r="Q92" s="48">
        <v>126.5</v>
      </c>
      <c r="R92" s="48">
        <v>126.5</v>
      </c>
      <c r="S92" s="48">
        <v>124.5</v>
      </c>
      <c r="T92" s="48">
        <v>126</v>
      </c>
      <c r="U92" s="48">
        <v>128.4</v>
      </c>
      <c r="V92" s="48">
        <v>128.4</v>
      </c>
      <c r="W92" s="48">
        <v>130.80000000000001</v>
      </c>
      <c r="X92" s="48">
        <v>127.9</v>
      </c>
      <c r="Y92" s="48">
        <v>128</v>
      </c>
      <c r="Z92" s="48">
        <v>127.5</v>
      </c>
      <c r="AA92" s="48">
        <v>127.3</v>
      </c>
      <c r="AB92" s="48">
        <v>127.3</v>
      </c>
      <c r="AC92" s="48">
        <v>127.7</v>
      </c>
      <c r="AD92" s="48">
        <v>126.8</v>
      </c>
      <c r="AE92" s="48">
        <v>128.6</v>
      </c>
      <c r="AF92" s="48">
        <v>127.4</v>
      </c>
      <c r="AG92" s="146"/>
      <c r="AH92" s="54">
        <f t="shared" si="22"/>
        <v>131</v>
      </c>
      <c r="AI92" s="55">
        <f t="shared" si="25"/>
        <v>124.5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>
        <v>134.30000000000001</v>
      </c>
      <c r="C93" s="48">
        <v>132.30000000000001</v>
      </c>
      <c r="D93" s="48">
        <v>132.80000000000001</v>
      </c>
      <c r="E93" s="48">
        <v>136</v>
      </c>
      <c r="F93" s="48">
        <v>136</v>
      </c>
      <c r="G93" s="48">
        <v>132</v>
      </c>
      <c r="H93" s="48">
        <v>132</v>
      </c>
      <c r="I93" s="48">
        <v>132</v>
      </c>
      <c r="J93" s="48">
        <v>132</v>
      </c>
      <c r="K93" s="48">
        <v>132</v>
      </c>
      <c r="L93" s="48">
        <v>132</v>
      </c>
      <c r="M93" s="48">
        <v>130.19999999999999</v>
      </c>
      <c r="N93" s="48">
        <v>129.19999999999999</v>
      </c>
      <c r="O93" s="48">
        <v>132.6</v>
      </c>
      <c r="P93" s="48">
        <v>131.9</v>
      </c>
      <c r="Q93" s="48">
        <v>131.4</v>
      </c>
      <c r="R93" s="48">
        <v>131.4</v>
      </c>
      <c r="S93" s="48">
        <v>128.80000000000001</v>
      </c>
      <c r="T93" s="48">
        <v>130</v>
      </c>
      <c r="U93" s="48">
        <v>132.19999999999999</v>
      </c>
      <c r="V93" s="48">
        <v>132.19999999999999</v>
      </c>
      <c r="W93" s="48">
        <v>134.5</v>
      </c>
      <c r="X93" s="48">
        <v>132</v>
      </c>
      <c r="Y93" s="48">
        <v>133</v>
      </c>
      <c r="Z93" s="48">
        <v>131.6</v>
      </c>
      <c r="AA93" s="48">
        <v>131.5</v>
      </c>
      <c r="AB93" s="48">
        <v>131.6</v>
      </c>
      <c r="AC93" s="48">
        <v>132.30000000000001</v>
      </c>
      <c r="AD93" s="48">
        <v>131.4</v>
      </c>
      <c r="AE93" s="48">
        <v>133.5</v>
      </c>
      <c r="AF93" s="48">
        <v>133.1</v>
      </c>
      <c r="AG93" s="146"/>
      <c r="AH93" s="54">
        <f t="shared" si="22"/>
        <v>136</v>
      </c>
      <c r="AI93" s="55">
        <f t="shared" si="25"/>
        <v>128.80000000000001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133.5</v>
      </c>
      <c r="C94" s="82">
        <v>133.4</v>
      </c>
      <c r="D94" s="82">
        <v>132.6</v>
      </c>
      <c r="E94" s="82">
        <v>132</v>
      </c>
      <c r="F94" s="82">
        <v>132</v>
      </c>
      <c r="G94" s="82">
        <v>133</v>
      </c>
      <c r="H94" s="82">
        <v>133</v>
      </c>
      <c r="I94" s="82">
        <v>131</v>
      </c>
      <c r="J94" s="82">
        <v>131</v>
      </c>
      <c r="K94" s="82">
        <v>131</v>
      </c>
      <c r="L94" s="82">
        <v>131</v>
      </c>
      <c r="M94" s="82">
        <v>132.9</v>
      </c>
      <c r="N94" s="82">
        <v>133.1</v>
      </c>
      <c r="O94" s="82">
        <v>134.19999999999999</v>
      </c>
      <c r="P94" s="82">
        <v>129.80000000000001</v>
      </c>
      <c r="Q94" s="82">
        <v>133.1</v>
      </c>
      <c r="R94" s="82">
        <v>133.1</v>
      </c>
      <c r="S94" s="82">
        <v>132.6</v>
      </c>
      <c r="T94" s="82">
        <v>134</v>
      </c>
      <c r="U94" s="82">
        <v>133.1</v>
      </c>
      <c r="V94" s="82">
        <v>133.1</v>
      </c>
      <c r="W94" s="82">
        <v>131.6</v>
      </c>
      <c r="X94" s="82">
        <v>130.9</v>
      </c>
      <c r="Y94" s="82">
        <v>133.69999999999999</v>
      </c>
      <c r="Z94" s="82">
        <v>133.30000000000001</v>
      </c>
      <c r="AA94" s="82">
        <v>130</v>
      </c>
      <c r="AB94" s="82">
        <v>132.6</v>
      </c>
      <c r="AC94" s="82">
        <v>134.5</v>
      </c>
      <c r="AD94" s="82">
        <v>130.1</v>
      </c>
      <c r="AE94" s="82">
        <v>134</v>
      </c>
      <c r="AF94" s="82">
        <v>127.5</v>
      </c>
      <c r="AG94" s="147"/>
      <c r="AH94" s="54">
        <f t="shared" si="22"/>
        <v>134.5</v>
      </c>
      <c r="AI94" s="55">
        <f t="shared" si="25"/>
        <v>127.5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135.4</v>
      </c>
      <c r="C95" s="48">
        <v>135.69999999999999</v>
      </c>
      <c r="D95" s="48">
        <v>135.1</v>
      </c>
      <c r="E95" s="48">
        <v>135</v>
      </c>
      <c r="F95" s="48">
        <v>135</v>
      </c>
      <c r="G95" s="48">
        <v>130</v>
      </c>
      <c r="H95" s="48">
        <v>130</v>
      </c>
      <c r="I95" s="48">
        <v>127</v>
      </c>
      <c r="J95" s="48">
        <v>127</v>
      </c>
      <c r="K95" s="48">
        <v>127</v>
      </c>
      <c r="L95" s="48">
        <v>132</v>
      </c>
      <c r="M95" s="48">
        <v>134.4</v>
      </c>
      <c r="N95" s="48">
        <v>133.69999999999999</v>
      </c>
      <c r="O95" s="48">
        <v>133.80000000000001</v>
      </c>
      <c r="P95" s="48">
        <v>133.80000000000001</v>
      </c>
      <c r="Q95" s="48">
        <v>133.19999999999999</v>
      </c>
      <c r="R95" s="48">
        <v>133.19999999999999</v>
      </c>
      <c r="S95" s="48">
        <v>133.5</v>
      </c>
      <c r="T95" s="48">
        <v>132</v>
      </c>
      <c r="U95" s="48">
        <v>133.19999999999999</v>
      </c>
      <c r="V95" s="48">
        <v>133.19999999999999</v>
      </c>
      <c r="W95" s="48">
        <v>131.6</v>
      </c>
      <c r="X95" s="48">
        <v>131.4</v>
      </c>
      <c r="Y95" s="48">
        <v>134</v>
      </c>
      <c r="Z95" s="48">
        <v>130.69999999999999</v>
      </c>
      <c r="AA95" s="48">
        <v>127.6</v>
      </c>
      <c r="AB95" s="48">
        <v>131.4</v>
      </c>
      <c r="AC95" s="48">
        <v>136.6</v>
      </c>
      <c r="AD95" s="48">
        <v>130.9</v>
      </c>
      <c r="AE95" s="48">
        <v>130.9</v>
      </c>
      <c r="AF95" s="48">
        <v>124.4</v>
      </c>
      <c r="AG95" s="146"/>
      <c r="AH95" s="54">
        <f t="shared" si="22"/>
        <v>136.6</v>
      </c>
      <c r="AI95" s="55">
        <f t="shared" si="25"/>
        <v>124.4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66.599999999999994</v>
      </c>
      <c r="C96" s="83">
        <v>65.7</v>
      </c>
      <c r="D96" s="83">
        <v>65.8</v>
      </c>
      <c r="E96" s="83">
        <v>66</v>
      </c>
      <c r="F96" s="83">
        <v>66</v>
      </c>
      <c r="G96" s="83">
        <v>66</v>
      </c>
      <c r="H96" s="83">
        <v>66</v>
      </c>
      <c r="I96" s="83">
        <v>64.5</v>
      </c>
      <c r="J96" s="83">
        <v>64.5</v>
      </c>
      <c r="K96" s="83">
        <v>64.7</v>
      </c>
      <c r="L96" s="83">
        <v>63.6</v>
      </c>
      <c r="M96" s="83">
        <v>63.9</v>
      </c>
      <c r="N96" s="83">
        <v>63.9</v>
      </c>
      <c r="O96" s="83">
        <v>63.6</v>
      </c>
      <c r="P96" s="83">
        <v>63.4</v>
      </c>
      <c r="Q96" s="83">
        <v>63.1</v>
      </c>
      <c r="R96" s="83">
        <v>63.1</v>
      </c>
      <c r="S96" s="83">
        <v>63.5</v>
      </c>
      <c r="T96" s="83">
        <v>64</v>
      </c>
      <c r="U96" s="83">
        <v>64.099999999999994</v>
      </c>
      <c r="V96" s="83">
        <v>64.099999999999994</v>
      </c>
      <c r="W96" s="83">
        <v>64.599999999999994</v>
      </c>
      <c r="X96" s="83">
        <v>64.7</v>
      </c>
      <c r="Y96" s="83">
        <v>64.5</v>
      </c>
      <c r="Z96" s="83">
        <v>65.8</v>
      </c>
      <c r="AA96" s="83">
        <v>65.5</v>
      </c>
      <c r="AB96" s="83">
        <v>65.5</v>
      </c>
      <c r="AC96" s="83">
        <v>65.2</v>
      </c>
      <c r="AD96" s="83">
        <v>64.3</v>
      </c>
      <c r="AE96" s="83">
        <v>65.400000000000006</v>
      </c>
      <c r="AF96" s="83">
        <v>64.900000000000006</v>
      </c>
      <c r="AG96" s="148"/>
      <c r="AH96" s="54">
        <f t="shared" si="22"/>
        <v>66.599999999999994</v>
      </c>
      <c r="AI96" s="55">
        <f t="shared" si="25"/>
        <v>63.1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22"/>
        <v>0</v>
      </c>
      <c r="AI97" s="55">
        <f t="shared" si="25"/>
        <v>0</v>
      </c>
    </row>
    <row r="98" spans="1:37" ht="15.75" thickBot="1" x14ac:dyDescent="0.3">
      <c r="A98" s="85" t="s">
        <v>73</v>
      </c>
      <c r="B98" s="86">
        <f t="shared" ref="B98:AF98" si="38">SUM(B15,B18,B21:B22,B46,B48:B49,B51,B53,B99:B102,B123,B129,B135,B144,B146,B158,B165,B168:B169,B176,B178,B180,B184:B186,B188:B190,B195,B201:B202,B204:B206,B214,B219)</f>
        <v>58.699999999999996</v>
      </c>
      <c r="C98" s="86">
        <f t="shared" si="38"/>
        <v>46.14</v>
      </c>
      <c r="D98" s="86">
        <f t="shared" si="38"/>
        <v>54.14</v>
      </c>
      <c r="E98" s="86">
        <f t="shared" si="38"/>
        <v>18.539999999999996</v>
      </c>
      <c r="F98" s="86">
        <f t="shared" si="38"/>
        <v>47.539999999999992</v>
      </c>
      <c r="G98" s="86">
        <f t="shared" si="38"/>
        <v>56.739999999999981</v>
      </c>
      <c r="H98" s="86">
        <f t="shared" si="38"/>
        <v>81.539999999999992</v>
      </c>
      <c r="I98" s="86">
        <f t="shared" si="38"/>
        <v>108.53999999999999</v>
      </c>
      <c r="J98" s="86">
        <f t="shared" si="38"/>
        <v>112.53999999999999</v>
      </c>
      <c r="K98" s="86">
        <f t="shared" si="38"/>
        <v>135.54</v>
      </c>
      <c r="L98" s="86">
        <f t="shared" si="38"/>
        <v>162.54</v>
      </c>
      <c r="M98" s="86">
        <f t="shared" si="38"/>
        <v>156.34000000000003</v>
      </c>
      <c r="N98" s="86">
        <f t="shared" si="38"/>
        <v>166.04</v>
      </c>
      <c r="O98" s="86">
        <f t="shared" si="38"/>
        <v>157.63999999999999</v>
      </c>
      <c r="P98" s="86">
        <f t="shared" si="38"/>
        <v>149.74</v>
      </c>
      <c r="Q98" s="86">
        <f t="shared" si="38"/>
        <v>149.80000000000001</v>
      </c>
      <c r="R98" s="86">
        <f t="shared" si="38"/>
        <v>150.80000000000001</v>
      </c>
      <c r="S98" s="86">
        <f t="shared" si="38"/>
        <v>162.5</v>
      </c>
      <c r="T98" s="86">
        <f t="shared" si="38"/>
        <v>162.10000000000002</v>
      </c>
      <c r="U98" s="86">
        <f t="shared" si="38"/>
        <v>166.5</v>
      </c>
      <c r="V98" s="86">
        <f t="shared" si="38"/>
        <v>137.5</v>
      </c>
      <c r="W98" s="86">
        <f t="shared" si="38"/>
        <v>227.4</v>
      </c>
      <c r="X98" s="86">
        <f t="shared" si="38"/>
        <v>134.59999999999997</v>
      </c>
      <c r="Y98" s="86">
        <f t="shared" si="38"/>
        <v>130.6</v>
      </c>
      <c r="Z98" s="86">
        <f t="shared" si="38"/>
        <v>178.7</v>
      </c>
      <c r="AA98" s="86">
        <f t="shared" si="38"/>
        <v>211.70000000000002</v>
      </c>
      <c r="AB98" s="86">
        <f t="shared" si="38"/>
        <v>197.4</v>
      </c>
      <c r="AC98" s="86">
        <f t="shared" si="38"/>
        <v>186.09999999999997</v>
      </c>
      <c r="AD98" s="86">
        <f t="shared" si="38"/>
        <v>187</v>
      </c>
      <c r="AE98" s="86">
        <f t="shared" si="38"/>
        <v>116.80000000000001</v>
      </c>
      <c r="AF98" s="86">
        <f t="shared" si="38"/>
        <v>74.600000000000037</v>
      </c>
      <c r="AG98" s="150"/>
      <c r="AH98" s="54">
        <f>MAX(C98:AF98)</f>
        <v>227.4</v>
      </c>
      <c r="AI98" s="55">
        <f>MIN(C98:AF98)</f>
        <v>18.539999999999996</v>
      </c>
    </row>
    <row r="99" spans="1:37" x14ac:dyDescent="0.25">
      <c r="A99" s="170" t="s">
        <v>74</v>
      </c>
      <c r="B99" s="87">
        <f>18.4+6.7</f>
        <v>25.099999999999998</v>
      </c>
      <c r="C99" s="87">
        <v>35</v>
      </c>
      <c r="D99" s="87">
        <f>23.5+12.2</f>
        <v>35.700000000000003</v>
      </c>
      <c r="E99" s="87">
        <v>9</v>
      </c>
      <c r="F99" s="87">
        <v>0</v>
      </c>
      <c r="G99" s="87">
        <v>2.2000000000000002</v>
      </c>
      <c r="H99" s="87">
        <v>11</v>
      </c>
      <c r="I99" s="87">
        <v>10</v>
      </c>
      <c r="J99" s="87">
        <v>22</v>
      </c>
      <c r="K99" s="87">
        <v>29</v>
      </c>
      <c r="L99" s="87">
        <v>29</v>
      </c>
      <c r="M99" s="87">
        <v>32.299999999999997</v>
      </c>
      <c r="N99" s="87">
        <v>25.5</v>
      </c>
      <c r="O99" s="87">
        <v>26.7</v>
      </c>
      <c r="P99" s="87">
        <v>27.9</v>
      </c>
      <c r="Q99" s="87">
        <v>28.9</v>
      </c>
      <c r="R99" s="87">
        <v>29.9</v>
      </c>
      <c r="S99" s="87">
        <v>35.799999999999997</v>
      </c>
      <c r="T99" s="87">
        <v>33.299999999999997</v>
      </c>
      <c r="U99" s="87">
        <v>27.5</v>
      </c>
      <c r="V99" s="87">
        <v>28.5</v>
      </c>
      <c r="W99" s="87">
        <v>34.6</v>
      </c>
      <c r="X99" s="87">
        <v>32.799999999999997</v>
      </c>
      <c r="Y99" s="87">
        <v>37.6</v>
      </c>
      <c r="Z99" s="87">
        <v>16.7</v>
      </c>
      <c r="AA99" s="87">
        <v>17.399999999999999</v>
      </c>
      <c r="AB99" s="87">
        <v>19.7</v>
      </c>
      <c r="AC99" s="87">
        <v>14.8</v>
      </c>
      <c r="AD99" s="87">
        <f>33.6+16.7</f>
        <v>50.3</v>
      </c>
      <c r="AE99" s="87">
        <v>44.9</v>
      </c>
      <c r="AF99" s="87">
        <f>25.1+9.7</f>
        <v>34.799999999999997</v>
      </c>
      <c r="AG99" s="151">
        <v>75</v>
      </c>
      <c r="AH99" s="54">
        <f t="shared" ref="AH99:AH105" si="39">IF(ABS(MAX(C99:AF99))&gt;ABS(MIN(C99:AF99)),MAX(C99:AF99),MIN(C99:AF99))</f>
        <v>50.3</v>
      </c>
      <c r="AI99" s="89">
        <f t="shared" ref="AI99:AI105" si="40">INDEX($C$9:$AF$9,1,MATCH(AH99,C99:AF99,0))</f>
        <v>0.875</v>
      </c>
    </row>
    <row r="100" spans="1:37" x14ac:dyDescent="0.25">
      <c r="A100" s="163" t="s">
        <v>75</v>
      </c>
      <c r="B100" s="90">
        <f>-62.8-67.3</f>
        <v>-130.1</v>
      </c>
      <c r="C100" s="90">
        <f>-65.9-70.6</f>
        <v>-136.5</v>
      </c>
      <c r="D100" s="90">
        <f>-65.7-70.2</f>
        <v>-135.9</v>
      </c>
      <c r="E100" s="90">
        <v>-135</v>
      </c>
      <c r="F100" s="90">
        <v>-100</v>
      </c>
      <c r="G100" s="90">
        <v>-104</v>
      </c>
      <c r="H100" s="90">
        <v>-90</v>
      </c>
      <c r="I100" s="90">
        <v>-58</v>
      </c>
      <c r="J100" s="90">
        <v>-68</v>
      </c>
      <c r="K100" s="90">
        <v>-63</v>
      </c>
      <c r="L100" s="90">
        <v>-89</v>
      </c>
      <c r="M100" s="90">
        <f>-46.4-49.7</f>
        <v>-96.1</v>
      </c>
      <c r="N100" s="90">
        <f>-43.3-46.6</f>
        <v>-89.9</v>
      </c>
      <c r="O100" s="90">
        <f>-48.9-48.8</f>
        <v>-97.699999999999989</v>
      </c>
      <c r="P100" s="90">
        <f>-44-47.1</f>
        <v>-91.1</v>
      </c>
      <c r="Q100" s="90">
        <f>-44-47.1</f>
        <v>-91.1</v>
      </c>
      <c r="R100" s="90">
        <f>-44-47.1</f>
        <v>-91.1</v>
      </c>
      <c r="S100" s="90">
        <f>-56.2-52.3</f>
        <v>-108.5</v>
      </c>
      <c r="T100" s="90">
        <f>-55.1-51.5</f>
        <v>-106.6</v>
      </c>
      <c r="U100" s="90">
        <f>-52.8-49.1</f>
        <v>-101.9</v>
      </c>
      <c r="V100" s="90">
        <f>-52.8-49.1</f>
        <v>-101.9</v>
      </c>
      <c r="W100" s="90">
        <f>-18-17</f>
        <v>-35</v>
      </c>
      <c r="X100" s="90">
        <f>-33.8-31.1</f>
        <v>-64.900000000000006</v>
      </c>
      <c r="Y100" s="90">
        <f>-17.9-16.2</f>
        <v>-34.099999999999994</v>
      </c>
      <c r="Z100" s="90">
        <f>-12.4-20.5</f>
        <v>-32.9</v>
      </c>
      <c r="AA100" s="90">
        <v>-27.2</v>
      </c>
      <c r="AB100" s="90">
        <v>-36</v>
      </c>
      <c r="AC100" s="90">
        <v>-38.200000000000003</v>
      </c>
      <c r="AD100" s="90">
        <f>-32.6-35.1</f>
        <v>-67.7</v>
      </c>
      <c r="AE100" s="90">
        <f>-51.5-54.9</f>
        <v>-106.4</v>
      </c>
      <c r="AF100" s="90">
        <f>-64.3-69.1</f>
        <v>-133.39999999999998</v>
      </c>
      <c r="AG100" s="151">
        <v>240</v>
      </c>
      <c r="AH100" s="54">
        <f t="shared" si="39"/>
        <v>-136.5</v>
      </c>
      <c r="AI100" s="89">
        <f t="shared" si="40"/>
        <v>4.1666666666666664E-2</v>
      </c>
    </row>
    <row r="101" spans="1:37" x14ac:dyDescent="0.25">
      <c r="A101" s="163" t="s">
        <v>76</v>
      </c>
      <c r="B101" s="90">
        <v>-2.9</v>
      </c>
      <c r="C101" s="90">
        <v>-4.8</v>
      </c>
      <c r="D101" s="90">
        <v>-4.2</v>
      </c>
      <c r="E101" s="90">
        <v>-4</v>
      </c>
      <c r="F101" s="90">
        <v>-1</v>
      </c>
      <c r="G101" s="90">
        <v>0</v>
      </c>
      <c r="H101" s="90">
        <v>2</v>
      </c>
      <c r="I101" s="90">
        <v>8</v>
      </c>
      <c r="J101" s="90">
        <v>9</v>
      </c>
      <c r="K101" s="90">
        <v>10</v>
      </c>
      <c r="L101" s="90">
        <v>7</v>
      </c>
      <c r="M101" s="90">
        <v>7</v>
      </c>
      <c r="N101" s="90">
        <v>8.5</v>
      </c>
      <c r="O101" s="90">
        <v>11.3</v>
      </c>
      <c r="P101" s="90">
        <v>12.3</v>
      </c>
      <c r="Q101" s="90">
        <v>12.3</v>
      </c>
      <c r="R101" s="90">
        <v>12.3</v>
      </c>
      <c r="S101" s="90">
        <v>8.1</v>
      </c>
      <c r="T101" s="90">
        <v>7.6</v>
      </c>
      <c r="U101" s="90">
        <v>7.5</v>
      </c>
      <c r="V101" s="90">
        <v>7.5</v>
      </c>
      <c r="W101" s="90">
        <v>17.5</v>
      </c>
      <c r="X101" s="90">
        <v>13.6</v>
      </c>
      <c r="Y101" s="90">
        <v>15.5</v>
      </c>
      <c r="Z101" s="90">
        <v>25.6</v>
      </c>
      <c r="AA101" s="90">
        <v>25.2</v>
      </c>
      <c r="AB101" s="90">
        <v>16.3</v>
      </c>
      <c r="AC101" s="90">
        <v>14.2</v>
      </c>
      <c r="AD101" s="90">
        <v>9.8000000000000007</v>
      </c>
      <c r="AE101" s="90">
        <v>3.1</v>
      </c>
      <c r="AF101" s="90">
        <v>-2.2999999999999998</v>
      </c>
      <c r="AG101" s="151">
        <v>60</v>
      </c>
      <c r="AH101" s="54">
        <f t="shared" si="39"/>
        <v>25.6</v>
      </c>
      <c r="AI101" s="89">
        <f t="shared" si="40"/>
        <v>0.79166666666666663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47</v>
      </c>
      <c r="M102" s="91">
        <v>44.2</v>
      </c>
      <c r="N102" s="91">
        <v>53</v>
      </c>
      <c r="O102" s="91">
        <v>48.4</v>
      </c>
      <c r="P102" s="91">
        <v>31.7</v>
      </c>
      <c r="Q102" s="91">
        <v>31.7</v>
      </c>
      <c r="R102" s="91">
        <v>31.7</v>
      </c>
      <c r="S102" s="91">
        <v>21.1</v>
      </c>
      <c r="T102" s="91">
        <v>25.5</v>
      </c>
      <c r="U102" s="91">
        <v>31.1</v>
      </c>
      <c r="V102" s="91">
        <v>31.1</v>
      </c>
      <c r="W102" s="91">
        <v>38</v>
      </c>
      <c r="X102" s="91">
        <v>41.5</v>
      </c>
      <c r="Y102" s="91">
        <v>0</v>
      </c>
      <c r="Z102" s="91">
        <v>0</v>
      </c>
      <c r="AA102" s="91">
        <v>17</v>
      </c>
      <c r="AB102" s="91">
        <v>3.1</v>
      </c>
      <c r="AC102" s="91">
        <v>0</v>
      </c>
      <c r="AD102" s="91">
        <v>0</v>
      </c>
      <c r="AE102" s="91">
        <v>0</v>
      </c>
      <c r="AF102" s="91">
        <v>0</v>
      </c>
      <c r="AG102" s="152">
        <v>120</v>
      </c>
      <c r="AH102" s="54">
        <f t="shared" si="39"/>
        <v>53</v>
      </c>
      <c r="AI102" s="89">
        <f t="shared" si="40"/>
        <v>0.375</v>
      </c>
    </row>
    <row r="103" spans="1:37" x14ac:dyDescent="0.25">
      <c r="A103" s="164" t="s">
        <v>78</v>
      </c>
      <c r="B103" s="91">
        <v>77</v>
      </c>
      <c r="C103" s="91">
        <v>33.5</v>
      </c>
      <c r="D103" s="91">
        <v>37.5</v>
      </c>
      <c r="E103" s="91">
        <v>37</v>
      </c>
      <c r="F103" s="91">
        <v>58</v>
      </c>
      <c r="G103" s="91">
        <v>59</v>
      </c>
      <c r="H103" s="91">
        <v>38</v>
      </c>
      <c r="I103" s="91">
        <v>74</v>
      </c>
      <c r="J103" s="91">
        <v>64</v>
      </c>
      <c r="K103" s="91">
        <v>53</v>
      </c>
      <c r="L103" s="91">
        <v>44</v>
      </c>
      <c r="M103" s="91">
        <v>44.3</v>
      </c>
      <c r="N103" s="91">
        <v>51.5</v>
      </c>
      <c r="O103" s="91">
        <v>49.3</v>
      </c>
      <c r="P103" s="91">
        <v>33.700000000000003</v>
      </c>
      <c r="Q103" s="91">
        <v>33.700000000000003</v>
      </c>
      <c r="R103" s="91">
        <v>33.700000000000003</v>
      </c>
      <c r="S103" s="91">
        <v>30.5</v>
      </c>
      <c r="T103" s="91">
        <v>26.7</v>
      </c>
      <c r="U103" s="91">
        <v>33</v>
      </c>
      <c r="V103" s="91">
        <v>33</v>
      </c>
      <c r="W103" s="91">
        <v>33</v>
      </c>
      <c r="X103" s="91">
        <v>32</v>
      </c>
      <c r="Y103" s="91">
        <v>50.6</v>
      </c>
      <c r="Z103" s="91">
        <v>76.5</v>
      </c>
      <c r="AA103" s="91">
        <v>80</v>
      </c>
      <c r="AB103" s="91">
        <v>80.2</v>
      </c>
      <c r="AC103" s="91">
        <v>77.599999999999994</v>
      </c>
      <c r="AD103" s="91">
        <v>61.3</v>
      </c>
      <c r="AE103" s="91">
        <v>43.9</v>
      </c>
      <c r="AF103" s="91">
        <v>34.200000000000003</v>
      </c>
      <c r="AG103" s="152"/>
      <c r="AH103" s="54">
        <f t="shared" si="39"/>
        <v>80.2</v>
      </c>
      <c r="AI103" s="89">
        <f t="shared" si="40"/>
        <v>0.83333333333333337</v>
      </c>
    </row>
    <row r="104" spans="1:37" x14ac:dyDescent="0.25">
      <c r="A104" s="164" t="s">
        <v>105</v>
      </c>
      <c r="B104" s="91">
        <v>59.7</v>
      </c>
      <c r="C104" s="91">
        <v>54.6</v>
      </c>
      <c r="D104" s="91">
        <v>57.6</v>
      </c>
      <c r="E104" s="91">
        <v>75</v>
      </c>
      <c r="F104" s="91">
        <v>90</v>
      </c>
      <c r="G104" s="91">
        <v>87</v>
      </c>
      <c r="H104" s="91">
        <v>59</v>
      </c>
      <c r="I104" s="91">
        <v>61</v>
      </c>
      <c r="J104" s="91">
        <v>28</v>
      </c>
      <c r="K104" s="91">
        <v>15</v>
      </c>
      <c r="L104" s="91">
        <v>1.5</v>
      </c>
      <c r="M104" s="91">
        <v>14.4</v>
      </c>
      <c r="N104" s="91">
        <v>0</v>
      </c>
      <c r="O104" s="91">
        <v>13.2</v>
      </c>
      <c r="P104" s="91">
        <v>0</v>
      </c>
      <c r="Q104" s="91">
        <v>0</v>
      </c>
      <c r="R104" s="91">
        <v>0</v>
      </c>
      <c r="S104" s="91">
        <v>-28.9</v>
      </c>
      <c r="T104" s="91">
        <v>-36.700000000000003</v>
      </c>
      <c r="U104" s="91">
        <v>3.6</v>
      </c>
      <c r="V104" s="91">
        <v>3.6</v>
      </c>
      <c r="W104" s="91">
        <v>3.6</v>
      </c>
      <c r="X104" s="91">
        <v>-28</v>
      </c>
      <c r="Y104" s="91">
        <v>-29.3</v>
      </c>
      <c r="Z104" s="91">
        <v>71.8</v>
      </c>
      <c r="AA104" s="91">
        <v>50.1</v>
      </c>
      <c r="AB104" s="91">
        <v>56.5</v>
      </c>
      <c r="AC104" s="91">
        <v>48</v>
      </c>
      <c r="AD104" s="91">
        <v>53.1</v>
      </c>
      <c r="AE104" s="91">
        <v>30.9</v>
      </c>
      <c r="AF104" s="91">
        <v>60.1</v>
      </c>
      <c r="AG104" s="153"/>
      <c r="AH104" s="54">
        <f t="shared" si="39"/>
        <v>90</v>
      </c>
      <c r="AI104" s="89">
        <f t="shared" si="40"/>
        <v>0.16666666666666699</v>
      </c>
    </row>
    <row r="105" spans="1:37" ht="15.75" thickBot="1" x14ac:dyDescent="0.3">
      <c r="A105" s="171" t="s">
        <v>106</v>
      </c>
      <c r="B105" s="82">
        <v>109.6</v>
      </c>
      <c r="C105" s="82">
        <v>124.6</v>
      </c>
      <c r="D105" s="82">
        <v>123.4</v>
      </c>
      <c r="E105" s="82">
        <v>99</v>
      </c>
      <c r="F105" s="82">
        <v>123</v>
      </c>
      <c r="G105" s="82">
        <v>123</v>
      </c>
      <c r="H105" s="82">
        <v>122</v>
      </c>
      <c r="I105" s="82">
        <v>118</v>
      </c>
      <c r="J105" s="82">
        <v>118</v>
      </c>
      <c r="K105" s="82">
        <v>124</v>
      </c>
      <c r="L105" s="82">
        <v>112</v>
      </c>
      <c r="M105" s="82">
        <v>112.7</v>
      </c>
      <c r="N105" s="82">
        <v>111.4</v>
      </c>
      <c r="O105" s="82">
        <v>103.1</v>
      </c>
      <c r="P105" s="82">
        <v>109.8</v>
      </c>
      <c r="Q105" s="82">
        <v>109.8</v>
      </c>
      <c r="R105" s="82">
        <v>109.8</v>
      </c>
      <c r="S105" s="82">
        <v>103</v>
      </c>
      <c r="T105" s="82">
        <v>98.4</v>
      </c>
      <c r="U105" s="82">
        <v>104</v>
      </c>
      <c r="V105" s="82">
        <v>104</v>
      </c>
      <c r="W105" s="82">
        <v>104</v>
      </c>
      <c r="X105" s="82">
        <v>100</v>
      </c>
      <c r="Y105" s="82">
        <v>92.3</v>
      </c>
      <c r="Z105" s="82">
        <v>90.9</v>
      </c>
      <c r="AA105" s="82">
        <v>50</v>
      </c>
      <c r="AB105" s="82">
        <v>89.9</v>
      </c>
      <c r="AC105" s="82">
        <v>91.1</v>
      </c>
      <c r="AD105" s="82">
        <v>93</v>
      </c>
      <c r="AE105" s="82">
        <v>98.1</v>
      </c>
      <c r="AF105" s="82">
        <v>98.3</v>
      </c>
      <c r="AG105" s="153"/>
      <c r="AH105" s="54">
        <f t="shared" si="39"/>
        <v>124.6</v>
      </c>
      <c r="AI105" s="89">
        <f t="shared" si="40"/>
        <v>4.1666666666666664E-2</v>
      </c>
    </row>
    <row r="106" spans="1:37" ht="15.75" thickBot="1" x14ac:dyDescent="0.3">
      <c r="A106" s="92" t="s">
        <v>79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154"/>
      <c r="AH106" s="94"/>
      <c r="AI106" s="55"/>
      <c r="AK106" s="56"/>
    </row>
    <row r="107" spans="1:37" x14ac:dyDescent="0.25">
      <c r="A107" s="162" t="s">
        <v>133</v>
      </c>
      <c r="B107" s="95"/>
      <c r="C107" s="53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6">
        <v>9.94</v>
      </c>
      <c r="AH107" s="54"/>
      <c r="AI107" s="55"/>
      <c r="AK107" s="56"/>
    </row>
    <row r="108" spans="1:37" x14ac:dyDescent="0.25">
      <c r="A108" s="163" t="s">
        <v>134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/>
      <c r="AH108" s="54"/>
      <c r="AI108" s="55"/>
      <c r="AK108" s="56"/>
    </row>
    <row r="109" spans="1:37" x14ac:dyDescent="0.25">
      <c r="A109" s="163" t="s">
        <v>135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>
        <f>43+28+33</f>
        <v>104</v>
      </c>
      <c r="AK109" s="56"/>
    </row>
    <row r="110" spans="1:37" x14ac:dyDescent="0.25">
      <c r="A110" s="163" t="s">
        <v>136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>
        <f>53+53</f>
        <v>106</v>
      </c>
      <c r="AK110" s="56"/>
    </row>
    <row r="111" spans="1:37" x14ac:dyDescent="0.25">
      <c r="A111" s="163" t="s">
        <v>137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138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139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140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141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142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143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144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145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146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147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148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149</v>
      </c>
      <c r="B123" s="97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9">
        <v>9.9</v>
      </c>
      <c r="AH123" s="54"/>
      <c r="AI123" s="55"/>
      <c r="AK123" s="56"/>
    </row>
    <row r="124" spans="1:37" x14ac:dyDescent="0.25">
      <c r="A124" s="164" t="s">
        <v>80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100">
        <v>9.6579999999999995</v>
      </c>
      <c r="AH124" s="54"/>
      <c r="AI124" s="55"/>
      <c r="AK124" s="56"/>
    </row>
    <row r="125" spans="1:37" x14ac:dyDescent="0.25">
      <c r="A125" s="164" t="s">
        <v>150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</v>
      </c>
      <c r="AH125" s="54"/>
      <c r="AI125" s="55"/>
      <c r="AK125" s="56"/>
    </row>
    <row r="126" spans="1:37" x14ac:dyDescent="0.25">
      <c r="A126" s="164" t="s">
        <v>151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9.51</v>
      </c>
      <c r="AH126" s="54"/>
      <c r="AI126" s="55"/>
      <c r="AK126" s="56"/>
    </row>
    <row r="127" spans="1:37" x14ac:dyDescent="0.25">
      <c r="A127" s="164" t="s">
        <v>152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9.4</v>
      </c>
      <c r="AH127" s="54"/>
      <c r="AI127" s="55"/>
      <c r="AK127" s="56"/>
    </row>
    <row r="128" spans="1:37" x14ac:dyDescent="0.25">
      <c r="A128" s="164" t="s">
        <v>153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8.8000000000000007</v>
      </c>
      <c r="AH128" s="54"/>
      <c r="AI128" s="55"/>
      <c r="AK128" s="56"/>
    </row>
    <row r="129" spans="1:37" x14ac:dyDescent="0.25">
      <c r="A129" s="164" t="s">
        <v>154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8.5</v>
      </c>
      <c r="AH129" s="54"/>
      <c r="AI129" s="55"/>
      <c r="AK129" s="56"/>
    </row>
    <row r="130" spans="1:37" x14ac:dyDescent="0.25">
      <c r="A130" s="164" t="s">
        <v>155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156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8.4</v>
      </c>
      <c r="AH131" s="54"/>
      <c r="AI131" s="55"/>
      <c r="AK131" s="56"/>
    </row>
    <row r="132" spans="1:37" ht="13.5" customHeight="1" x14ac:dyDescent="0.25">
      <c r="A132" s="164" t="s">
        <v>157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</v>
      </c>
      <c r="AH132" s="54"/>
      <c r="AI132" s="55"/>
      <c r="AK132" s="56"/>
    </row>
    <row r="133" spans="1:37" x14ac:dyDescent="0.25">
      <c r="A133" s="164" t="s">
        <v>158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159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160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7.8</v>
      </c>
      <c r="AH135" s="54"/>
      <c r="AI135" s="55"/>
      <c r="AK135" s="56"/>
    </row>
    <row r="136" spans="1:37" x14ac:dyDescent="0.25">
      <c r="A136" s="164" t="s">
        <v>161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7.6</v>
      </c>
      <c r="AH136" s="54"/>
      <c r="AI136" s="55"/>
      <c r="AK136" s="56"/>
    </row>
    <row r="137" spans="1:37" x14ac:dyDescent="0.25">
      <c r="A137" s="164" t="s">
        <v>162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7.5</v>
      </c>
      <c r="AH137" s="54"/>
      <c r="AI137" s="55"/>
      <c r="AK137" s="56"/>
    </row>
    <row r="138" spans="1:37" x14ac:dyDescent="0.25">
      <c r="A138" s="164" t="s">
        <v>163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164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</v>
      </c>
      <c r="AH139" s="54"/>
      <c r="AI139" s="55"/>
      <c r="AK139" s="56"/>
    </row>
    <row r="140" spans="1:37" x14ac:dyDescent="0.25">
      <c r="A140" s="164" t="s">
        <v>165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166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167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168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6.6</v>
      </c>
      <c r="AH143" s="54"/>
      <c r="AI143" s="55"/>
      <c r="AK143" s="56"/>
    </row>
    <row r="144" spans="1:37" x14ac:dyDescent="0.25">
      <c r="A144" s="164" t="s">
        <v>169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170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6.4</v>
      </c>
      <c r="AH145" s="54"/>
      <c r="AI145" s="55"/>
      <c r="AK145" s="56"/>
    </row>
    <row r="146" spans="1:37" x14ac:dyDescent="0.25">
      <c r="A146" s="164" t="s">
        <v>171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</v>
      </c>
      <c r="AH146" s="54"/>
      <c r="AI146" s="55"/>
      <c r="AK146" s="56"/>
    </row>
    <row r="147" spans="1:37" x14ac:dyDescent="0.25">
      <c r="A147" s="164" t="s">
        <v>172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5.0999999999999996</v>
      </c>
      <c r="AH147" s="54"/>
      <c r="AI147" s="55"/>
      <c r="AK147" s="56"/>
    </row>
    <row r="148" spans="1:37" x14ac:dyDescent="0.25">
      <c r="A148" s="164" t="s">
        <v>173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</v>
      </c>
      <c r="AH148" s="54"/>
      <c r="AI148" s="55"/>
      <c r="AK148" s="56"/>
    </row>
    <row r="149" spans="1:37" x14ac:dyDescent="0.25">
      <c r="A149" s="163" t="s">
        <v>174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9">
        <v>5</v>
      </c>
      <c r="AH149" s="54"/>
      <c r="AI149" s="55"/>
      <c r="AK149" s="56"/>
    </row>
    <row r="150" spans="1:37" x14ac:dyDescent="0.25">
      <c r="A150" s="164" t="s">
        <v>175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100">
        <v>5</v>
      </c>
      <c r="AH150" s="54"/>
      <c r="AI150" s="55"/>
      <c r="AK150" s="56"/>
    </row>
    <row r="151" spans="1:37" x14ac:dyDescent="0.25">
      <c r="A151" s="164" t="s">
        <v>176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177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178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179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180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4.9930000000000003</v>
      </c>
      <c r="AH155" s="54"/>
      <c r="AI155" s="55"/>
      <c r="AK155" s="56"/>
    </row>
    <row r="156" spans="1:37" x14ac:dyDescent="0.25">
      <c r="A156" s="164" t="s">
        <v>181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4.9800000000000004</v>
      </c>
      <c r="AH156" s="54"/>
      <c r="AI156" s="55"/>
      <c r="AK156" s="56"/>
    </row>
    <row r="157" spans="1:37" x14ac:dyDescent="0.25">
      <c r="A157" s="164" t="s">
        <v>182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4.95</v>
      </c>
      <c r="AH157" s="54"/>
      <c r="AI157" s="55"/>
      <c r="AK157" s="56"/>
    </row>
    <row r="158" spans="1:37" x14ac:dyDescent="0.25">
      <c r="A158" s="164" t="s">
        <v>81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183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4.8</v>
      </c>
      <c r="AH159" s="54"/>
      <c r="AI159" s="55"/>
      <c r="AK159" s="56"/>
    </row>
    <row r="160" spans="1:37" x14ac:dyDescent="0.25">
      <c r="A160" s="164" t="s">
        <v>184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185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186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4.5</v>
      </c>
      <c r="AH162" s="54"/>
      <c r="AI162" s="55"/>
      <c r="AK162" s="56"/>
    </row>
    <row r="163" spans="1:37" x14ac:dyDescent="0.25">
      <c r="A163" s="164" t="s">
        <v>187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188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4.4550000000000001</v>
      </c>
      <c r="AH164" s="54"/>
      <c r="AI164" s="55"/>
      <c r="AK164" s="56"/>
    </row>
    <row r="165" spans="1:37" x14ac:dyDescent="0.25">
      <c r="A165" s="164" t="s">
        <v>189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4.41</v>
      </c>
      <c r="AH165" s="54"/>
      <c r="AI165" s="55"/>
      <c r="AK165" s="56"/>
    </row>
    <row r="166" spans="1:37" x14ac:dyDescent="0.25">
      <c r="A166" s="164" t="s">
        <v>190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4.4000000000000004</v>
      </c>
      <c r="AH166" s="54"/>
      <c r="AI166" s="55"/>
      <c r="AK166" s="56"/>
    </row>
    <row r="167" spans="1:37" x14ac:dyDescent="0.25">
      <c r="A167" s="164" t="s">
        <v>191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4.3600000000000003</v>
      </c>
      <c r="AH167" s="54"/>
      <c r="AI167" s="55"/>
      <c r="AK167" s="56"/>
    </row>
    <row r="168" spans="1:37" x14ac:dyDescent="0.25">
      <c r="A168" s="164" t="s">
        <v>192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4.2</v>
      </c>
      <c r="AH168" s="54"/>
      <c r="AI168" s="55"/>
      <c r="AK168" s="56"/>
    </row>
    <row r="169" spans="1:37" x14ac:dyDescent="0.25">
      <c r="A169" s="164" t="s">
        <v>193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</v>
      </c>
      <c r="AH169" s="54"/>
      <c r="AI169" s="55"/>
      <c r="AK169" s="56"/>
    </row>
    <row r="170" spans="1:37" x14ac:dyDescent="0.25">
      <c r="A170" s="164" t="s">
        <v>194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195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196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197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198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199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200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201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3.75</v>
      </c>
      <c r="AH177" s="54"/>
      <c r="AI177" s="55"/>
      <c r="AK177" s="56"/>
    </row>
    <row r="178" spans="1:37" x14ac:dyDescent="0.25">
      <c r="A178" s="164" t="s">
        <v>202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3.52</v>
      </c>
      <c r="AH178" s="54"/>
      <c r="AI178" s="55"/>
      <c r="AK178" s="56"/>
    </row>
    <row r="179" spans="1:37" x14ac:dyDescent="0.25">
      <c r="A179" s="164" t="s">
        <v>203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3.33</v>
      </c>
      <c r="AH179" s="54"/>
      <c r="AI179" s="55"/>
      <c r="AK179" s="56"/>
    </row>
    <row r="180" spans="1:37" x14ac:dyDescent="0.25">
      <c r="A180" s="164" t="s">
        <v>204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3.2</v>
      </c>
      <c r="AH180" s="54"/>
      <c r="AI180" s="55"/>
      <c r="AK180" s="56"/>
    </row>
    <row r="181" spans="1:37" x14ac:dyDescent="0.25">
      <c r="A181" s="164" t="s">
        <v>205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</v>
      </c>
      <c r="AH181" s="54"/>
      <c r="AI181" s="55"/>
      <c r="AK181" s="56"/>
    </row>
    <row r="182" spans="1:37" x14ac:dyDescent="0.25">
      <c r="A182" s="164" t="s">
        <v>206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207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208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209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210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211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212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213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2.83</v>
      </c>
      <c r="AH189" s="54"/>
      <c r="AI189" s="55"/>
      <c r="AK189" s="56"/>
    </row>
    <row r="190" spans="1:37" x14ac:dyDescent="0.25">
      <c r="A190" s="164" t="s">
        <v>214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2.5</v>
      </c>
      <c r="AH190" s="54"/>
      <c r="AI190" s="55"/>
      <c r="AK190" s="56"/>
    </row>
    <row r="191" spans="1:37" x14ac:dyDescent="0.25">
      <c r="A191" s="164" t="s">
        <v>215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216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2.4</v>
      </c>
      <c r="AH192" s="54"/>
      <c r="AI192" s="55"/>
      <c r="AK192" s="56"/>
    </row>
    <row r="193" spans="1:37" x14ac:dyDescent="0.25">
      <c r="A193" s="164" t="s">
        <v>217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218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2.2000000000000002</v>
      </c>
      <c r="AH194" s="54"/>
      <c r="AI194" s="55"/>
      <c r="AK194" s="56"/>
    </row>
    <row r="195" spans="1:37" x14ac:dyDescent="0.25">
      <c r="A195" s="164" t="s">
        <v>219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</v>
      </c>
      <c r="AH195" s="54"/>
      <c r="AI195" s="55"/>
      <c r="AK195" s="56"/>
    </row>
    <row r="196" spans="1:37" x14ac:dyDescent="0.25">
      <c r="A196" s="164" t="s">
        <v>220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221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222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1.8</v>
      </c>
      <c r="AH198" s="54"/>
      <c r="AI198" s="55"/>
      <c r="AK198" s="56"/>
    </row>
    <row r="199" spans="1:37" x14ac:dyDescent="0.25">
      <c r="A199" s="164" t="s">
        <v>223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224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1.65</v>
      </c>
      <c r="AH200" s="54"/>
      <c r="AI200" s="55"/>
      <c r="AK200" s="56"/>
    </row>
    <row r="201" spans="1:37" x14ac:dyDescent="0.25">
      <c r="A201" s="164" t="s">
        <v>225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1.5</v>
      </c>
      <c r="AH201" s="54"/>
      <c r="AI201" s="55"/>
      <c r="AK201" s="56"/>
    </row>
    <row r="202" spans="1:37" x14ac:dyDescent="0.25">
      <c r="A202" s="164" t="s">
        <v>226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0.998</v>
      </c>
      <c r="AH202" s="54"/>
      <c r="AI202" s="55"/>
      <c r="AK202" s="56"/>
    </row>
    <row r="203" spans="1:37" x14ac:dyDescent="0.25">
      <c r="A203" s="164" t="s">
        <v>227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0.997</v>
      </c>
      <c r="AH203" s="54"/>
      <c r="AI203" s="55"/>
      <c r="AK203" s="56"/>
    </row>
    <row r="204" spans="1:37" x14ac:dyDescent="0.25">
      <c r="A204" s="164" t="s">
        <v>228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229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0.996</v>
      </c>
      <c r="AH205" s="54"/>
      <c r="AI205" s="55"/>
      <c r="AK205" s="56"/>
    </row>
    <row r="206" spans="1:37" x14ac:dyDescent="0.25">
      <c r="A206" s="164" t="s">
        <v>230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231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232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0.995</v>
      </c>
      <c r="AH208" s="54"/>
      <c r="AI208" s="55"/>
      <c r="AK208" s="56"/>
    </row>
    <row r="209" spans="1:37" x14ac:dyDescent="0.25">
      <c r="A209" s="164" t="s">
        <v>233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0.99299999999999999</v>
      </c>
      <c r="AH209" s="54"/>
      <c r="AI209" s="55"/>
      <c r="AK209" s="56"/>
    </row>
    <row r="210" spans="1:37" x14ac:dyDescent="0.25">
      <c r="A210" s="164" t="s">
        <v>234</v>
      </c>
      <c r="B210" s="97"/>
      <c r="C210" s="53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</v>
      </c>
      <c r="AH210" s="54"/>
      <c r="AI210" s="55"/>
      <c r="AK210" s="56"/>
    </row>
    <row r="211" spans="1:37" ht="15.75" thickBot="1" x14ac:dyDescent="0.3">
      <c r="A211" s="164" t="s">
        <v>235</v>
      </c>
      <c r="B211" s="102"/>
      <c r="C211" s="166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0">
        <v>0.97899999999999998</v>
      </c>
      <c r="AH211" s="54"/>
      <c r="AI211" s="55"/>
      <c r="AK211" s="56"/>
    </row>
    <row r="212" spans="1:37" ht="15.75" thickBot="1" x14ac:dyDescent="0.3">
      <c r="A212" s="165" t="s">
        <v>82</v>
      </c>
      <c r="B212" s="167">
        <f>SUM(B107:B211)</f>
        <v>0</v>
      </c>
      <c r="C212" s="103">
        <f t="shared" ref="C212:AG212" si="41">SUM(C107:C211)</f>
        <v>0</v>
      </c>
      <c r="D212" s="103">
        <f t="shared" si="41"/>
        <v>0</v>
      </c>
      <c r="E212" s="103">
        <f t="shared" si="41"/>
        <v>0</v>
      </c>
      <c r="F212" s="103">
        <f t="shared" si="41"/>
        <v>0</v>
      </c>
      <c r="G212" s="103">
        <f t="shared" si="41"/>
        <v>0</v>
      </c>
      <c r="H212" s="103">
        <f t="shared" si="41"/>
        <v>0</v>
      </c>
      <c r="I212" s="103">
        <f t="shared" si="41"/>
        <v>0</v>
      </c>
      <c r="J212" s="103">
        <f t="shared" si="41"/>
        <v>0</v>
      </c>
      <c r="K212" s="103">
        <f t="shared" si="41"/>
        <v>0</v>
      </c>
      <c r="L212" s="103">
        <f t="shared" si="41"/>
        <v>0</v>
      </c>
      <c r="M212" s="103">
        <f t="shared" si="41"/>
        <v>0</v>
      </c>
      <c r="N212" s="103">
        <f t="shared" si="41"/>
        <v>0</v>
      </c>
      <c r="O212" s="103">
        <f t="shared" si="41"/>
        <v>0</v>
      </c>
      <c r="P212" s="103">
        <f t="shared" si="41"/>
        <v>0</v>
      </c>
      <c r="Q212" s="103">
        <f t="shared" si="41"/>
        <v>0</v>
      </c>
      <c r="R212" s="103">
        <f t="shared" si="41"/>
        <v>0</v>
      </c>
      <c r="S212" s="103">
        <f t="shared" si="41"/>
        <v>0</v>
      </c>
      <c r="T212" s="103">
        <f t="shared" si="41"/>
        <v>0</v>
      </c>
      <c r="U212" s="103">
        <f t="shared" si="41"/>
        <v>0</v>
      </c>
      <c r="V212" s="103">
        <f t="shared" si="41"/>
        <v>0</v>
      </c>
      <c r="W212" s="103">
        <f t="shared" si="41"/>
        <v>0</v>
      </c>
      <c r="X212" s="103">
        <f t="shared" si="41"/>
        <v>0</v>
      </c>
      <c r="Y212" s="103">
        <f t="shared" si="41"/>
        <v>0</v>
      </c>
      <c r="Z212" s="103">
        <f t="shared" si="41"/>
        <v>0</v>
      </c>
      <c r="AA212" s="103">
        <f t="shared" si="41"/>
        <v>0</v>
      </c>
      <c r="AB212" s="103">
        <f t="shared" si="41"/>
        <v>0</v>
      </c>
      <c r="AC212" s="103">
        <f t="shared" si="41"/>
        <v>0</v>
      </c>
      <c r="AD212" s="103">
        <f t="shared" si="41"/>
        <v>0</v>
      </c>
      <c r="AE212" s="103">
        <f t="shared" si="41"/>
        <v>0</v>
      </c>
      <c r="AF212" s="168">
        <f t="shared" si="41"/>
        <v>0</v>
      </c>
      <c r="AG212" s="169">
        <f t="shared" si="41"/>
        <v>412.72299999999984</v>
      </c>
      <c r="AH212" s="54"/>
      <c r="AI212" s="55"/>
      <c r="AK212" s="56"/>
    </row>
    <row r="213" spans="1:37" ht="15.75" thickBot="1" x14ac:dyDescent="0.3">
      <c r="A213" s="28" t="s">
        <v>35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149"/>
      <c r="AH213" s="54"/>
      <c r="AI213" s="55"/>
      <c r="AK213" s="56"/>
    </row>
    <row r="214" spans="1:37" x14ac:dyDescent="0.25">
      <c r="A214" s="170" t="s">
        <v>83</v>
      </c>
      <c r="B214" s="101">
        <f t="shared" ref="B214:B219" si="42">AF214</f>
        <v>0</v>
      </c>
      <c r="C214" s="101">
        <v>0.3</v>
      </c>
      <c r="D214" s="101">
        <f t="shared" ref="D214:P219" si="43">C214</f>
        <v>0.3</v>
      </c>
      <c r="E214" s="101">
        <f t="shared" si="43"/>
        <v>0.3</v>
      </c>
      <c r="F214" s="101">
        <f t="shared" si="43"/>
        <v>0.3</v>
      </c>
      <c r="G214" s="101">
        <f t="shared" si="43"/>
        <v>0.3</v>
      </c>
      <c r="H214" s="101">
        <f t="shared" si="43"/>
        <v>0.3</v>
      </c>
      <c r="I214" s="101">
        <f t="shared" si="43"/>
        <v>0.3</v>
      </c>
      <c r="J214" s="101">
        <f t="shared" si="43"/>
        <v>0.3</v>
      </c>
      <c r="K214" s="101">
        <f t="shared" si="43"/>
        <v>0.3</v>
      </c>
      <c r="L214" s="101">
        <f t="shared" si="43"/>
        <v>0.3</v>
      </c>
      <c r="M214" s="101">
        <f t="shared" si="43"/>
        <v>0.3</v>
      </c>
      <c r="N214" s="101">
        <f t="shared" si="43"/>
        <v>0.3</v>
      </c>
      <c r="O214" s="101">
        <f t="shared" si="43"/>
        <v>0.3</v>
      </c>
      <c r="P214" s="101">
        <f t="shared" si="43"/>
        <v>0.3</v>
      </c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55">
        <v>2.4</v>
      </c>
      <c r="AH214" s="54"/>
      <c r="AI214" s="55"/>
      <c r="AK214" s="56"/>
    </row>
    <row r="215" spans="1:37" x14ac:dyDescent="0.25">
      <c r="A215" s="163" t="s">
        <v>84</v>
      </c>
      <c r="B215" s="97">
        <f t="shared" si="42"/>
        <v>0</v>
      </c>
      <c r="C215" s="97">
        <v>0.4</v>
      </c>
      <c r="D215" s="97">
        <f t="shared" si="43"/>
        <v>0.4</v>
      </c>
      <c r="E215" s="97">
        <f t="shared" si="43"/>
        <v>0.4</v>
      </c>
      <c r="F215" s="97">
        <f t="shared" si="43"/>
        <v>0.4</v>
      </c>
      <c r="G215" s="97">
        <f t="shared" si="43"/>
        <v>0.4</v>
      </c>
      <c r="H215" s="97">
        <f t="shared" si="43"/>
        <v>0.4</v>
      </c>
      <c r="I215" s="97">
        <f t="shared" si="43"/>
        <v>0.4</v>
      </c>
      <c r="J215" s="97">
        <f t="shared" si="43"/>
        <v>0.4</v>
      </c>
      <c r="K215" s="97">
        <f t="shared" si="43"/>
        <v>0.4</v>
      </c>
      <c r="L215" s="97">
        <f t="shared" si="43"/>
        <v>0.4</v>
      </c>
      <c r="M215" s="97">
        <f t="shared" si="43"/>
        <v>0.4</v>
      </c>
      <c r="N215" s="97">
        <f t="shared" si="43"/>
        <v>0.4</v>
      </c>
      <c r="O215" s="97">
        <f t="shared" si="43"/>
        <v>0.4</v>
      </c>
      <c r="P215" s="97">
        <f t="shared" si="43"/>
        <v>0.4</v>
      </c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56">
        <v>2</v>
      </c>
      <c r="AH215" s="54"/>
      <c r="AI215" s="55"/>
      <c r="AK215" s="56"/>
    </row>
    <row r="216" spans="1:37" x14ac:dyDescent="0.25">
      <c r="A216" s="163" t="s">
        <v>85</v>
      </c>
      <c r="B216" s="97">
        <f t="shared" si="42"/>
        <v>0</v>
      </c>
      <c r="C216" s="97">
        <v>1.5</v>
      </c>
      <c r="D216" s="97">
        <f t="shared" si="43"/>
        <v>1.5</v>
      </c>
      <c r="E216" s="97">
        <f t="shared" si="43"/>
        <v>1.5</v>
      </c>
      <c r="F216" s="97">
        <f t="shared" si="43"/>
        <v>1.5</v>
      </c>
      <c r="G216" s="97">
        <f t="shared" si="43"/>
        <v>1.5</v>
      </c>
      <c r="H216" s="97">
        <f t="shared" si="43"/>
        <v>1.5</v>
      </c>
      <c r="I216" s="97">
        <f t="shared" si="43"/>
        <v>1.5</v>
      </c>
      <c r="J216" s="97">
        <f t="shared" si="43"/>
        <v>1.5</v>
      </c>
      <c r="K216" s="97">
        <f t="shared" si="43"/>
        <v>1.5</v>
      </c>
      <c r="L216" s="97">
        <f t="shared" si="43"/>
        <v>1.5</v>
      </c>
      <c r="M216" s="97">
        <f t="shared" si="43"/>
        <v>1.5</v>
      </c>
      <c r="N216" s="97">
        <f t="shared" si="43"/>
        <v>1.5</v>
      </c>
      <c r="O216" s="97">
        <f t="shared" si="43"/>
        <v>1.5</v>
      </c>
      <c r="P216" s="97">
        <f t="shared" si="43"/>
        <v>1.5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1.5</v>
      </c>
      <c r="AH216" s="54"/>
      <c r="AI216" s="55"/>
      <c r="AK216" s="56"/>
    </row>
    <row r="217" spans="1:37" x14ac:dyDescent="0.25">
      <c r="A217" s="163" t="s">
        <v>86</v>
      </c>
      <c r="B217" s="97">
        <f t="shared" si="42"/>
        <v>0</v>
      </c>
      <c r="C217" s="97">
        <v>0.3</v>
      </c>
      <c r="D217" s="97">
        <f t="shared" si="43"/>
        <v>0.3</v>
      </c>
      <c r="E217" s="97">
        <f t="shared" si="43"/>
        <v>0.3</v>
      </c>
      <c r="F217" s="97">
        <f t="shared" si="43"/>
        <v>0.3</v>
      </c>
      <c r="G217" s="97">
        <f t="shared" si="43"/>
        <v>0.3</v>
      </c>
      <c r="H217" s="97">
        <f t="shared" si="43"/>
        <v>0.3</v>
      </c>
      <c r="I217" s="97">
        <f t="shared" si="43"/>
        <v>0.3</v>
      </c>
      <c r="J217" s="97">
        <f t="shared" si="43"/>
        <v>0.3</v>
      </c>
      <c r="K217" s="97">
        <f t="shared" si="43"/>
        <v>0.3</v>
      </c>
      <c r="L217" s="97">
        <f t="shared" si="43"/>
        <v>0.3</v>
      </c>
      <c r="M217" s="97">
        <f t="shared" si="43"/>
        <v>0.3</v>
      </c>
      <c r="N217" s="97">
        <f t="shared" si="43"/>
        <v>0.3</v>
      </c>
      <c r="O217" s="97">
        <f t="shared" si="43"/>
        <v>0.3</v>
      </c>
      <c r="P217" s="97">
        <f t="shared" si="43"/>
        <v>0.3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</v>
      </c>
      <c r="AH217" s="54"/>
      <c r="AI217" s="55"/>
      <c r="AK217" s="56"/>
    </row>
    <row r="218" spans="1:37" x14ac:dyDescent="0.25">
      <c r="A218" s="163" t="s">
        <v>87</v>
      </c>
      <c r="B218" s="97">
        <f t="shared" si="42"/>
        <v>0</v>
      </c>
      <c r="C218" s="97">
        <v>0.4</v>
      </c>
      <c r="D218" s="97">
        <f t="shared" si="43"/>
        <v>0.4</v>
      </c>
      <c r="E218" s="97">
        <f t="shared" si="43"/>
        <v>0.4</v>
      </c>
      <c r="F218" s="97">
        <f t="shared" si="43"/>
        <v>0.4</v>
      </c>
      <c r="G218" s="97">
        <f t="shared" si="43"/>
        <v>0.4</v>
      </c>
      <c r="H218" s="97">
        <f t="shared" si="43"/>
        <v>0.4</v>
      </c>
      <c r="I218" s="97">
        <f t="shared" si="43"/>
        <v>0.4</v>
      </c>
      <c r="J218" s="97">
        <f t="shared" si="43"/>
        <v>0.4</v>
      </c>
      <c r="K218" s="97">
        <f t="shared" si="43"/>
        <v>0.4</v>
      </c>
      <c r="L218" s="97">
        <f t="shared" si="43"/>
        <v>0.4</v>
      </c>
      <c r="M218" s="97">
        <f t="shared" si="43"/>
        <v>0.4</v>
      </c>
      <c r="N218" s="97">
        <f t="shared" si="43"/>
        <v>0.4</v>
      </c>
      <c r="O218" s="97">
        <f t="shared" si="43"/>
        <v>0.4</v>
      </c>
      <c r="P218" s="97">
        <f t="shared" si="43"/>
        <v>0.4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ht="15.75" thickBot="1" x14ac:dyDescent="0.3">
      <c r="A219" s="164" t="s">
        <v>88</v>
      </c>
      <c r="B219" s="102">
        <f t="shared" si="42"/>
        <v>0</v>
      </c>
      <c r="C219" s="102">
        <v>0.64</v>
      </c>
      <c r="D219" s="102">
        <f t="shared" si="43"/>
        <v>0.64</v>
      </c>
      <c r="E219" s="102">
        <f t="shared" si="43"/>
        <v>0.64</v>
      </c>
      <c r="F219" s="102">
        <f t="shared" si="43"/>
        <v>0.64</v>
      </c>
      <c r="G219" s="102">
        <f t="shared" si="43"/>
        <v>0.64</v>
      </c>
      <c r="H219" s="102">
        <f t="shared" si="43"/>
        <v>0.64</v>
      </c>
      <c r="I219" s="102">
        <f t="shared" si="43"/>
        <v>0.64</v>
      </c>
      <c r="J219" s="102">
        <f t="shared" si="43"/>
        <v>0.64</v>
      </c>
      <c r="K219" s="102">
        <f t="shared" si="43"/>
        <v>0.64</v>
      </c>
      <c r="L219" s="102">
        <f t="shared" si="43"/>
        <v>0.64</v>
      </c>
      <c r="M219" s="102">
        <f t="shared" si="43"/>
        <v>0.64</v>
      </c>
      <c r="N219" s="102">
        <f t="shared" si="43"/>
        <v>0.64</v>
      </c>
      <c r="O219" s="102">
        <f t="shared" si="43"/>
        <v>0.64</v>
      </c>
      <c r="P219" s="102">
        <f t="shared" si="43"/>
        <v>0.64</v>
      </c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57">
        <v>0.66</v>
      </c>
      <c r="AH219" s="54"/>
      <c r="AI219" s="55"/>
    </row>
    <row r="220" spans="1:37" ht="15.75" thickBot="1" x14ac:dyDescent="0.3">
      <c r="A220" s="173" t="s">
        <v>35</v>
      </c>
      <c r="B220" s="103">
        <f>SUM(B214:B219)</f>
        <v>0</v>
      </c>
      <c r="C220" s="103">
        <f>SUM(C214:C219)</f>
        <v>3.54</v>
      </c>
      <c r="D220" s="103">
        <f t="shared" ref="D220:L220" si="44">SUM(D214:D219)</f>
        <v>3.54</v>
      </c>
      <c r="E220" s="103">
        <f t="shared" si="44"/>
        <v>3.54</v>
      </c>
      <c r="F220" s="103">
        <f t="shared" si="44"/>
        <v>3.54</v>
      </c>
      <c r="G220" s="103">
        <f t="shared" si="44"/>
        <v>3.54</v>
      </c>
      <c r="H220" s="103">
        <f t="shared" si="44"/>
        <v>3.54</v>
      </c>
      <c r="I220" s="103">
        <f t="shared" si="44"/>
        <v>3.54</v>
      </c>
      <c r="J220" s="103">
        <f t="shared" si="44"/>
        <v>3.54</v>
      </c>
      <c r="K220" s="103">
        <f t="shared" si="44"/>
        <v>3.54</v>
      </c>
      <c r="L220" s="103">
        <f t="shared" si="44"/>
        <v>3.54</v>
      </c>
      <c r="M220" s="103">
        <f>SUM(M214:M219)</f>
        <v>3.54</v>
      </c>
      <c r="N220" s="103">
        <f t="shared" ref="N220:S220" si="45">SUM(N214:N219)</f>
        <v>3.54</v>
      </c>
      <c r="O220" s="103">
        <f t="shared" si="45"/>
        <v>3.54</v>
      </c>
      <c r="P220" s="103">
        <f t="shared" si="45"/>
        <v>3.54</v>
      </c>
      <c r="Q220" s="103">
        <f t="shared" si="45"/>
        <v>0</v>
      </c>
      <c r="R220" s="103">
        <f t="shared" si="45"/>
        <v>0</v>
      </c>
      <c r="S220" s="103">
        <f t="shared" si="45"/>
        <v>0</v>
      </c>
      <c r="T220" s="103">
        <f>SUM(T214:T219)</f>
        <v>0</v>
      </c>
      <c r="U220" s="103">
        <f t="shared" ref="U220:AG220" si="46">SUM(U214:U219)</f>
        <v>0</v>
      </c>
      <c r="V220" s="103">
        <f t="shared" si="46"/>
        <v>0</v>
      </c>
      <c r="W220" s="103">
        <f t="shared" si="46"/>
        <v>0</v>
      </c>
      <c r="X220" s="103">
        <f t="shared" si="46"/>
        <v>0</v>
      </c>
      <c r="Y220" s="103">
        <f t="shared" si="46"/>
        <v>0</v>
      </c>
      <c r="Z220" s="103">
        <f t="shared" si="46"/>
        <v>0</v>
      </c>
      <c r="AA220" s="103">
        <f t="shared" si="46"/>
        <v>0</v>
      </c>
      <c r="AB220" s="103">
        <f t="shared" si="46"/>
        <v>0</v>
      </c>
      <c r="AC220" s="103">
        <f t="shared" si="46"/>
        <v>0</v>
      </c>
      <c r="AD220" s="103">
        <f t="shared" si="46"/>
        <v>0</v>
      </c>
      <c r="AE220" s="103">
        <f t="shared" si="46"/>
        <v>0</v>
      </c>
      <c r="AF220" s="103">
        <f t="shared" si="46"/>
        <v>0</v>
      </c>
      <c r="AG220" s="158">
        <f t="shared" si="46"/>
        <v>8.56</v>
      </c>
      <c r="AH220" s="54"/>
      <c r="AI220" s="55"/>
    </row>
    <row r="221" spans="1:37" ht="15.75" thickBot="1" x14ac:dyDescent="0.3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84"/>
      <c r="AH221" s="47"/>
    </row>
    <row r="222" spans="1:37" x14ac:dyDescent="0.25">
      <c r="A222" s="79" t="s">
        <v>89</v>
      </c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5"/>
      <c r="AG222" s="47"/>
      <c r="AH222" s="54"/>
      <c r="AI222" s="55"/>
    </row>
    <row r="223" spans="1:37" x14ac:dyDescent="0.25">
      <c r="A223" s="106" t="s">
        <v>90</v>
      </c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8"/>
      <c r="AG223" s="109"/>
      <c r="AH223" s="54"/>
      <c r="AI223" s="55"/>
    </row>
    <row r="224" spans="1:37" x14ac:dyDescent="0.25">
      <c r="A224" s="81" t="s">
        <v>91</v>
      </c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1"/>
      <c r="AG224" s="109"/>
      <c r="AH224" s="54"/>
      <c r="AI224" s="55"/>
    </row>
    <row r="225" spans="1:50" x14ac:dyDescent="0.25">
      <c r="A225" s="81" t="s">
        <v>92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ht="15.75" thickBot="1" x14ac:dyDescent="0.3">
      <c r="A226" s="112" t="s">
        <v>93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4"/>
      <c r="AG226" s="109"/>
      <c r="AH226" s="54"/>
      <c r="AI226" s="55"/>
    </row>
    <row r="227" spans="1:50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50" x14ac:dyDescent="0.25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50" x14ac:dyDescent="0.25">
      <c r="A229" s="115" t="s">
        <v>94</v>
      </c>
      <c r="B229" s="116">
        <f>MAX(G79:N79)</f>
        <v>1765.6400000000003</v>
      </c>
      <c r="C229" s="117">
        <f>INDEX(G9:N9,1,MATCH(MAX(G79:N79),G79:N79,0))</f>
        <v>0.375</v>
      </c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50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118" t="str">
        <f ca="1">MID(CELL("filename",C7),FIND("]",CELL("filename",C7))+1,600)</f>
        <v>13</v>
      </c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50" x14ac:dyDescent="0.25">
      <c r="A231" s="208" t="s">
        <v>95</v>
      </c>
      <c r="B231" s="208"/>
      <c r="C231" s="47"/>
      <c r="D231" s="118" t="str">
        <f ca="1">"Pie Chart of Daily Peak Demand(Inclusive of Export) of Nepal ("&amp;A4&amp;" "&amp;B4&amp;")"</f>
        <v>Pie Chart of Daily Peak Demand(Inclusive of Export) of Nepal (Nepali Date: 2079/02/13)</v>
      </c>
      <c r="E231" s="47"/>
      <c r="F231" s="47"/>
      <c r="G231" s="118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118" t="str">
        <f ca="1">"Daily Load Curve(Excluding of Export) of Nepal ("&amp;A4&amp;" "&amp;B4&amp;")"</f>
        <v>Daily Load Curve(Excluding of Export) of Nepal (Nepali Date: 2079/02/13)</v>
      </c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50" ht="12.75" customHeight="1" thickBot="1" x14ac:dyDescent="0.3">
      <c r="A232" s="119" t="s">
        <v>7</v>
      </c>
      <c r="B232" s="120"/>
      <c r="C232" s="47"/>
      <c r="D232" s="121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50" ht="15.75" thickTop="1" x14ac:dyDescent="0.25">
      <c r="A233" s="119" t="s">
        <v>96</v>
      </c>
      <c r="B233" s="120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122" t="s">
        <v>97</v>
      </c>
      <c r="T233" s="123">
        <v>0</v>
      </c>
      <c r="U233" s="124">
        <v>4.1666666666666664E-2</v>
      </c>
      <c r="V233" s="125">
        <v>8.3333333333333301E-2</v>
      </c>
      <c r="W233" s="125">
        <v>0.125</v>
      </c>
      <c r="X233" s="125">
        <v>0.16666666666666699</v>
      </c>
      <c r="Y233" s="125">
        <v>0.20833333333333301</v>
      </c>
      <c r="Z233" s="125">
        <v>0.22916666666666666</v>
      </c>
      <c r="AA233" s="125">
        <v>0.25</v>
      </c>
      <c r="AB233" s="125">
        <v>0.27083333333333331</v>
      </c>
      <c r="AC233" s="125">
        <v>0.29166666666666669</v>
      </c>
      <c r="AD233" s="125">
        <v>0.3125</v>
      </c>
      <c r="AE233" s="126">
        <v>0.33333333333333331</v>
      </c>
      <c r="AF233" s="126">
        <v>0.375</v>
      </c>
      <c r="AG233" s="126">
        <v>0.41666666666666702</v>
      </c>
      <c r="AH233" s="126">
        <v>0.45833333333333298</v>
      </c>
      <c r="AI233" s="126">
        <v>0.5</v>
      </c>
      <c r="AJ233" s="126">
        <v>0.54166666666666696</v>
      </c>
      <c r="AK233" s="126">
        <v>0.58333333333333304</v>
      </c>
      <c r="AL233" s="126">
        <v>0.625</v>
      </c>
      <c r="AM233" s="126">
        <v>0.66666666666666696</v>
      </c>
      <c r="AN233" s="126">
        <v>0.70833333333333304</v>
      </c>
      <c r="AO233" s="126">
        <v>0.72916666666666663</v>
      </c>
      <c r="AP233" s="126">
        <v>0.75</v>
      </c>
      <c r="AQ233" s="126">
        <v>0.77083333333333337</v>
      </c>
      <c r="AR233" s="126">
        <v>0.79166666666666663</v>
      </c>
      <c r="AS233" s="126">
        <v>0.8125</v>
      </c>
      <c r="AT233" s="125">
        <v>0.83333333333333337</v>
      </c>
      <c r="AU233" s="125">
        <v>0.85416666666666663</v>
      </c>
      <c r="AV233" s="125">
        <v>0.875</v>
      </c>
      <c r="AW233" s="125">
        <v>0.91666666666666696</v>
      </c>
      <c r="AX233" s="125">
        <v>0.95833333333333304</v>
      </c>
    </row>
    <row r="234" spans="1:50" x14ac:dyDescent="0.25">
      <c r="A234" s="119" t="s">
        <v>98</v>
      </c>
      <c r="B234" s="120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 t="s">
        <v>99</v>
      </c>
      <c r="T234" s="127">
        <f t="shared" ref="T234:AX234" si="47">B79</f>
        <v>1761.74</v>
      </c>
      <c r="U234" s="127">
        <f t="shared" si="47"/>
        <v>1676.54</v>
      </c>
      <c r="V234" s="127">
        <f t="shared" si="47"/>
        <v>1672.1399999999999</v>
      </c>
      <c r="W234" s="127">
        <f t="shared" si="47"/>
        <v>1677.34</v>
      </c>
      <c r="X234" s="127">
        <f t="shared" si="47"/>
        <v>1641.54</v>
      </c>
      <c r="Y234" s="127">
        <f t="shared" si="47"/>
        <v>1663.54</v>
      </c>
      <c r="Z234" s="127">
        <f t="shared" si="47"/>
        <v>1672.54</v>
      </c>
      <c r="AA234" s="127">
        <f t="shared" si="47"/>
        <v>1649.54</v>
      </c>
      <c r="AB234" s="127">
        <f t="shared" si="47"/>
        <v>1655.44</v>
      </c>
      <c r="AC234" s="127">
        <f t="shared" si="47"/>
        <v>1734.54</v>
      </c>
      <c r="AD234" s="127">
        <f t="shared" si="47"/>
        <v>1746.34</v>
      </c>
      <c r="AE234" s="127">
        <f t="shared" si="47"/>
        <v>1693.14</v>
      </c>
      <c r="AF234" s="127">
        <f t="shared" si="47"/>
        <v>1765.6400000000003</v>
      </c>
      <c r="AG234" s="127">
        <f t="shared" si="47"/>
        <v>1774.9400000000003</v>
      </c>
      <c r="AH234" s="127">
        <f t="shared" si="47"/>
        <v>1761.9399999999998</v>
      </c>
      <c r="AI234" s="127">
        <f t="shared" si="47"/>
        <v>1762.6399999999999</v>
      </c>
      <c r="AJ234" s="127">
        <f t="shared" si="47"/>
        <v>1762.6399999999999</v>
      </c>
      <c r="AK234" s="127">
        <f t="shared" si="47"/>
        <v>1817.5400000000002</v>
      </c>
      <c r="AL234" s="127">
        <f t="shared" si="47"/>
        <v>1807.1400000000003</v>
      </c>
      <c r="AM234" s="127">
        <f t="shared" si="47"/>
        <v>1803.8400000000004</v>
      </c>
      <c r="AN234" s="127">
        <f t="shared" si="47"/>
        <v>1765.4400000000003</v>
      </c>
      <c r="AO234" s="127">
        <f t="shared" si="47"/>
        <v>1765.1400000000003</v>
      </c>
      <c r="AP234" s="127">
        <f t="shared" si="47"/>
        <v>1699.0400000000002</v>
      </c>
      <c r="AQ234" s="127">
        <f t="shared" si="47"/>
        <v>1697.8400000000004</v>
      </c>
      <c r="AR234" s="127">
        <f t="shared" si="47"/>
        <v>1744.74</v>
      </c>
      <c r="AS234" s="127">
        <f t="shared" si="47"/>
        <v>1801.7400000000002</v>
      </c>
      <c r="AT234" s="127">
        <f t="shared" si="47"/>
        <v>1785.3400000000001</v>
      </c>
      <c r="AU234" s="127">
        <f t="shared" si="47"/>
        <v>1789.54</v>
      </c>
      <c r="AV234" s="127">
        <f t="shared" si="47"/>
        <v>1790.0400000000002</v>
      </c>
      <c r="AW234" s="127">
        <f t="shared" si="47"/>
        <v>1691.0400000000002</v>
      </c>
      <c r="AX234" s="127">
        <f t="shared" si="47"/>
        <v>1769.84</v>
      </c>
    </row>
    <row r="235" spans="1:50" x14ac:dyDescent="0.25">
      <c r="A235" s="119" t="s">
        <v>100</v>
      </c>
      <c r="B235" s="120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</row>
    <row r="236" spans="1:50" x14ac:dyDescent="0.25">
      <c r="A236" s="119" t="s">
        <v>101</v>
      </c>
      <c r="B236" s="120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</row>
    <row r="237" spans="1:50" x14ac:dyDescent="0.25">
      <c r="A237" s="119" t="s">
        <v>102</v>
      </c>
      <c r="B237" s="120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50" x14ac:dyDescent="0.25">
      <c r="A238" s="119" t="s">
        <v>103</v>
      </c>
      <c r="B238" s="128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50" x14ac:dyDescent="0.25">
      <c r="A239" s="119" t="s">
        <v>104</v>
      </c>
      <c r="B239" s="120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50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1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1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1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1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1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</row>
    <row r="246" spans="1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J246"/>
    </row>
    <row r="247" spans="1:36" x14ac:dyDescent="0.25"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J247"/>
    </row>
    <row r="248" spans="1:36" x14ac:dyDescent="0.25"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J248"/>
    </row>
    <row r="249" spans="1:36" x14ac:dyDescent="0.25"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J249"/>
    </row>
    <row r="250" spans="1:36" x14ac:dyDescent="0.25"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J250"/>
    </row>
    <row r="251" spans="1:36" x14ac:dyDescent="0.25"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J251"/>
    </row>
    <row r="252" spans="1:36" x14ac:dyDescent="0.25"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J252"/>
    </row>
    <row r="253" spans="1:36" x14ac:dyDescent="0.25"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J253"/>
    </row>
    <row r="254" spans="1:36" x14ac:dyDescent="0.25"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J254"/>
    </row>
    <row r="255" spans="1:36" x14ac:dyDescent="0.25">
      <c r="A255" s="129" t="s">
        <v>89</v>
      </c>
      <c r="B255" s="130">
        <f t="shared" ref="B255:AE255" si="48">C219</f>
        <v>0.64</v>
      </c>
      <c r="C255" s="130">
        <f t="shared" si="48"/>
        <v>0.64</v>
      </c>
      <c r="D255" s="130">
        <f t="shared" si="48"/>
        <v>0.64</v>
      </c>
      <c r="E255" s="130">
        <f t="shared" si="48"/>
        <v>0.64</v>
      </c>
      <c r="F255" s="130">
        <f t="shared" si="48"/>
        <v>0.64</v>
      </c>
      <c r="G255" s="130">
        <f t="shared" si="48"/>
        <v>0.64</v>
      </c>
      <c r="H255" s="130">
        <f t="shared" si="48"/>
        <v>0.64</v>
      </c>
      <c r="I255" s="130">
        <f t="shared" si="48"/>
        <v>0.64</v>
      </c>
      <c r="J255" s="130">
        <f t="shared" si="48"/>
        <v>0.64</v>
      </c>
      <c r="K255" s="130">
        <f t="shared" si="48"/>
        <v>0.64</v>
      </c>
      <c r="L255" s="130">
        <f t="shared" si="48"/>
        <v>0.64</v>
      </c>
      <c r="M255" s="130">
        <f t="shared" si="48"/>
        <v>0.64</v>
      </c>
      <c r="N255" s="130">
        <f t="shared" si="48"/>
        <v>0.64</v>
      </c>
      <c r="O255" s="130">
        <f t="shared" si="48"/>
        <v>0.64</v>
      </c>
      <c r="P255" s="130">
        <f t="shared" si="48"/>
        <v>0</v>
      </c>
      <c r="Q255" s="130">
        <f t="shared" si="48"/>
        <v>0</v>
      </c>
      <c r="R255" s="130">
        <f t="shared" si="48"/>
        <v>0</v>
      </c>
      <c r="S255" s="130">
        <f t="shared" si="48"/>
        <v>0</v>
      </c>
      <c r="T255" s="130">
        <f t="shared" si="48"/>
        <v>0</v>
      </c>
      <c r="U255" s="130">
        <f t="shared" si="48"/>
        <v>0</v>
      </c>
      <c r="V255" s="130">
        <f t="shared" si="48"/>
        <v>0</v>
      </c>
      <c r="W255" s="130">
        <f t="shared" si="48"/>
        <v>0</v>
      </c>
      <c r="X255" s="130">
        <f t="shared" si="48"/>
        <v>0</v>
      </c>
      <c r="Y255" s="130">
        <f t="shared" si="48"/>
        <v>0</v>
      </c>
      <c r="Z255" s="130">
        <f t="shared" si="48"/>
        <v>0</v>
      </c>
      <c r="AA255" s="130">
        <f t="shared" si="48"/>
        <v>0</v>
      </c>
      <c r="AB255" s="130">
        <f t="shared" si="48"/>
        <v>0</v>
      </c>
      <c r="AC255" s="130">
        <f t="shared" si="48"/>
        <v>0</v>
      </c>
      <c r="AD255" s="130">
        <f t="shared" si="48"/>
        <v>0</v>
      </c>
      <c r="AE255" s="130">
        <f t="shared" si="48"/>
        <v>0</v>
      </c>
      <c r="AF255" s="130">
        <f>B219</f>
        <v>0</v>
      </c>
      <c r="AG255" s="47"/>
      <c r="AH255" s="47"/>
      <c r="AJ255"/>
    </row>
    <row r="256" spans="1:36" x14ac:dyDescent="0.25">
      <c r="A256" s="88" t="str">
        <f>A223</f>
        <v>KGA</v>
      </c>
      <c r="B256" s="88" t="str">
        <f>IF(B223&lt;100,"",B223-520)</f>
        <v/>
      </c>
      <c r="C256" s="88" t="str">
        <f t="shared" ref="C256:AF256" si="49">IF(C223&lt;100,"",C223-520)</f>
        <v/>
      </c>
      <c r="D256" s="88" t="str">
        <f t="shared" si="49"/>
        <v/>
      </c>
      <c r="E256" s="88" t="str">
        <f t="shared" si="49"/>
        <v/>
      </c>
      <c r="F256" s="88" t="str">
        <f t="shared" si="49"/>
        <v/>
      </c>
      <c r="G256" s="88" t="str">
        <f t="shared" si="49"/>
        <v/>
      </c>
      <c r="H256" s="88" t="str">
        <f t="shared" si="49"/>
        <v/>
      </c>
      <c r="I256" s="88" t="str">
        <f t="shared" si="49"/>
        <v/>
      </c>
      <c r="J256" s="88" t="str">
        <f t="shared" si="49"/>
        <v/>
      </c>
      <c r="K256" s="88" t="str">
        <f t="shared" si="49"/>
        <v/>
      </c>
      <c r="L256" s="88" t="str">
        <f t="shared" si="49"/>
        <v/>
      </c>
      <c r="M256" s="88" t="str">
        <f t="shared" si="49"/>
        <v/>
      </c>
      <c r="N256" s="88" t="str">
        <f t="shared" si="49"/>
        <v/>
      </c>
      <c r="O256" s="88" t="str">
        <f t="shared" si="49"/>
        <v/>
      </c>
      <c r="P256" s="88" t="str">
        <f t="shared" si="49"/>
        <v/>
      </c>
      <c r="Q256" s="88" t="str">
        <f t="shared" si="49"/>
        <v/>
      </c>
      <c r="R256" s="88" t="str">
        <f t="shared" si="49"/>
        <v/>
      </c>
      <c r="S256" s="88" t="str">
        <f t="shared" si="49"/>
        <v/>
      </c>
      <c r="T256" s="88" t="str">
        <f t="shared" si="49"/>
        <v/>
      </c>
      <c r="U256" s="88" t="str">
        <f t="shared" si="49"/>
        <v/>
      </c>
      <c r="V256" s="88" t="str">
        <f t="shared" si="49"/>
        <v/>
      </c>
      <c r="W256" s="88" t="str">
        <f t="shared" si="49"/>
        <v/>
      </c>
      <c r="X256" s="88" t="str">
        <f t="shared" si="49"/>
        <v/>
      </c>
      <c r="Y256" s="88" t="str">
        <f t="shared" si="49"/>
        <v/>
      </c>
      <c r="Z256" s="88" t="str">
        <f t="shared" si="49"/>
        <v/>
      </c>
      <c r="AA256" s="88" t="str">
        <f t="shared" si="49"/>
        <v/>
      </c>
      <c r="AB256" s="88" t="str">
        <f t="shared" si="49"/>
        <v/>
      </c>
      <c r="AC256" s="88" t="str">
        <f t="shared" si="49"/>
        <v/>
      </c>
      <c r="AD256" s="88" t="str">
        <f t="shared" si="49"/>
        <v/>
      </c>
      <c r="AE256" s="88" t="str">
        <f t="shared" si="49"/>
        <v/>
      </c>
      <c r="AF256" s="88" t="str">
        <f t="shared" si="49"/>
        <v/>
      </c>
      <c r="AG256" s="47"/>
      <c r="AH256" s="47"/>
      <c r="AJ256"/>
    </row>
    <row r="257" spans="1:36" x14ac:dyDescent="0.25">
      <c r="A257" s="88" t="str">
        <f>A224</f>
        <v>MMRS</v>
      </c>
      <c r="B257" s="88" t="str">
        <f t="shared" ref="B257:AF257" si="50">IF(B224&lt;100,"",B224-620)</f>
        <v/>
      </c>
      <c r="C257" s="88" t="str">
        <f t="shared" si="50"/>
        <v/>
      </c>
      <c r="D257" s="88" t="str">
        <f t="shared" si="50"/>
        <v/>
      </c>
      <c r="E257" s="88" t="str">
        <f t="shared" si="50"/>
        <v/>
      </c>
      <c r="F257" s="88" t="str">
        <f t="shared" si="50"/>
        <v/>
      </c>
      <c r="G257" s="88" t="str">
        <f t="shared" si="50"/>
        <v/>
      </c>
      <c r="H257" s="88" t="str">
        <f t="shared" si="50"/>
        <v/>
      </c>
      <c r="I257" s="88" t="str">
        <f t="shared" si="50"/>
        <v/>
      </c>
      <c r="J257" s="88" t="str">
        <f t="shared" si="50"/>
        <v/>
      </c>
      <c r="K257" s="88" t="str">
        <f t="shared" si="50"/>
        <v/>
      </c>
      <c r="L257" s="88" t="str">
        <f t="shared" si="50"/>
        <v/>
      </c>
      <c r="M257" s="88" t="str">
        <f t="shared" si="50"/>
        <v/>
      </c>
      <c r="N257" s="88" t="str">
        <f t="shared" si="50"/>
        <v/>
      </c>
      <c r="O257" s="88" t="str">
        <f t="shared" si="50"/>
        <v/>
      </c>
      <c r="P257" s="88" t="str">
        <f t="shared" si="50"/>
        <v/>
      </c>
      <c r="Q257" s="88" t="str">
        <f t="shared" si="50"/>
        <v/>
      </c>
      <c r="R257" s="88" t="str">
        <f t="shared" si="50"/>
        <v/>
      </c>
      <c r="S257" s="88" t="str">
        <f t="shared" si="50"/>
        <v/>
      </c>
      <c r="T257" s="88" t="str">
        <f t="shared" si="50"/>
        <v/>
      </c>
      <c r="U257" s="88" t="str">
        <f t="shared" si="50"/>
        <v/>
      </c>
      <c r="V257" s="88" t="str">
        <f t="shared" si="50"/>
        <v/>
      </c>
      <c r="W257" s="88" t="str">
        <f t="shared" si="50"/>
        <v/>
      </c>
      <c r="X257" s="88" t="str">
        <f t="shared" si="50"/>
        <v/>
      </c>
      <c r="Y257" s="88" t="str">
        <f t="shared" si="50"/>
        <v/>
      </c>
      <c r="Z257" s="88" t="str">
        <f t="shared" si="50"/>
        <v/>
      </c>
      <c r="AA257" s="88" t="str">
        <f t="shared" si="50"/>
        <v/>
      </c>
      <c r="AB257" s="88" t="str">
        <f t="shared" si="50"/>
        <v/>
      </c>
      <c r="AC257" s="88" t="str">
        <f t="shared" si="50"/>
        <v/>
      </c>
      <c r="AD257" s="88" t="str">
        <f t="shared" si="50"/>
        <v/>
      </c>
      <c r="AE257" s="88" t="str">
        <f t="shared" si="50"/>
        <v/>
      </c>
      <c r="AF257" s="88" t="str">
        <f t="shared" si="50"/>
        <v/>
      </c>
      <c r="AG257" s="47"/>
      <c r="AH257" s="47"/>
      <c r="AJ257"/>
    </row>
    <row r="258" spans="1:36" x14ac:dyDescent="0.25">
      <c r="A258" s="88" t="str">
        <f>A225</f>
        <v>MRS</v>
      </c>
      <c r="B258" s="88" t="str">
        <f t="shared" ref="B258:AF258" si="51">IF(B225&lt;100,"",B225-330)</f>
        <v/>
      </c>
      <c r="C258" s="88" t="str">
        <f t="shared" si="51"/>
        <v/>
      </c>
      <c r="D258" s="88" t="str">
        <f t="shared" si="51"/>
        <v/>
      </c>
      <c r="E258" s="88" t="str">
        <f t="shared" si="51"/>
        <v/>
      </c>
      <c r="F258" s="88" t="str">
        <f t="shared" si="51"/>
        <v/>
      </c>
      <c r="G258" s="88" t="str">
        <f t="shared" si="51"/>
        <v/>
      </c>
      <c r="H258" s="88" t="str">
        <f t="shared" si="51"/>
        <v/>
      </c>
      <c r="I258" s="88" t="str">
        <f t="shared" si="51"/>
        <v/>
      </c>
      <c r="J258" s="88" t="str">
        <f t="shared" si="51"/>
        <v/>
      </c>
      <c r="K258" s="88" t="str">
        <f t="shared" si="51"/>
        <v/>
      </c>
      <c r="L258" s="88" t="str">
        <f t="shared" si="51"/>
        <v/>
      </c>
      <c r="M258" s="88" t="str">
        <f t="shared" si="51"/>
        <v/>
      </c>
      <c r="N258" s="88" t="str">
        <f t="shared" si="51"/>
        <v/>
      </c>
      <c r="O258" s="88" t="str">
        <f t="shared" si="51"/>
        <v/>
      </c>
      <c r="P258" s="88" t="str">
        <f t="shared" si="51"/>
        <v/>
      </c>
      <c r="Q258" s="88" t="str">
        <f t="shared" si="51"/>
        <v/>
      </c>
      <c r="R258" s="88" t="str">
        <f t="shared" si="51"/>
        <v/>
      </c>
      <c r="S258" s="88" t="str">
        <f t="shared" si="51"/>
        <v/>
      </c>
      <c r="T258" s="88" t="str">
        <f t="shared" si="51"/>
        <v/>
      </c>
      <c r="U258" s="88" t="str">
        <f t="shared" si="51"/>
        <v/>
      </c>
      <c r="V258" s="88" t="str">
        <f t="shared" si="51"/>
        <v/>
      </c>
      <c r="W258" s="88" t="str">
        <f t="shared" si="51"/>
        <v/>
      </c>
      <c r="X258" s="88" t="str">
        <f t="shared" si="51"/>
        <v/>
      </c>
      <c r="Y258" s="88" t="str">
        <f t="shared" si="51"/>
        <v/>
      </c>
      <c r="Z258" s="88" t="str">
        <f t="shared" si="51"/>
        <v/>
      </c>
      <c r="AA258" s="88" t="str">
        <f t="shared" si="51"/>
        <v/>
      </c>
      <c r="AB258" s="88" t="str">
        <f t="shared" si="51"/>
        <v/>
      </c>
      <c r="AC258" s="88" t="str">
        <f t="shared" si="51"/>
        <v/>
      </c>
      <c r="AD258" s="88" t="str">
        <f t="shared" si="51"/>
        <v/>
      </c>
      <c r="AE258" s="88" t="str">
        <f t="shared" si="51"/>
        <v/>
      </c>
      <c r="AF258" s="88" t="str">
        <f t="shared" si="51"/>
        <v/>
      </c>
      <c r="AG258" s="47"/>
      <c r="AH258" s="47"/>
      <c r="AJ258"/>
    </row>
    <row r="259" spans="1:36" x14ac:dyDescent="0.25">
      <c r="A259" s="88" t="str">
        <f>A226</f>
        <v>KL 1</v>
      </c>
      <c r="B259" s="88" t="str">
        <f>IF(B226&lt;100,"",B226-1500)</f>
        <v/>
      </c>
      <c r="C259" s="88" t="str">
        <f t="shared" ref="C259:AF259" si="52">IF(C226&lt;100,"",C226-1500)</f>
        <v/>
      </c>
      <c r="D259" s="88" t="str">
        <f t="shared" si="52"/>
        <v/>
      </c>
      <c r="E259" s="88" t="str">
        <f t="shared" si="52"/>
        <v/>
      </c>
      <c r="F259" s="88" t="str">
        <f t="shared" si="52"/>
        <v/>
      </c>
      <c r="G259" s="88" t="str">
        <f t="shared" si="52"/>
        <v/>
      </c>
      <c r="H259" s="88" t="str">
        <f t="shared" si="52"/>
        <v/>
      </c>
      <c r="I259" s="88" t="str">
        <f t="shared" si="52"/>
        <v/>
      </c>
      <c r="J259" s="88" t="str">
        <f t="shared" si="52"/>
        <v/>
      </c>
      <c r="K259" s="88" t="str">
        <f t="shared" si="52"/>
        <v/>
      </c>
      <c r="L259" s="88" t="str">
        <f t="shared" si="52"/>
        <v/>
      </c>
      <c r="M259" s="88" t="str">
        <f t="shared" si="52"/>
        <v/>
      </c>
      <c r="N259" s="88" t="str">
        <f t="shared" si="52"/>
        <v/>
      </c>
      <c r="O259" s="88" t="str">
        <f t="shared" si="52"/>
        <v/>
      </c>
      <c r="P259" s="88" t="str">
        <f t="shared" si="52"/>
        <v/>
      </c>
      <c r="Q259" s="88" t="str">
        <f t="shared" si="52"/>
        <v/>
      </c>
      <c r="R259" s="88" t="str">
        <f t="shared" si="52"/>
        <v/>
      </c>
      <c r="S259" s="88" t="str">
        <f t="shared" si="52"/>
        <v/>
      </c>
      <c r="T259" s="88" t="str">
        <f t="shared" si="52"/>
        <v/>
      </c>
      <c r="U259" s="88" t="str">
        <f t="shared" si="52"/>
        <v/>
      </c>
      <c r="V259" s="88" t="str">
        <f t="shared" si="52"/>
        <v/>
      </c>
      <c r="W259" s="88" t="str">
        <f t="shared" si="52"/>
        <v/>
      </c>
      <c r="X259" s="88" t="str">
        <f t="shared" si="52"/>
        <v/>
      </c>
      <c r="Y259" s="88" t="str">
        <f t="shared" si="52"/>
        <v/>
      </c>
      <c r="Z259" s="88" t="str">
        <f t="shared" si="52"/>
        <v/>
      </c>
      <c r="AA259" s="88" t="str">
        <f t="shared" si="52"/>
        <v/>
      </c>
      <c r="AB259" s="88" t="str">
        <f t="shared" si="52"/>
        <v/>
      </c>
      <c r="AC259" s="88" t="str">
        <f t="shared" si="52"/>
        <v/>
      </c>
      <c r="AD259" s="88" t="str">
        <f t="shared" si="52"/>
        <v/>
      </c>
      <c r="AE259" s="88" t="str">
        <f t="shared" si="52"/>
        <v/>
      </c>
      <c r="AF259" s="88" t="str">
        <f t="shared" si="52"/>
        <v/>
      </c>
      <c r="AG259" s="47"/>
      <c r="AH259" s="47"/>
      <c r="AJ259"/>
    </row>
    <row r="260" spans="1:36" x14ac:dyDescent="0.25"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J260"/>
    </row>
    <row r="261" spans="1:36" x14ac:dyDescent="0.25"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J261"/>
    </row>
    <row r="262" spans="1:36" x14ac:dyDescent="0.25"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J262"/>
    </row>
    <row r="263" spans="1:36" x14ac:dyDescent="0.25"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J263"/>
    </row>
    <row r="264" spans="1:36" x14ac:dyDescent="0.25"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J264"/>
    </row>
    <row r="265" spans="1:36" x14ac:dyDescent="0.25"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J265"/>
    </row>
    <row r="266" spans="1:36" x14ac:dyDescent="0.25"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J266"/>
    </row>
    <row r="490" spans="36:38" x14ac:dyDescent="0.25">
      <c r="AK490" s="1"/>
    </row>
    <row r="491" spans="36:38" x14ac:dyDescent="0.25">
      <c r="AK491" s="1"/>
      <c r="AL491" s="1"/>
    </row>
    <row r="492" spans="36:38" x14ac:dyDescent="0.25">
      <c r="AJ492"/>
    </row>
  </sheetData>
  <mergeCells count="48">
    <mergeCell ref="A231:B23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D214:AF220 B214:B220 B212:AF212 U233:AF233 B9:AF10 C99:AF105 AA11:AF11">
    <cfRule type="expression" dxfId="4490" priority="340">
      <formula>B$9&gt;=20/24</formula>
    </cfRule>
    <cfRule type="expression" dxfId="4489" priority="341">
      <formula>AND(B$9&gt;=14/24,B$9&lt;20/24)</formula>
    </cfRule>
    <cfRule type="expression" dxfId="4488" priority="342">
      <formula>AND(B$9&gt;=8/24,B$9&lt;14/24)</formula>
    </cfRule>
    <cfRule type="expression" dxfId="4487" priority="343">
      <formula>B$9&lt;8/24</formula>
    </cfRule>
  </conditionalFormatting>
  <conditionalFormatting sqref="AL4:AL6">
    <cfRule type="iconSet" priority="339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4486" priority="335">
      <formula>S$9&gt;=20/24</formula>
    </cfRule>
    <cfRule type="expression" dxfId="4485" priority="336">
      <formula>AND(S$9&gt;=14/24,S$9&lt;20/24)</formula>
    </cfRule>
    <cfRule type="expression" dxfId="4484" priority="337">
      <formula>AND(S$9&gt;=8/24,S$9&lt;14/24)</formula>
    </cfRule>
    <cfRule type="expression" dxfId="4483" priority="338">
      <formula>S$9&lt;8/24</formula>
    </cfRule>
  </conditionalFormatting>
  <conditionalFormatting sqref="AG55 M11:AB11 S12:AB16 S37:AF37 S35:AF35 AC11:AF16">
    <cfRule type="expression" dxfId="4482" priority="334">
      <formula>M11&gt;$AG11</formula>
    </cfRule>
  </conditionalFormatting>
  <conditionalFormatting sqref="A89:A102 A11:A14 A49:A76 A85:A87 A190:A220 A16:A30 A36:A47 A106:A177 A32:A33 A81:A83 A78:A79">
    <cfRule type="expression" dxfId="4481" priority="333">
      <formula>$AH11=0</formula>
    </cfRule>
  </conditionalFormatting>
  <conditionalFormatting sqref="A103">
    <cfRule type="expression" dxfId="4480" priority="332">
      <formula>$AH103=0</formula>
    </cfRule>
  </conditionalFormatting>
  <conditionalFormatting sqref="AL33">
    <cfRule type="iconSet" priority="331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4479" priority="330">
      <formula>$AH35=0</formula>
    </cfRule>
  </conditionalFormatting>
  <conditionalFormatting sqref="A88">
    <cfRule type="expression" dxfId="4478" priority="329">
      <formula>$AH88=0</formula>
    </cfRule>
  </conditionalFormatting>
  <conditionalFormatting sqref="A15">
    <cfRule type="expression" dxfId="4477" priority="328">
      <formula>$AH15=0</formula>
    </cfRule>
  </conditionalFormatting>
  <conditionalFormatting sqref="A184:A189">
    <cfRule type="expression" dxfId="4476" priority="327">
      <formula>$AH184=0</formula>
    </cfRule>
  </conditionalFormatting>
  <conditionalFormatting sqref="A178:A183">
    <cfRule type="expression" dxfId="4475" priority="326">
      <formula>$AH178=0</formula>
    </cfRule>
  </conditionalFormatting>
  <conditionalFormatting sqref="A48">
    <cfRule type="expression" dxfId="4474" priority="325">
      <formula>$AH48=0</formula>
    </cfRule>
  </conditionalFormatting>
  <conditionalFormatting sqref="A84">
    <cfRule type="expression" dxfId="4473" priority="324">
      <formula>$AH84=0</formula>
    </cfRule>
  </conditionalFormatting>
  <conditionalFormatting sqref="C89:AF89">
    <cfRule type="expression" dxfId="4472" priority="320">
      <formula>C$9&gt;=20/24</formula>
    </cfRule>
    <cfRule type="expression" dxfId="4471" priority="321">
      <formula>AND(C$9&gt;=14/24,C$9&lt;20/24)</formula>
    </cfRule>
    <cfRule type="expression" dxfId="4470" priority="322">
      <formula>AND(C$9&gt;=8/24,C$9&lt;14/24)</formula>
    </cfRule>
    <cfRule type="expression" dxfId="4469" priority="323">
      <formula>C$9&lt;8/24</formula>
    </cfRule>
  </conditionalFormatting>
  <conditionalFormatting sqref="AL34">
    <cfRule type="iconSet" priority="31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468" priority="346">
      <formula>C$9&gt;=20/24</formula>
    </cfRule>
    <cfRule type="expression" dxfId="4467" priority="347">
      <formula>AND(C$9&gt;=14/24,C$9&lt;20/24)</formula>
    </cfRule>
    <cfRule type="expression" dxfId="4466" priority="348">
      <formula>AND(C$9&gt;=8/24,C$9&lt;14/24)</formula>
    </cfRule>
    <cfRule type="expression" dxfId="4465" priority="349">
      <formula>C$9&lt;8/24</formula>
    </cfRule>
  </conditionalFormatting>
  <conditionalFormatting sqref="A221">
    <cfRule type="expression" dxfId="4464" priority="350">
      <formula>$AH221=0</formula>
    </cfRule>
  </conditionalFormatting>
  <conditionalFormatting sqref="AG233">
    <cfRule type="expression" dxfId="4463" priority="351">
      <formula>B$9&gt;=20/24</formula>
    </cfRule>
    <cfRule type="expression" dxfId="4462" priority="352">
      <formula>AND(B$9&gt;=14/24,B$9&lt;20/24)</formula>
    </cfRule>
    <cfRule type="expression" dxfId="4461" priority="353">
      <formula>AND(B$9&gt;=8/24,B$9&lt;14/24)</formula>
    </cfRule>
    <cfRule type="expression" dxfId="4460" priority="354">
      <formula>B$9&lt;8/24</formula>
    </cfRule>
  </conditionalFormatting>
  <conditionalFormatting sqref="S8">
    <cfRule type="expression" dxfId="4459" priority="315">
      <formula>U$9&gt;=20/24</formula>
    </cfRule>
    <cfRule type="expression" dxfId="4458" priority="316">
      <formula>AND(U$9&gt;=14/24,U$9&lt;20/24)</formula>
    </cfRule>
    <cfRule type="expression" dxfId="4457" priority="317">
      <formula>AND(U$9&gt;=8/24,U$9&lt;14/24)</formula>
    </cfRule>
    <cfRule type="expression" dxfId="4456" priority="318">
      <formula>U$9&lt;8/24</formula>
    </cfRule>
  </conditionalFormatting>
  <conditionalFormatting sqref="AB8">
    <cfRule type="expression" dxfId="4455" priority="311">
      <formula>AD$9&gt;=20/24</formula>
    </cfRule>
    <cfRule type="expression" dxfId="4454" priority="312">
      <formula>AND(AD$9&gt;=14/24,AD$9&lt;20/24)</formula>
    </cfRule>
    <cfRule type="expression" dxfId="4453" priority="313">
      <formula>AND(AD$9&gt;=8/24,AD$9&lt;14/24)</formula>
    </cfRule>
    <cfRule type="expression" dxfId="4452" priority="314">
      <formula>AD$9&lt;8/24</formula>
    </cfRule>
  </conditionalFormatting>
  <conditionalFormatting sqref="AH233:AX233">
    <cfRule type="expression" dxfId="4451" priority="355">
      <formula>AG$9&gt;=20/24</formula>
    </cfRule>
    <cfRule type="expression" dxfId="4450" priority="356">
      <formula>AND(AG$9&gt;=14/24,AG$9&lt;20/24)</formula>
    </cfRule>
    <cfRule type="expression" dxfId="4449" priority="357">
      <formula>AND(AG$9&gt;=8/24,AG$9&lt;14/24)</formula>
    </cfRule>
    <cfRule type="expression" dxfId="4448" priority="358">
      <formula>AG$9&lt;8/24</formula>
    </cfRule>
  </conditionalFormatting>
  <conditionalFormatting sqref="T233">
    <cfRule type="expression" dxfId="4447" priority="359">
      <formula>AX$9&gt;=20/24</formula>
    </cfRule>
    <cfRule type="expression" dxfId="4446" priority="360">
      <formula>AND(AX$9&gt;=14/24,AX$9&lt;20/24)</formula>
    </cfRule>
    <cfRule type="expression" dxfId="4445" priority="361">
      <formula>AND(AX$9&gt;=8/24,AX$9&lt;14/24)</formula>
    </cfRule>
    <cfRule type="expression" dxfId="4444" priority="362">
      <formula>AX$9&lt;8/24</formula>
    </cfRule>
  </conditionalFormatting>
  <conditionalFormatting sqref="A104:A105">
    <cfRule type="expression" dxfId="4443" priority="310">
      <formula>$AH104=0</formula>
    </cfRule>
  </conditionalFormatting>
  <conditionalFormatting sqref="E44:L45 C61:R61 W61:AF61 AA44:AF45 AA36:AF36">
    <cfRule type="expression" dxfId="4442" priority="306">
      <formula>C$9&gt;=20/24</formula>
    </cfRule>
    <cfRule type="expression" dxfId="4441" priority="307">
      <formula>AND(C$9&gt;=14/24,C$9&lt;20/24)</formula>
    </cfRule>
    <cfRule type="expression" dxfId="4440" priority="308">
      <formula>AND(C$9&gt;=8/24,C$9&lt;14/24)</formula>
    </cfRule>
    <cfRule type="expression" dxfId="4439" priority="309">
      <formula>C$9&lt;8/24</formula>
    </cfRule>
  </conditionalFormatting>
  <conditionalFormatting sqref="AA43:AF43 E43:L43">
    <cfRule type="expression" dxfId="4438" priority="302">
      <formula>E$9&gt;=20/24</formula>
    </cfRule>
    <cfRule type="expression" dxfId="4437" priority="303">
      <formula>AND(E$9&gt;=14/24,E$9&lt;20/24)</formula>
    </cfRule>
    <cfRule type="expression" dxfId="4436" priority="304">
      <formula>AND(E$9&gt;=8/24,E$9&lt;14/24)</formula>
    </cfRule>
    <cfRule type="expression" dxfId="4435" priority="305">
      <formula>E$9&lt;8/24</formula>
    </cfRule>
  </conditionalFormatting>
  <conditionalFormatting sqref="E43:L45 AA43:AF45 AA36:AF36">
    <cfRule type="expression" dxfId="4434" priority="301">
      <formula>E36&gt;$AG36</formula>
    </cfRule>
  </conditionalFormatting>
  <conditionalFormatting sqref="C86:AF86 W62:X63 M11:R12 C71:R71 C62:R67 C90:AF96 C57:AF59 X64:X71 S36:Z36 Y62:AF71 C73:AF76 S16:AF16 S18:AF22 S24:AF26 S12:AF14 S32:AF32 S28:AF30">
    <cfRule type="expression" dxfId="4433" priority="297">
      <formula>C$9&gt;=20/24</formula>
    </cfRule>
    <cfRule type="expression" dxfId="4432" priority="298">
      <formula>AND(C$9&gt;=14/24,C$9&lt;20/24)</formula>
    </cfRule>
    <cfRule type="expression" dxfId="4431" priority="299">
      <formula>AND(C$9&gt;=8/24,C$9&lt;14/24)</formula>
    </cfRule>
    <cfRule type="expression" dxfId="4430" priority="300">
      <formula>C$9&lt;8/24</formula>
    </cfRule>
  </conditionalFormatting>
  <conditionalFormatting sqref="S33:AF33">
    <cfRule type="expression" dxfId="4429" priority="293">
      <formula>S$9&gt;=20/24</formula>
    </cfRule>
    <cfRule type="expression" dxfId="4428" priority="294">
      <formula>AND(S$9&gt;=14/24,S$9&lt;20/24)</formula>
    </cfRule>
    <cfRule type="expression" dxfId="4427" priority="295">
      <formula>AND(S$9&gt;=8/24,S$9&lt;14/24)</formula>
    </cfRule>
    <cfRule type="expression" dxfId="4426" priority="296">
      <formula>S$9&lt;8/24</formula>
    </cfRule>
  </conditionalFormatting>
  <conditionalFormatting sqref="AC46:AF47 C55:AF55 E46:L47 M11:R12 C57:AF59 S36:Z36 S18:AF22 S32:AF33 S24:AF30">
    <cfRule type="expression" dxfId="4425" priority="292">
      <formula>C11&gt;$AG11</formula>
    </cfRule>
  </conditionalFormatting>
  <conditionalFormatting sqref="S35:AF35">
    <cfRule type="expression" dxfId="4424" priority="288">
      <formula>S$9&gt;=20/24</formula>
    </cfRule>
    <cfRule type="expression" dxfId="4423" priority="289">
      <formula>AND(S$9&gt;=14/24,S$9&lt;20/24)</formula>
    </cfRule>
    <cfRule type="expression" dxfId="4422" priority="290">
      <formula>AND(S$9&gt;=8/24,S$9&lt;14/24)</formula>
    </cfRule>
    <cfRule type="expression" dxfId="4421" priority="291">
      <formula>S$9&lt;8/24</formula>
    </cfRule>
  </conditionalFormatting>
  <conditionalFormatting sqref="S15:AF15">
    <cfRule type="expression" dxfId="4420" priority="284">
      <formula>S$9&gt;=20/24</formula>
    </cfRule>
    <cfRule type="expression" dxfId="4419" priority="285">
      <formula>AND(S$9&gt;=14/24,S$9&lt;20/24)</formula>
    </cfRule>
    <cfRule type="expression" dxfId="4418" priority="286">
      <formula>AND(S$9&gt;=8/24,S$9&lt;14/24)</formula>
    </cfRule>
    <cfRule type="expression" dxfId="4417" priority="287">
      <formula>S$9&lt;8/24</formula>
    </cfRule>
  </conditionalFormatting>
  <conditionalFormatting sqref="S34:AF34">
    <cfRule type="expression" dxfId="4416" priority="280">
      <formula>S$9&gt;=20/24</formula>
    </cfRule>
    <cfRule type="expression" dxfId="4415" priority="281">
      <formula>AND(S$9&gt;=14/24,S$9&lt;20/24)</formula>
    </cfRule>
    <cfRule type="expression" dxfId="4414" priority="282">
      <formula>AND(S$9&gt;=8/24,S$9&lt;14/24)</formula>
    </cfRule>
    <cfRule type="expression" dxfId="4413" priority="283">
      <formula>S$9&lt;8/24</formula>
    </cfRule>
  </conditionalFormatting>
  <conditionalFormatting sqref="S34:AF34">
    <cfRule type="expression" dxfId="4412" priority="279">
      <formula>S34&gt;$AG34</formula>
    </cfRule>
  </conditionalFormatting>
  <conditionalFormatting sqref="S11:Z11">
    <cfRule type="expression" dxfId="4411" priority="275">
      <formula>S$9&gt;=20/24</formula>
    </cfRule>
    <cfRule type="expression" dxfId="4410" priority="276">
      <formula>AND(S$9&gt;=14/24,S$9&lt;20/24)</formula>
    </cfRule>
    <cfRule type="expression" dxfId="4409" priority="277">
      <formula>AND(S$9&gt;=8/24,S$9&lt;14/24)</formula>
    </cfRule>
    <cfRule type="expression" dxfId="4408" priority="278">
      <formula>S$9&lt;8/24</formula>
    </cfRule>
  </conditionalFormatting>
  <conditionalFormatting sqref="AC48:AF54 AA46:AB47">
    <cfRule type="expression" dxfId="4407" priority="271">
      <formula>AA$9&gt;=20/24</formula>
    </cfRule>
    <cfRule type="expression" dxfId="4406" priority="272">
      <formula>AND(AA$9&gt;=14/24,AA$9&lt;20/24)</formula>
    </cfRule>
    <cfRule type="expression" dxfId="4405" priority="273">
      <formula>AND(AA$9&gt;=8/24,AA$9&lt;14/24)</formula>
    </cfRule>
    <cfRule type="expression" dxfId="4404" priority="274">
      <formula>AA$9&lt;8/24</formula>
    </cfRule>
  </conditionalFormatting>
  <conditionalFormatting sqref="AC48:AF54 AA46:AB47">
    <cfRule type="expression" dxfId="4403" priority="270">
      <formula>AA46&gt;$AG46</formula>
    </cfRule>
  </conditionalFormatting>
  <conditionalFormatting sqref="M43:R50 AA48:AB54">
    <cfRule type="expression" dxfId="4402" priority="266">
      <formula>M$9&gt;=20/24</formula>
    </cfRule>
    <cfRule type="expression" dxfId="4401" priority="267">
      <formula>AND(M$9&gt;=14/24,M$9&lt;20/24)</formula>
    </cfRule>
    <cfRule type="expression" dxfId="4400" priority="268">
      <formula>AND(M$9&gt;=8/24,M$9&lt;14/24)</formula>
    </cfRule>
    <cfRule type="expression" dxfId="4399" priority="269">
      <formula>M$9&lt;8/24</formula>
    </cfRule>
  </conditionalFormatting>
  <conditionalFormatting sqref="M43:R50 AA48:AB54">
    <cfRule type="expression" dxfId="4398" priority="265">
      <formula>M43&gt;$AG43</formula>
    </cfRule>
  </conditionalFormatting>
  <conditionalFormatting sqref="S27:AF27">
    <cfRule type="expression" dxfId="4397" priority="261">
      <formula>S$9&gt;=20/24</formula>
    </cfRule>
    <cfRule type="expression" dxfId="4396" priority="262">
      <formula>AND(S$9&gt;=14/24,S$9&lt;20/24)</formula>
    </cfRule>
    <cfRule type="expression" dxfId="4395" priority="263">
      <formula>AND(S$9&gt;=8/24,S$9&lt;14/24)</formula>
    </cfRule>
    <cfRule type="expression" dxfId="4394" priority="264">
      <formula>S$9&lt;8/24</formula>
    </cfRule>
  </conditionalFormatting>
  <conditionalFormatting sqref="S17:AF17 S23:AF23">
    <cfRule type="expression" dxfId="4393" priority="257">
      <formula>S$9&gt;=20/24</formula>
    </cfRule>
    <cfRule type="expression" dxfId="4392" priority="258">
      <formula>AND(S$9&gt;=14/24,S$9&lt;20/24)</formula>
    </cfRule>
    <cfRule type="expression" dxfId="4391" priority="259">
      <formula>AND(S$9&gt;=8/24,S$9&lt;14/24)</formula>
    </cfRule>
    <cfRule type="expression" dxfId="4390" priority="260">
      <formula>S$9&lt;8/24</formula>
    </cfRule>
  </conditionalFormatting>
  <conditionalFormatting sqref="S17:AF17 S23:AF23">
    <cfRule type="expression" dxfId="4389" priority="252">
      <formula>S17&gt;$AG17</formula>
    </cfRule>
  </conditionalFormatting>
  <conditionalFormatting sqref="C44:D45">
    <cfRule type="expression" dxfId="4388" priority="235">
      <formula>C$9&gt;=20/24</formula>
    </cfRule>
    <cfRule type="expression" dxfId="4387" priority="236">
      <formula>AND(C$9&gt;=14/24,C$9&lt;20/24)</formula>
    </cfRule>
    <cfRule type="expression" dxfId="4386" priority="237">
      <formula>AND(C$9&gt;=8/24,C$9&lt;14/24)</formula>
    </cfRule>
    <cfRule type="expression" dxfId="4385" priority="238">
      <formula>C$9&lt;8/24</formula>
    </cfRule>
  </conditionalFormatting>
  <conditionalFormatting sqref="C43:D43">
    <cfRule type="expression" dxfId="4384" priority="231">
      <formula>C$9&gt;=20/24</formula>
    </cfRule>
    <cfRule type="expression" dxfId="4383" priority="232">
      <formula>AND(C$9&gt;=14/24,C$9&lt;20/24)</formula>
    </cfRule>
    <cfRule type="expression" dxfId="4382" priority="233">
      <formula>AND(C$9&gt;=8/24,C$9&lt;14/24)</formula>
    </cfRule>
    <cfRule type="expression" dxfId="4381" priority="234">
      <formula>C$9&lt;8/24</formula>
    </cfRule>
  </conditionalFormatting>
  <conditionalFormatting sqref="C43:D45">
    <cfRule type="expression" dxfId="4380" priority="230">
      <formula>C43&gt;$AG43</formula>
    </cfRule>
  </conditionalFormatting>
  <conditionalFormatting sqref="C68:R70">
    <cfRule type="expression" dxfId="4379" priority="226">
      <formula>C$9&gt;=20/24</formula>
    </cfRule>
    <cfRule type="expression" dxfId="4378" priority="227">
      <formula>AND(C$9&gt;=14/24,C$9&lt;20/24)</formula>
    </cfRule>
    <cfRule type="expression" dxfId="4377" priority="228">
      <formula>AND(C$9&gt;=8/24,C$9&lt;14/24)</formula>
    </cfRule>
    <cfRule type="expression" dxfId="4376" priority="229">
      <formula>C$9&lt;8/24</formula>
    </cfRule>
  </conditionalFormatting>
  <conditionalFormatting sqref="C46:D47">
    <cfRule type="expression" dxfId="4375" priority="225">
      <formula>C46&gt;$AG46</formula>
    </cfRule>
  </conditionalFormatting>
  <conditionalFormatting sqref="C48:L54 M51:R54">
    <cfRule type="expression" dxfId="4374" priority="221">
      <formula>C$9&gt;=20/24</formula>
    </cfRule>
    <cfRule type="expression" dxfId="4373" priority="222">
      <formula>AND(C$9&gt;=14/24,C$9&lt;20/24)</formula>
    </cfRule>
    <cfRule type="expression" dxfId="4372" priority="223">
      <formula>AND(C$9&gt;=8/24,C$9&lt;14/24)</formula>
    </cfRule>
    <cfRule type="expression" dxfId="4371" priority="224">
      <formula>C$9&lt;8/24</formula>
    </cfRule>
  </conditionalFormatting>
  <conditionalFormatting sqref="C48:L54 M51:R54">
    <cfRule type="expression" dxfId="4370" priority="220">
      <formula>C48&gt;$AG48</formula>
    </cfRule>
  </conditionalFormatting>
  <conditionalFormatting sqref="C78:AF78 C87:AF87">
    <cfRule type="expression" dxfId="4369" priority="207">
      <formula>C$9&gt;=20/24</formula>
    </cfRule>
    <cfRule type="expression" dxfId="4368" priority="208">
      <formula>AND(C$9&gt;=14/24,C$9&lt;20/24)</formula>
    </cfRule>
    <cfRule type="expression" dxfId="4367" priority="209">
      <formula>AND(C$9&gt;=8/24,C$9&lt;14/24)</formula>
    </cfRule>
    <cfRule type="expression" dxfId="4366" priority="210">
      <formula>C$9&lt;8/24</formula>
    </cfRule>
  </conditionalFormatting>
  <conditionalFormatting sqref="C79:AF79 C60:AG60 C77:AG77 C88:AF88">
    <cfRule type="expression" dxfId="4365" priority="185">
      <formula>C$9&gt;=20/24</formula>
    </cfRule>
    <cfRule type="expression" dxfId="4364" priority="186">
      <formula>AND(C$9&gt;=14/24,C$9&lt;20/24)</formula>
    </cfRule>
    <cfRule type="expression" dxfId="4363" priority="187">
      <formula>AND(C$9&gt;=8/24,C$9&lt;14/24)</formula>
    </cfRule>
    <cfRule type="expression" dxfId="4362" priority="188">
      <formula>C$9&lt;8/24</formula>
    </cfRule>
  </conditionalFormatting>
  <conditionalFormatting sqref="C38:AG38 C56:AG56 C60:AG60">
    <cfRule type="expression" dxfId="4361" priority="180">
      <formula>C38&gt;$AG38</formula>
    </cfRule>
  </conditionalFormatting>
  <conditionalFormatting sqref="A34">
    <cfRule type="expression" dxfId="4360" priority="152">
      <formula>$AH34=0</formula>
    </cfRule>
  </conditionalFormatting>
  <conditionalFormatting sqref="C72:AF72">
    <cfRule type="expression" dxfId="4359" priority="148">
      <formula>C$9&gt;=20/24</formula>
    </cfRule>
    <cfRule type="expression" dxfId="4358" priority="149">
      <formula>AND(C$9&gt;=14/24,C$9&lt;20/24)</formula>
    </cfRule>
    <cfRule type="expression" dxfId="4357" priority="150">
      <formula>AND(C$9&gt;=8/24,C$9&lt;14/24)</formula>
    </cfRule>
    <cfRule type="expression" dxfId="4356" priority="151">
      <formula>C$9&lt;8/24</formula>
    </cfRule>
  </conditionalFormatting>
  <conditionalFormatting sqref="C81:AF85">
    <cfRule type="expression" dxfId="4355" priority="144">
      <formula>C$9&gt;=20/24</formula>
    </cfRule>
    <cfRule type="expression" dxfId="4354" priority="145">
      <formula>AND(C$9&gt;=14/24,C$9&lt;20/24)</formula>
    </cfRule>
    <cfRule type="expression" dxfId="4353" priority="146">
      <formula>AND(C$9&gt;=8/24,C$9&lt;14/24)</formula>
    </cfRule>
    <cfRule type="expression" dxfId="4352" priority="147">
      <formula>C$9&lt;8/24</formula>
    </cfRule>
  </conditionalFormatting>
  <conditionalFormatting sqref="AL35 AL7:AL30 AL32">
    <cfRule type="iconSet" priority="363">
      <iconSet iconSet="3TrafficLights2" reverse="1">
        <cfvo type="percent" val="0"/>
        <cfvo type="num" val="1"/>
        <cfvo type="num" val="1"/>
      </iconSet>
    </cfRule>
  </conditionalFormatting>
  <conditionalFormatting sqref="C39:AF41">
    <cfRule type="expression" dxfId="4351" priority="140">
      <formula>C$9&gt;=20/24</formula>
    </cfRule>
    <cfRule type="expression" dxfId="4350" priority="141">
      <formula>AND(C$9&gt;=14/24,C$9&lt;20/24)</formula>
    </cfRule>
    <cfRule type="expression" dxfId="4349" priority="142">
      <formula>AND(C$9&gt;=8/24,C$9&lt;14/24)</formula>
    </cfRule>
    <cfRule type="expression" dxfId="4348" priority="143">
      <formula>C$9&lt;8/24</formula>
    </cfRule>
  </conditionalFormatting>
  <conditionalFormatting sqref="C39:AF41">
    <cfRule type="expression" dxfId="4347" priority="139">
      <formula>C39&gt;$AG39</formula>
    </cfRule>
  </conditionalFormatting>
  <conditionalFormatting sqref="C42:AG42">
    <cfRule type="expression" dxfId="4346" priority="135">
      <formula>C$9&gt;=20/24</formula>
    </cfRule>
    <cfRule type="expression" dxfId="4345" priority="136">
      <formula>AND(C$9&gt;=14/24,C$9&lt;20/24)</formula>
    </cfRule>
    <cfRule type="expression" dxfId="4344" priority="137">
      <formula>AND(C$9&gt;=8/24,C$9&lt;14/24)</formula>
    </cfRule>
    <cfRule type="expression" dxfId="4343" priority="138">
      <formula>C$9&lt;8/24</formula>
    </cfRule>
  </conditionalFormatting>
  <conditionalFormatting sqref="C42:AG42">
    <cfRule type="expression" dxfId="4342" priority="134">
      <formula>C42&gt;$AG42</formula>
    </cfRule>
  </conditionalFormatting>
  <conditionalFormatting sqref="C97:AF97">
    <cfRule type="expression" dxfId="4341" priority="130">
      <formula>C$9&gt;=20/24</formula>
    </cfRule>
    <cfRule type="expression" dxfId="4340" priority="131">
      <formula>AND(C$9&gt;=14/24,C$9&lt;20/24)</formula>
    </cfRule>
    <cfRule type="expression" dxfId="4339" priority="132">
      <formula>AND(C$9&gt;=8/24,C$9&lt;14/24)</formula>
    </cfRule>
    <cfRule type="expression" dxfId="4338" priority="133">
      <formula>C$9&lt;8/24</formula>
    </cfRule>
  </conditionalFormatting>
  <conditionalFormatting sqref="AL31">
    <cfRule type="iconSet" priority="125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4337" priority="119">
      <formula>$AH31=0</formula>
    </cfRule>
  </conditionalFormatting>
  <conditionalFormatting sqref="A80">
    <cfRule type="expression" dxfId="4336" priority="117">
      <formula>$AH80=0</formula>
    </cfRule>
  </conditionalFormatting>
  <conditionalFormatting sqref="A77">
    <cfRule type="expression" dxfId="4335" priority="118">
      <formula>$AH77=0</formula>
    </cfRule>
  </conditionalFormatting>
  <conditionalFormatting sqref="B99:B105">
    <cfRule type="expression" dxfId="4334" priority="113">
      <formula>B$9&gt;=20/24</formula>
    </cfRule>
    <cfRule type="expression" dxfId="4333" priority="114">
      <formula>AND(B$9&gt;=14/24,B$9&lt;20/24)</formula>
    </cfRule>
    <cfRule type="expression" dxfId="4332" priority="115">
      <formula>AND(B$9&gt;=8/24,B$9&lt;14/24)</formula>
    </cfRule>
    <cfRule type="expression" dxfId="4331" priority="116">
      <formula>B$9&lt;8/24</formula>
    </cfRule>
  </conditionalFormatting>
  <conditionalFormatting sqref="B37:R37">
    <cfRule type="expression" dxfId="4330" priority="109">
      <formula>B$9&gt;=20/24</formula>
    </cfRule>
    <cfRule type="expression" dxfId="4329" priority="110">
      <formula>AND(B$9&gt;=14/24,B$9&lt;20/24)</formula>
    </cfRule>
    <cfRule type="expression" dxfId="4328" priority="111">
      <formula>AND(B$9&gt;=8/24,B$9&lt;14/24)</formula>
    </cfRule>
    <cfRule type="expression" dxfId="4327" priority="112">
      <formula>B$9&lt;8/24</formula>
    </cfRule>
  </conditionalFormatting>
  <conditionalFormatting sqref="B11:L12 B37:R37 B35:R35 B14:R16">
    <cfRule type="expression" dxfId="4326" priority="108">
      <formula>B11&gt;$AG11</formula>
    </cfRule>
  </conditionalFormatting>
  <conditionalFormatting sqref="B89">
    <cfRule type="expression" dxfId="4325" priority="104">
      <formula>B$9&gt;=20/24</formula>
    </cfRule>
    <cfRule type="expression" dxfId="4324" priority="105">
      <formula>AND(B$9&gt;=14/24,B$9&lt;20/24)</formula>
    </cfRule>
    <cfRule type="expression" dxfId="4323" priority="106">
      <formula>AND(B$9&gt;=8/24,B$9&lt;14/24)</formula>
    </cfRule>
    <cfRule type="expression" dxfId="4322" priority="107">
      <formula>B$9&lt;8/24</formula>
    </cfRule>
  </conditionalFormatting>
  <conditionalFormatting sqref="B61 B44:B45">
    <cfRule type="expression" dxfId="4321" priority="100">
      <formula>B$9&gt;=20/24</formula>
    </cfRule>
    <cfRule type="expression" dxfId="4320" priority="101">
      <formula>AND(B$9&gt;=14/24,B$9&lt;20/24)</formula>
    </cfRule>
    <cfRule type="expression" dxfId="4319" priority="102">
      <formula>AND(B$9&gt;=8/24,B$9&lt;14/24)</formula>
    </cfRule>
    <cfRule type="expression" dxfId="4318" priority="103">
      <formula>B$9&lt;8/24</formula>
    </cfRule>
  </conditionalFormatting>
  <conditionalFormatting sqref="B43">
    <cfRule type="expression" dxfId="4317" priority="96">
      <formula>B$9&gt;=20/24</formula>
    </cfRule>
    <cfRule type="expression" dxfId="4316" priority="97">
      <formula>AND(B$9&gt;=14/24,B$9&lt;20/24)</formula>
    </cfRule>
    <cfRule type="expression" dxfId="4315" priority="98">
      <formula>AND(B$9&gt;=8/24,B$9&lt;14/24)</formula>
    </cfRule>
    <cfRule type="expression" dxfId="4314" priority="99">
      <formula>B$9&lt;8/24</formula>
    </cfRule>
  </conditionalFormatting>
  <conditionalFormatting sqref="B43:B45">
    <cfRule type="expression" dxfId="4313" priority="95">
      <formula>B43&gt;$AG43</formula>
    </cfRule>
  </conditionalFormatting>
  <conditionalFormatting sqref="B86 B73:B76 B90:B96 B57:B59 B62:B71 B12:L14 B25:R25 B36:R36 B29:R29 M13:R14">
    <cfRule type="expression" dxfId="4312" priority="91">
      <formula>B$9&gt;=20/24</formula>
    </cfRule>
    <cfRule type="expression" dxfId="4311" priority="92">
      <formula>AND(B$9&gt;=14/24,B$9&lt;20/24)</formula>
    </cfRule>
    <cfRule type="expression" dxfId="4310" priority="93">
      <formula>AND(B$9&gt;=8/24,B$9&lt;14/24)</formula>
    </cfRule>
    <cfRule type="expression" dxfId="4309" priority="94">
      <formula>B$9&lt;8/24</formula>
    </cfRule>
  </conditionalFormatting>
  <conditionalFormatting sqref="B55 B46:B47 B57:B59 B25:R25 B13:R13 B36:R36 B29:R29">
    <cfRule type="expression" dxfId="4308" priority="90">
      <formula>B13&gt;$AG13</formula>
    </cfRule>
  </conditionalFormatting>
  <conditionalFormatting sqref="B15:R15">
    <cfRule type="expression" dxfId="4307" priority="86">
      <formula>B$9&gt;=20/24</formula>
    </cfRule>
    <cfRule type="expression" dxfId="4306" priority="87">
      <formula>AND(B$9&gt;=14/24,B$9&lt;20/24)</formula>
    </cfRule>
    <cfRule type="expression" dxfId="4305" priority="88">
      <formula>AND(B$9&gt;=8/24,B$9&lt;14/24)</formula>
    </cfRule>
    <cfRule type="expression" dxfId="4304" priority="89">
      <formula>B$9&lt;8/24</formula>
    </cfRule>
  </conditionalFormatting>
  <conditionalFormatting sqref="B11:L11">
    <cfRule type="expression" dxfId="4303" priority="82">
      <formula>B$9&gt;=20/24</formula>
    </cfRule>
    <cfRule type="expression" dxfId="4302" priority="83">
      <formula>AND(B$9&gt;=14/24,B$9&lt;20/24)</formula>
    </cfRule>
    <cfRule type="expression" dxfId="4301" priority="84">
      <formula>AND(B$9&gt;=8/24,B$9&lt;14/24)</formula>
    </cfRule>
    <cfRule type="expression" dxfId="4300" priority="85">
      <formula>B$9&lt;8/24</formula>
    </cfRule>
  </conditionalFormatting>
  <conditionalFormatting sqref="B48:B54">
    <cfRule type="expression" dxfId="4299" priority="78">
      <formula>B$9&gt;=20/24</formula>
    </cfRule>
    <cfRule type="expression" dxfId="4298" priority="79">
      <formula>AND(B$9&gt;=14/24,B$9&lt;20/24)</formula>
    </cfRule>
    <cfRule type="expression" dxfId="4297" priority="80">
      <formula>AND(B$9&gt;=8/24,B$9&lt;14/24)</formula>
    </cfRule>
    <cfRule type="expression" dxfId="4296" priority="81">
      <formula>B$9&lt;8/24</formula>
    </cfRule>
  </conditionalFormatting>
  <conditionalFormatting sqref="B48:B54">
    <cfRule type="expression" dxfId="4295" priority="77">
      <formula>B48&gt;$AG48</formula>
    </cfRule>
  </conditionalFormatting>
  <conditionalFormatting sqref="B16:R24 B26:R28 B30:R30 B32:R32">
    <cfRule type="expression" dxfId="4294" priority="73">
      <formula>B$9&gt;=20/24</formula>
    </cfRule>
    <cfRule type="expression" dxfId="4293" priority="74">
      <formula>AND(B$9&gt;=14/24,B$9&lt;20/24)</formula>
    </cfRule>
    <cfRule type="expression" dxfId="4292" priority="75">
      <formula>AND(B$9&gt;=8/24,B$9&lt;14/24)</formula>
    </cfRule>
    <cfRule type="expression" dxfId="4291" priority="76">
      <formula>B$9&lt;8/24</formula>
    </cfRule>
  </conditionalFormatting>
  <conditionalFormatting sqref="B33:R33">
    <cfRule type="expression" dxfId="4290" priority="69">
      <formula>B$9&gt;=20/24</formula>
    </cfRule>
    <cfRule type="expression" dxfId="4289" priority="70">
      <formula>AND(B$9&gt;=14/24,B$9&lt;20/24)</formula>
    </cfRule>
    <cfRule type="expression" dxfId="4288" priority="71">
      <formula>AND(B$9&gt;=8/24,B$9&lt;14/24)</formula>
    </cfRule>
    <cfRule type="expression" dxfId="4287" priority="72">
      <formula>B$9&lt;8/24</formula>
    </cfRule>
  </conditionalFormatting>
  <conditionalFormatting sqref="B17:R24 B26:R28 B30:R30 B32:R33">
    <cfRule type="expression" dxfId="4286" priority="68">
      <formula>B17&gt;$AG17</formula>
    </cfRule>
  </conditionalFormatting>
  <conditionalFormatting sqref="B35:R35">
    <cfRule type="expression" dxfId="4285" priority="64">
      <formula>B$9&gt;=20/24</formula>
    </cfRule>
    <cfRule type="expression" dxfId="4284" priority="65">
      <formula>AND(B$9&gt;=14/24,B$9&lt;20/24)</formula>
    </cfRule>
    <cfRule type="expression" dxfId="4283" priority="66">
      <formula>AND(B$9&gt;=8/24,B$9&lt;14/24)</formula>
    </cfRule>
    <cfRule type="expression" dxfId="4282" priority="67">
      <formula>B$9&lt;8/24</formula>
    </cfRule>
  </conditionalFormatting>
  <conditionalFormatting sqref="B34:R34">
    <cfRule type="expression" dxfId="4281" priority="60">
      <formula>B$9&gt;=20/24</formula>
    </cfRule>
    <cfRule type="expression" dxfId="4280" priority="61">
      <formula>AND(B$9&gt;=14/24,B$9&lt;20/24)</formula>
    </cfRule>
    <cfRule type="expression" dxfId="4279" priority="62">
      <formula>AND(B$9&gt;=8/24,B$9&lt;14/24)</formula>
    </cfRule>
    <cfRule type="expression" dxfId="4278" priority="63">
      <formula>B$9&lt;8/24</formula>
    </cfRule>
  </conditionalFormatting>
  <conditionalFormatting sqref="B34:R34">
    <cfRule type="expression" dxfId="4277" priority="59">
      <formula>B34&gt;$AG34</formula>
    </cfRule>
  </conditionalFormatting>
  <conditionalFormatting sqref="B78 B87">
    <cfRule type="expression" dxfId="4276" priority="55">
      <formula>B$9&gt;=20/24</formula>
    </cfRule>
    <cfRule type="expression" dxfId="4275" priority="56">
      <formula>AND(B$9&gt;=14/24,B$9&lt;20/24)</formula>
    </cfRule>
    <cfRule type="expression" dxfId="4274" priority="57">
      <formula>AND(B$9&gt;=8/24,B$9&lt;14/24)</formula>
    </cfRule>
    <cfRule type="expression" dxfId="4273" priority="58">
      <formula>B$9&lt;8/24</formula>
    </cfRule>
  </conditionalFormatting>
  <conditionalFormatting sqref="B79 B60 B77 B88">
    <cfRule type="expression" dxfId="4272" priority="51">
      <formula>B$9&gt;=20/24</formula>
    </cfRule>
    <cfRule type="expression" dxfId="4271" priority="52">
      <formula>AND(B$9&gt;=14/24,B$9&lt;20/24)</formula>
    </cfRule>
    <cfRule type="expression" dxfId="4270" priority="53">
      <formula>AND(B$9&gt;=8/24,B$9&lt;14/24)</formula>
    </cfRule>
    <cfRule type="expression" dxfId="4269" priority="54">
      <formula>B$9&lt;8/24</formula>
    </cfRule>
  </conditionalFormatting>
  <conditionalFormatting sqref="B38 B56 B60">
    <cfRule type="expression" dxfId="4268" priority="50">
      <formula>B38&gt;$AG38</formula>
    </cfRule>
  </conditionalFormatting>
  <conditionalFormatting sqref="B72">
    <cfRule type="expression" dxfId="4267" priority="46">
      <formula>B$9&gt;=20/24</formula>
    </cfRule>
    <cfRule type="expression" dxfId="4266" priority="47">
      <formula>AND(B$9&gt;=14/24,B$9&lt;20/24)</formula>
    </cfRule>
    <cfRule type="expression" dxfId="4265" priority="48">
      <formula>AND(B$9&gt;=8/24,B$9&lt;14/24)</formula>
    </cfRule>
    <cfRule type="expression" dxfId="4264" priority="49">
      <formula>B$9&lt;8/24</formula>
    </cfRule>
  </conditionalFormatting>
  <conditionalFormatting sqref="B81:B85">
    <cfRule type="expression" dxfId="4263" priority="42">
      <formula>B$9&gt;=20/24</formula>
    </cfRule>
    <cfRule type="expression" dxfId="4262" priority="43">
      <formula>AND(B$9&gt;=14/24,B$9&lt;20/24)</formula>
    </cfRule>
    <cfRule type="expression" dxfId="4261" priority="44">
      <formula>AND(B$9&gt;=8/24,B$9&lt;14/24)</formula>
    </cfRule>
    <cfRule type="expression" dxfId="4260" priority="45">
      <formula>B$9&lt;8/24</formula>
    </cfRule>
  </conditionalFormatting>
  <conditionalFormatting sqref="B39:B41">
    <cfRule type="expression" dxfId="4259" priority="38">
      <formula>B$9&gt;=20/24</formula>
    </cfRule>
    <cfRule type="expression" dxfId="4258" priority="39">
      <formula>AND(B$9&gt;=14/24,B$9&lt;20/24)</formula>
    </cfRule>
    <cfRule type="expression" dxfId="4257" priority="40">
      <formula>AND(B$9&gt;=8/24,B$9&lt;14/24)</formula>
    </cfRule>
    <cfRule type="expression" dxfId="4256" priority="41">
      <formula>B$9&lt;8/24</formula>
    </cfRule>
  </conditionalFormatting>
  <conditionalFormatting sqref="B39:B41">
    <cfRule type="expression" dxfId="4255" priority="37">
      <formula>B39&gt;$AG39</formula>
    </cfRule>
  </conditionalFormatting>
  <conditionalFormatting sqref="B42">
    <cfRule type="expression" dxfId="4254" priority="33">
      <formula>B$9&gt;=20/24</formula>
    </cfRule>
    <cfRule type="expression" dxfId="4253" priority="34">
      <formula>AND(B$9&gt;=14/24,B$9&lt;20/24)</formula>
    </cfRule>
    <cfRule type="expression" dxfId="4252" priority="35">
      <formula>AND(B$9&gt;=8/24,B$9&lt;14/24)</formula>
    </cfRule>
    <cfRule type="expression" dxfId="4251" priority="36">
      <formula>B$9&lt;8/24</formula>
    </cfRule>
  </conditionalFormatting>
  <conditionalFormatting sqref="B42">
    <cfRule type="expression" dxfId="4250" priority="32">
      <formula>B42&gt;$AG42</formula>
    </cfRule>
  </conditionalFormatting>
  <conditionalFormatting sqref="B97">
    <cfRule type="expression" dxfId="4249" priority="28">
      <formula>B$9&gt;=20/24</formula>
    </cfRule>
    <cfRule type="expression" dxfId="4248" priority="29">
      <formula>AND(B$9&gt;=14/24,B$9&lt;20/24)</formula>
    </cfRule>
    <cfRule type="expression" dxfId="4247" priority="30">
      <formula>AND(B$9&gt;=8/24,B$9&lt;14/24)</formula>
    </cfRule>
    <cfRule type="expression" dxfId="4246" priority="31">
      <formula>B$9&lt;8/24</formula>
    </cfRule>
  </conditionalFormatting>
  <conditionalFormatting sqref="S43:Z50">
    <cfRule type="expression" dxfId="4245" priority="19">
      <formula>S$9&gt;=20/24</formula>
    </cfRule>
    <cfRule type="expression" dxfId="4244" priority="20">
      <formula>AND(S$9&gt;=14/24,S$9&lt;20/24)</formula>
    </cfRule>
    <cfRule type="expression" dxfId="4243" priority="21">
      <formula>AND(S$9&gt;=8/24,S$9&lt;14/24)</formula>
    </cfRule>
    <cfRule type="expression" dxfId="4242" priority="22">
      <formula>S$9&lt;8/24</formula>
    </cfRule>
  </conditionalFormatting>
  <conditionalFormatting sqref="S43:Z50">
    <cfRule type="expression" dxfId="4241" priority="18">
      <formula>S43&gt;$AG43</formula>
    </cfRule>
  </conditionalFormatting>
  <conditionalFormatting sqref="S51:Z54">
    <cfRule type="expression" dxfId="4240" priority="14">
      <formula>S$9&gt;=20/24</formula>
    </cfRule>
    <cfRule type="expression" dxfId="4239" priority="15">
      <formula>AND(S$9&gt;=14/24,S$9&lt;20/24)</formula>
    </cfRule>
    <cfRule type="expression" dxfId="4238" priority="16">
      <formula>AND(S$9&gt;=8/24,S$9&lt;14/24)</formula>
    </cfRule>
    <cfRule type="expression" dxfId="4237" priority="17">
      <formula>S$9&lt;8/24</formula>
    </cfRule>
  </conditionalFormatting>
  <conditionalFormatting sqref="S51:Z54">
    <cfRule type="expression" dxfId="4236" priority="13">
      <formula>S51&gt;$AG51</formula>
    </cfRule>
  </conditionalFormatting>
  <conditionalFormatting sqref="S61:V61">
    <cfRule type="expression" dxfId="4235" priority="9">
      <formula>S$9&gt;=20/24</formula>
    </cfRule>
    <cfRule type="expression" dxfId="4234" priority="10">
      <formula>AND(S$9&gt;=14/24,S$9&lt;20/24)</formula>
    </cfRule>
    <cfRule type="expression" dxfId="4233" priority="11">
      <formula>AND(S$9&gt;=8/24,S$9&lt;14/24)</formula>
    </cfRule>
    <cfRule type="expression" dxfId="4232" priority="12">
      <formula>S$9&lt;8/24</formula>
    </cfRule>
  </conditionalFormatting>
  <conditionalFormatting sqref="S62:V67 S71:W71 W64:W67">
    <cfRule type="expression" dxfId="4231" priority="5">
      <formula>S$9&gt;=20/24</formula>
    </cfRule>
    <cfRule type="expression" dxfId="4230" priority="6">
      <formula>AND(S$9&gt;=14/24,S$9&lt;20/24)</formula>
    </cfRule>
    <cfRule type="expression" dxfId="4229" priority="7">
      <formula>AND(S$9&gt;=8/24,S$9&lt;14/24)</formula>
    </cfRule>
    <cfRule type="expression" dxfId="4228" priority="8">
      <formula>S$9&lt;8/24</formula>
    </cfRule>
  </conditionalFormatting>
  <conditionalFormatting sqref="S68:W70">
    <cfRule type="expression" dxfId="4227" priority="1">
      <formula>S$9&gt;=20/24</formula>
    </cfRule>
    <cfRule type="expression" dxfId="4226" priority="2">
      <formula>AND(S$9&gt;=14/24,S$9&lt;20/24)</formula>
    </cfRule>
    <cfRule type="expression" dxfId="4225" priority="3">
      <formula>AND(S$9&gt;=8/24,S$9&lt;14/24)</formula>
    </cfRule>
    <cfRule type="expression" dxfId="4224" priority="4">
      <formula>S$9&lt;8/24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1" id="{8CE5E64A-4791-4AA5-801B-43E67590774F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22" id="{B7711DA1-5D85-41ED-85C4-AC40B64996E6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3" id="{0DFCDBDD-FB13-423E-AAE8-C8780503D5AF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24" id="{6465F26F-1623-437A-A303-6F52A716B516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120" id="{E8EA8BC6-C8A6-46E2-A5BC-56ECCD0591A5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2"/>
  <sheetViews>
    <sheetView zoomScale="90" zoomScaleNormal="90" workbookViewId="0">
      <pane xSplit="1" ySplit="10" topLeftCell="B83" activePane="bottomRight" state="frozen"/>
      <selection activeCell="AF88" sqref="AF88"/>
      <selection pane="topRight" activeCell="AF88" sqref="AF88"/>
      <selection pane="bottomLeft" activeCell="AF88" sqref="AF88"/>
      <selection pane="bottomRight" activeCell="B91" sqref="B91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2079/02/14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("&amp;ROUND(B237,0)&amp;" MW)"&amp;"    IPP   = "&amp;ROUND(B232,0)&amp;" MW     NEA RoR = "&amp;ROUND(B233,0)&amp;" MWImport   = "&amp;ROUND(B235,0)&amp;" MW      KL1+KL2+K3 = "&amp;ROUND(B234,0) &amp;" MW    EXPORT = "&amp;ROUND(B236,0)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13.9</v>
      </c>
      <c r="C5" s="32">
        <f t="shared" si="0"/>
        <v>11.3</v>
      </c>
      <c r="D5" s="32">
        <f t="shared" si="0"/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14.2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0</v>
      </c>
      <c r="O5" s="32">
        <f t="shared" si="0"/>
        <v>0</v>
      </c>
      <c r="P5" s="32">
        <f t="shared" si="0"/>
        <v>0.8</v>
      </c>
      <c r="Q5" s="32">
        <f t="shared" si="0"/>
        <v>0</v>
      </c>
      <c r="R5" s="32">
        <f t="shared" si="0"/>
        <v>0</v>
      </c>
      <c r="S5" s="32">
        <f t="shared" si="0"/>
        <v>0</v>
      </c>
      <c r="T5" s="32">
        <f t="shared" si="0"/>
        <v>1.2</v>
      </c>
      <c r="U5" s="32">
        <f t="shared" si="0"/>
        <v>1.2</v>
      </c>
      <c r="V5" s="32">
        <f t="shared" si="0"/>
        <v>0</v>
      </c>
      <c r="W5" s="32">
        <f t="shared" si="0"/>
        <v>0</v>
      </c>
      <c r="X5" s="32">
        <f t="shared" si="0"/>
        <v>0</v>
      </c>
      <c r="Y5" s="32">
        <f t="shared" si="0"/>
        <v>5</v>
      </c>
      <c r="Z5" s="32">
        <f t="shared" si="0"/>
        <v>15.1</v>
      </c>
      <c r="AA5" s="32">
        <f t="shared" si="0"/>
        <v>16.399999999999999</v>
      </c>
      <c r="AB5" s="32">
        <f t="shared" si="0"/>
        <v>35.4</v>
      </c>
      <c r="AC5" s="32">
        <f t="shared" si="0"/>
        <v>25.5</v>
      </c>
      <c r="AD5" s="32">
        <f t="shared" si="0"/>
        <v>20</v>
      </c>
      <c r="AE5" s="32">
        <f t="shared" si="0"/>
        <v>0</v>
      </c>
      <c r="AF5" s="32">
        <f>B72</f>
        <v>3.2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"&amp;ROUND(B237,0)&amp;"MW at "&amp;TRUNC(B238*24,0)&amp;":"&amp;ROUND((B238*24-TRUNC(B238*24,0))*60,0)&amp;"hr at "&amp;ROUND(B239,1)&amp;"Hz     "&amp;A229&amp;" "&amp;ROUND(B229,0)&amp;"MW at "&amp;TRUNC(C229*24,0)&amp;":"&amp;ROUND((C229*24-TRUNC(C229*24,0))*6,0)&amp;"0hr"</f>
        <v>Evening Peak 0MW at 0:0hr at 0Hz     Morning Peak 1714MW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Load=1456</v>
      </c>
      <c r="B7" s="37">
        <f>B79</f>
        <v>1771.44</v>
      </c>
      <c r="C7" s="37">
        <f t="shared" ref="C7:AF7" si="1">C79</f>
        <v>1456.14</v>
      </c>
      <c r="D7" s="37">
        <f t="shared" si="1"/>
        <v>1459.94</v>
      </c>
      <c r="E7" s="37">
        <f t="shared" si="1"/>
        <v>1658.64</v>
      </c>
      <c r="F7" s="37">
        <f t="shared" si="1"/>
        <v>1585.6399999999999</v>
      </c>
      <c r="G7" s="37">
        <f t="shared" si="1"/>
        <v>1588.64</v>
      </c>
      <c r="H7" s="37">
        <f t="shared" si="1"/>
        <v>1633.64</v>
      </c>
      <c r="I7" s="37">
        <f t="shared" si="1"/>
        <v>1621.0400000000002</v>
      </c>
      <c r="J7" s="37">
        <f t="shared" si="1"/>
        <v>1645.54</v>
      </c>
      <c r="K7" s="37">
        <f t="shared" si="1"/>
        <v>1625.74</v>
      </c>
      <c r="L7" s="37">
        <f t="shared" si="1"/>
        <v>1713.64</v>
      </c>
      <c r="M7" s="37">
        <f t="shared" si="1"/>
        <v>1707.34</v>
      </c>
      <c r="N7" s="37">
        <f t="shared" si="1"/>
        <v>1688.94</v>
      </c>
      <c r="O7" s="37">
        <f t="shared" si="1"/>
        <v>1693.8400000000001</v>
      </c>
      <c r="P7" s="37">
        <f t="shared" si="1"/>
        <v>1668.54</v>
      </c>
      <c r="Q7" s="37">
        <f t="shared" si="1"/>
        <v>1627.5400000000002</v>
      </c>
      <c r="R7" s="37">
        <f t="shared" si="1"/>
        <v>1618.84</v>
      </c>
      <c r="S7" s="37">
        <f t="shared" si="1"/>
        <v>1630.6399999999999</v>
      </c>
      <c r="T7" s="37">
        <f t="shared" si="1"/>
        <v>1631.14</v>
      </c>
      <c r="U7" s="37">
        <f t="shared" si="1"/>
        <v>1611.44</v>
      </c>
      <c r="V7" s="37">
        <f t="shared" si="1"/>
        <v>1611.44</v>
      </c>
      <c r="W7" s="37">
        <f t="shared" si="1"/>
        <v>1577.14</v>
      </c>
      <c r="X7" s="37">
        <f t="shared" si="1"/>
        <v>1582.54</v>
      </c>
      <c r="Y7" s="37">
        <f t="shared" si="1"/>
        <v>1608.64</v>
      </c>
      <c r="Z7" s="37">
        <f t="shared" si="1"/>
        <v>1668.5400000000002</v>
      </c>
      <c r="AA7" s="37">
        <f t="shared" si="1"/>
        <v>1732.44</v>
      </c>
      <c r="AB7" s="37">
        <f t="shared" si="1"/>
        <v>1790.2400000000002</v>
      </c>
      <c r="AC7" s="37">
        <f t="shared" si="1"/>
        <v>1822.54</v>
      </c>
      <c r="AD7" s="37">
        <f t="shared" si="1"/>
        <v>1765.24</v>
      </c>
      <c r="AE7" s="37">
        <f t="shared" si="1"/>
        <v>1731.2400000000002</v>
      </c>
      <c r="AF7" s="37">
        <f t="shared" si="1"/>
        <v>1740.0400000000002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2">
        <v>53.8</v>
      </c>
      <c r="C11" s="52">
        <v>53.8</v>
      </c>
      <c r="D11" s="49">
        <v>53.7</v>
      </c>
      <c r="E11" s="49">
        <v>53.7</v>
      </c>
      <c r="F11" s="49">
        <v>53.7</v>
      </c>
      <c r="G11" s="49">
        <v>53.7</v>
      </c>
      <c r="H11" s="49">
        <v>53.7</v>
      </c>
      <c r="I11" s="49">
        <v>53.7</v>
      </c>
      <c r="J11" s="49">
        <v>53.7</v>
      </c>
      <c r="K11" s="49">
        <v>53.7</v>
      </c>
      <c r="L11" s="49">
        <v>53.7</v>
      </c>
      <c r="M11" s="50">
        <v>53.7</v>
      </c>
      <c r="N11" s="50">
        <v>53.7</v>
      </c>
      <c r="O11" s="50">
        <v>53.7</v>
      </c>
      <c r="P11" s="50">
        <v>53.7</v>
      </c>
      <c r="Q11" s="50">
        <v>53.7</v>
      </c>
      <c r="R11" s="50">
        <v>53.7</v>
      </c>
      <c r="S11" s="50">
        <v>53.7</v>
      </c>
      <c r="T11" s="50">
        <v>53.6</v>
      </c>
      <c r="U11" s="50">
        <v>53.6</v>
      </c>
      <c r="V11" s="50">
        <v>53.6</v>
      </c>
      <c r="W11" s="50">
        <v>53.6</v>
      </c>
      <c r="X11" s="50">
        <v>53.6</v>
      </c>
      <c r="Y11" s="50">
        <v>53.6</v>
      </c>
      <c r="Z11" s="50">
        <v>53.6</v>
      </c>
      <c r="AA11" s="50">
        <v>53.6</v>
      </c>
      <c r="AB11" s="50">
        <v>53.6</v>
      </c>
      <c r="AC11" s="50">
        <v>53.6</v>
      </c>
      <c r="AD11" s="50">
        <v>53.6</v>
      </c>
      <c r="AE11" s="50">
        <v>53.6</v>
      </c>
      <c r="AF11" s="50">
        <v>53.6</v>
      </c>
      <c r="AG11" s="133">
        <v>52.4</v>
      </c>
      <c r="AH11" s="54">
        <f>MAX(B11:AF11)</f>
        <v>53.8</v>
      </c>
      <c r="AI11" s="55">
        <f>MIN(B11:AF11)</f>
        <v>53.6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50.5</v>
      </c>
      <c r="C12" s="50">
        <v>50.5</v>
      </c>
      <c r="D12" s="50">
        <v>50.4</v>
      </c>
      <c r="E12" s="50">
        <v>50.4</v>
      </c>
      <c r="F12" s="50">
        <v>50.5</v>
      </c>
      <c r="G12" s="50">
        <v>50.4</v>
      </c>
      <c r="H12" s="50">
        <v>50.4</v>
      </c>
      <c r="I12" s="50">
        <v>50.4</v>
      </c>
      <c r="J12" s="50">
        <v>50.4</v>
      </c>
      <c r="K12" s="50">
        <v>50.4</v>
      </c>
      <c r="L12" s="50">
        <v>50.4</v>
      </c>
      <c r="M12" s="50">
        <v>50.5</v>
      </c>
      <c r="N12" s="50">
        <v>50.5</v>
      </c>
      <c r="O12" s="50">
        <v>50.6</v>
      </c>
      <c r="P12" s="50">
        <v>50.6</v>
      </c>
      <c r="Q12" s="50">
        <v>50.4</v>
      </c>
      <c r="R12" s="50">
        <v>50.6</v>
      </c>
      <c r="S12" s="50">
        <v>50.6</v>
      </c>
      <c r="T12" s="50">
        <v>50.6</v>
      </c>
      <c r="U12" s="50">
        <v>50.6</v>
      </c>
      <c r="V12" s="50">
        <v>50.6</v>
      </c>
      <c r="W12" s="50">
        <v>50.6</v>
      </c>
      <c r="X12" s="50">
        <v>50.6</v>
      </c>
      <c r="Y12" s="50">
        <v>50.3</v>
      </c>
      <c r="Z12" s="50">
        <v>50.3</v>
      </c>
      <c r="AA12" s="50">
        <v>50.3</v>
      </c>
      <c r="AB12" s="50">
        <v>50.3</v>
      </c>
      <c r="AC12" s="50">
        <v>50.3</v>
      </c>
      <c r="AD12" s="50">
        <v>50.3</v>
      </c>
      <c r="AE12" s="50">
        <v>50.3</v>
      </c>
      <c r="AF12" s="50">
        <v>50.3</v>
      </c>
      <c r="AG12" s="134">
        <v>50</v>
      </c>
      <c r="AH12" s="54">
        <f t="shared" ref="AH12:AH79" si="2">MAX(B12:AF12)</f>
        <v>50.6</v>
      </c>
      <c r="AI12" s="55">
        <f t="shared" ref="AI12:AI79" si="3">MIN(B12:AF12)</f>
        <v>50.3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46</v>
      </c>
      <c r="C13" s="50">
        <v>46</v>
      </c>
      <c r="D13" s="50">
        <v>45.9</v>
      </c>
      <c r="E13" s="50">
        <v>45.9</v>
      </c>
      <c r="F13" s="50">
        <v>46</v>
      </c>
      <c r="G13" s="50">
        <v>45.9</v>
      </c>
      <c r="H13" s="50">
        <v>45.9</v>
      </c>
      <c r="I13" s="50">
        <v>45.9</v>
      </c>
      <c r="J13" s="50">
        <v>45.9</v>
      </c>
      <c r="K13" s="50">
        <v>45.9</v>
      </c>
      <c r="L13" s="50">
        <v>45.9</v>
      </c>
      <c r="M13" s="50">
        <v>45.9</v>
      </c>
      <c r="N13" s="50">
        <v>45.9</v>
      </c>
      <c r="O13" s="50">
        <v>45.9</v>
      </c>
      <c r="P13" s="50">
        <v>45.9</v>
      </c>
      <c r="Q13" s="50">
        <v>45.8</v>
      </c>
      <c r="R13" s="50">
        <v>45.7</v>
      </c>
      <c r="S13" s="50">
        <v>45.7</v>
      </c>
      <c r="T13" s="50">
        <v>45.7</v>
      </c>
      <c r="U13" s="50">
        <v>45.7</v>
      </c>
      <c r="V13" s="50">
        <v>45.7</v>
      </c>
      <c r="W13" s="50">
        <v>45.7</v>
      </c>
      <c r="X13" s="50">
        <v>45.7</v>
      </c>
      <c r="Y13" s="50">
        <v>45.7</v>
      </c>
      <c r="Z13" s="50">
        <v>45.7</v>
      </c>
      <c r="AA13" s="50">
        <v>45.7</v>
      </c>
      <c r="AB13" s="50">
        <v>45.7</v>
      </c>
      <c r="AC13" s="50">
        <v>45.7</v>
      </c>
      <c r="AD13" s="50">
        <v>45.7</v>
      </c>
      <c r="AE13" s="50">
        <v>45.7</v>
      </c>
      <c r="AF13" s="50">
        <v>45.7</v>
      </c>
      <c r="AG13" s="134">
        <v>45</v>
      </c>
      <c r="AH13" s="54">
        <f t="shared" si="2"/>
        <v>46</v>
      </c>
      <c r="AI13" s="55">
        <f t="shared" si="3"/>
        <v>45.7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26</v>
      </c>
      <c r="C14" s="50">
        <v>26</v>
      </c>
      <c r="D14" s="50">
        <v>33</v>
      </c>
      <c r="E14" s="50">
        <v>33</v>
      </c>
      <c r="F14" s="50">
        <v>33</v>
      </c>
      <c r="G14" s="50">
        <v>33</v>
      </c>
      <c r="H14" s="50">
        <v>33</v>
      </c>
      <c r="I14" s="50">
        <v>33</v>
      </c>
      <c r="J14" s="50">
        <v>33</v>
      </c>
      <c r="K14" s="50">
        <v>33</v>
      </c>
      <c r="L14" s="50">
        <v>33</v>
      </c>
      <c r="M14" s="50">
        <v>33</v>
      </c>
      <c r="N14" s="50">
        <v>26</v>
      </c>
      <c r="O14" s="50">
        <v>26</v>
      </c>
      <c r="P14" s="50">
        <v>26</v>
      </c>
      <c r="Q14" s="50">
        <v>0</v>
      </c>
      <c r="R14" s="50">
        <v>0</v>
      </c>
      <c r="S14" s="50">
        <v>0</v>
      </c>
      <c r="T14" s="50">
        <v>26</v>
      </c>
      <c r="U14" s="50">
        <v>26</v>
      </c>
      <c r="V14" s="50">
        <v>26</v>
      </c>
      <c r="W14" s="50">
        <v>26</v>
      </c>
      <c r="X14" s="50">
        <v>26</v>
      </c>
      <c r="Y14" s="50">
        <v>26</v>
      </c>
      <c r="Z14" s="50">
        <v>26</v>
      </c>
      <c r="AA14" s="50">
        <v>26</v>
      </c>
      <c r="AB14" s="50">
        <v>26</v>
      </c>
      <c r="AC14" s="50">
        <v>26</v>
      </c>
      <c r="AD14" s="50">
        <v>26</v>
      </c>
      <c r="AE14" s="50">
        <v>26</v>
      </c>
      <c r="AF14" s="50">
        <v>26</v>
      </c>
      <c r="AG14" s="134">
        <v>42</v>
      </c>
      <c r="AH14" s="54">
        <f t="shared" si="2"/>
        <v>33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10</v>
      </c>
      <c r="C15" s="50">
        <v>30</v>
      </c>
      <c r="D15" s="50">
        <v>30</v>
      </c>
      <c r="E15" s="50">
        <v>10</v>
      </c>
      <c r="F15" s="50">
        <v>0</v>
      </c>
      <c r="G15" s="50">
        <v>0</v>
      </c>
      <c r="H15" s="50">
        <v>0</v>
      </c>
      <c r="I15" s="50">
        <v>20</v>
      </c>
      <c r="J15" s="50">
        <v>20</v>
      </c>
      <c r="K15" s="50">
        <v>30</v>
      </c>
      <c r="L15" s="50">
        <v>30</v>
      </c>
      <c r="M15" s="50">
        <v>30</v>
      </c>
      <c r="N15" s="50">
        <v>10</v>
      </c>
      <c r="O15" s="50">
        <v>10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30</v>
      </c>
      <c r="AC15" s="50">
        <v>30</v>
      </c>
      <c r="AD15" s="50">
        <v>20</v>
      </c>
      <c r="AE15" s="50">
        <v>5</v>
      </c>
      <c r="AF15" s="50">
        <v>0</v>
      </c>
      <c r="AG15" s="135">
        <v>30</v>
      </c>
      <c r="AH15" s="54">
        <f t="shared" si="2"/>
        <v>30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25.2</v>
      </c>
      <c r="C16" s="50">
        <v>25.3</v>
      </c>
      <c r="D16" s="50">
        <v>25.3</v>
      </c>
      <c r="E16" s="50">
        <v>25.3</v>
      </c>
      <c r="F16" s="50">
        <v>25.3</v>
      </c>
      <c r="G16" s="50">
        <v>25.3</v>
      </c>
      <c r="H16" s="50">
        <v>25.3</v>
      </c>
      <c r="I16" s="50">
        <v>25.3</v>
      </c>
      <c r="J16" s="50">
        <v>25.3</v>
      </c>
      <c r="K16" s="50">
        <v>25.3</v>
      </c>
      <c r="L16" s="50">
        <v>25.3</v>
      </c>
      <c r="M16" s="50">
        <v>25.3</v>
      </c>
      <c r="N16" s="50">
        <v>25.3</v>
      </c>
      <c r="O16" s="50">
        <v>25.3</v>
      </c>
      <c r="P16" s="50">
        <v>25.3</v>
      </c>
      <c r="Q16" s="50">
        <v>25.3</v>
      </c>
      <c r="R16" s="50">
        <v>25.3</v>
      </c>
      <c r="S16" s="50">
        <v>25.3</v>
      </c>
      <c r="T16" s="50">
        <v>25.3</v>
      </c>
      <c r="U16" s="50">
        <v>25.3</v>
      </c>
      <c r="V16" s="50">
        <v>25.3</v>
      </c>
      <c r="W16" s="50">
        <v>25.3</v>
      </c>
      <c r="X16" s="50">
        <v>25.3</v>
      </c>
      <c r="Y16" s="50">
        <v>25.3</v>
      </c>
      <c r="Z16" s="50">
        <v>25.3</v>
      </c>
      <c r="AA16" s="50">
        <v>25.3</v>
      </c>
      <c r="AB16" s="50">
        <v>25.3</v>
      </c>
      <c r="AC16" s="50">
        <v>25.3</v>
      </c>
      <c r="AD16" s="50">
        <v>25.3</v>
      </c>
      <c r="AE16" s="50">
        <v>25.3</v>
      </c>
      <c r="AF16" s="50">
        <v>25.3</v>
      </c>
      <c r="AG16" s="134">
        <v>25</v>
      </c>
      <c r="AH16" s="54">
        <f t="shared" si="2"/>
        <v>25.3</v>
      </c>
      <c r="AI16" s="55">
        <f t="shared" si="3"/>
        <v>25.2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0</v>
      </c>
      <c r="I17" s="50">
        <v>0</v>
      </c>
      <c r="J17" s="50">
        <v>20</v>
      </c>
      <c r="K17" s="50">
        <v>25</v>
      </c>
      <c r="L17" s="50">
        <v>25</v>
      </c>
      <c r="M17" s="50">
        <v>20</v>
      </c>
      <c r="N17" s="50">
        <v>25</v>
      </c>
      <c r="O17" s="50">
        <v>25</v>
      </c>
      <c r="P17" s="50">
        <v>25</v>
      </c>
      <c r="Q17" s="50">
        <v>25</v>
      </c>
      <c r="R17" s="50">
        <v>12.5</v>
      </c>
      <c r="S17" s="50">
        <v>12.5</v>
      </c>
      <c r="T17" s="50">
        <v>12.5</v>
      </c>
      <c r="U17" s="50">
        <v>12.5</v>
      </c>
      <c r="V17" s="50">
        <v>12.5</v>
      </c>
      <c r="W17" s="50">
        <v>12.5</v>
      </c>
      <c r="X17" s="50">
        <v>12.5</v>
      </c>
      <c r="Y17" s="50">
        <v>12.5</v>
      </c>
      <c r="Z17" s="50">
        <v>12.5</v>
      </c>
      <c r="AA17" s="50">
        <v>12.5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25</v>
      </c>
      <c r="D18" s="50">
        <v>25</v>
      </c>
      <c r="E18" s="50">
        <v>25</v>
      </c>
      <c r="F18" s="50">
        <v>25</v>
      </c>
      <c r="G18" s="50">
        <v>25</v>
      </c>
      <c r="H18" s="50">
        <v>25</v>
      </c>
      <c r="I18" s="50">
        <v>25</v>
      </c>
      <c r="J18" s="50">
        <v>25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25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30.5</v>
      </c>
      <c r="C19" s="50">
        <v>33</v>
      </c>
      <c r="D19" s="50">
        <v>33</v>
      </c>
      <c r="E19" s="50">
        <v>33</v>
      </c>
      <c r="F19" s="50">
        <v>33</v>
      </c>
      <c r="G19" s="50">
        <v>33</v>
      </c>
      <c r="H19" s="50">
        <v>33</v>
      </c>
      <c r="I19" s="50">
        <v>33</v>
      </c>
      <c r="J19" s="50">
        <v>33</v>
      </c>
      <c r="K19" s="50">
        <v>33</v>
      </c>
      <c r="L19" s="50">
        <v>33</v>
      </c>
      <c r="M19" s="50">
        <v>33</v>
      </c>
      <c r="N19" s="50">
        <v>33</v>
      </c>
      <c r="O19" s="50">
        <v>33</v>
      </c>
      <c r="P19" s="50">
        <v>33</v>
      </c>
      <c r="Q19" s="50">
        <v>33</v>
      </c>
      <c r="R19" s="50">
        <v>33</v>
      </c>
      <c r="S19" s="50">
        <v>33</v>
      </c>
      <c r="T19" s="50">
        <v>24</v>
      </c>
      <c r="U19" s="50">
        <v>24</v>
      </c>
      <c r="V19" s="50">
        <v>24</v>
      </c>
      <c r="W19" s="50">
        <v>24</v>
      </c>
      <c r="X19" s="50">
        <v>24</v>
      </c>
      <c r="Y19" s="50">
        <v>24</v>
      </c>
      <c r="Z19" s="50">
        <v>24</v>
      </c>
      <c r="AA19" s="50">
        <v>24</v>
      </c>
      <c r="AB19" s="50">
        <v>33</v>
      </c>
      <c r="AC19" s="50">
        <v>33</v>
      </c>
      <c r="AD19" s="50">
        <v>25</v>
      </c>
      <c r="AE19" s="50">
        <v>25</v>
      </c>
      <c r="AF19" s="50">
        <v>25</v>
      </c>
      <c r="AG19" s="134">
        <v>24.2</v>
      </c>
      <c r="AH19" s="54">
        <f t="shared" si="2"/>
        <v>33</v>
      </c>
      <c r="AI19" s="55">
        <f t="shared" si="3"/>
        <v>24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24.1</v>
      </c>
      <c r="C20" s="50">
        <v>24.1</v>
      </c>
      <c r="D20" s="50">
        <v>24.1</v>
      </c>
      <c r="E20" s="50">
        <v>24.1</v>
      </c>
      <c r="F20" s="50">
        <v>24.1</v>
      </c>
      <c r="G20" s="50">
        <v>24.1</v>
      </c>
      <c r="H20" s="50">
        <v>24.1</v>
      </c>
      <c r="I20" s="50">
        <v>24.1</v>
      </c>
      <c r="J20" s="50">
        <v>24.1</v>
      </c>
      <c r="K20" s="50">
        <v>24.1</v>
      </c>
      <c r="L20" s="50">
        <v>24.1</v>
      </c>
      <c r="M20" s="50">
        <v>24.2</v>
      </c>
      <c r="N20" s="50">
        <v>24.2</v>
      </c>
      <c r="O20" s="50">
        <v>24.2</v>
      </c>
      <c r="P20" s="50">
        <v>24.2</v>
      </c>
      <c r="Q20" s="50">
        <v>24.2</v>
      </c>
      <c r="R20" s="50">
        <v>24.2</v>
      </c>
      <c r="S20" s="50">
        <v>24.2</v>
      </c>
      <c r="T20" s="50">
        <v>24</v>
      </c>
      <c r="U20" s="50">
        <v>24</v>
      </c>
      <c r="V20" s="50">
        <v>24</v>
      </c>
      <c r="W20" s="50">
        <v>24</v>
      </c>
      <c r="X20" s="50">
        <v>24</v>
      </c>
      <c r="Y20" s="50">
        <v>24</v>
      </c>
      <c r="Z20" s="50">
        <v>24</v>
      </c>
      <c r="AA20" s="50">
        <v>24</v>
      </c>
      <c r="AB20" s="50">
        <v>24</v>
      </c>
      <c r="AC20" s="50">
        <v>24</v>
      </c>
      <c r="AD20" s="50">
        <v>24</v>
      </c>
      <c r="AE20" s="50">
        <v>24</v>
      </c>
      <c r="AF20" s="50">
        <v>24</v>
      </c>
      <c r="AG20" s="134">
        <v>23.5</v>
      </c>
      <c r="AH20" s="54">
        <f t="shared" si="2"/>
        <v>24.2</v>
      </c>
      <c r="AI20" s="55">
        <f t="shared" si="3"/>
        <v>24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20.6</v>
      </c>
      <c r="C21" s="50">
        <v>20.6</v>
      </c>
      <c r="D21" s="50">
        <v>20.6</v>
      </c>
      <c r="E21" s="50">
        <v>20.6</v>
      </c>
      <c r="F21" s="50">
        <v>20.6</v>
      </c>
      <c r="G21" s="50">
        <v>20.6</v>
      </c>
      <c r="H21" s="50">
        <v>20.6</v>
      </c>
      <c r="I21" s="50">
        <v>20.6</v>
      </c>
      <c r="J21" s="50">
        <v>20.6</v>
      </c>
      <c r="K21" s="50">
        <v>20.6</v>
      </c>
      <c r="L21" s="50">
        <v>20.6</v>
      </c>
      <c r="M21" s="50">
        <v>20.6</v>
      </c>
      <c r="N21" s="50">
        <v>20.6</v>
      </c>
      <c r="O21" s="50">
        <v>20.6</v>
      </c>
      <c r="P21" s="50">
        <v>20.6</v>
      </c>
      <c r="Q21" s="50">
        <v>20.6</v>
      </c>
      <c r="R21" s="50">
        <v>20.6</v>
      </c>
      <c r="S21" s="50">
        <v>20.6</v>
      </c>
      <c r="T21" s="50">
        <v>20.6</v>
      </c>
      <c r="U21" s="50">
        <v>20.6</v>
      </c>
      <c r="V21" s="50">
        <v>20.6</v>
      </c>
      <c r="W21" s="50">
        <v>20.6</v>
      </c>
      <c r="X21" s="50">
        <v>20.6</v>
      </c>
      <c r="Y21" s="50">
        <v>20.6</v>
      </c>
      <c r="Z21" s="50">
        <v>20.6</v>
      </c>
      <c r="AA21" s="50">
        <v>20.6</v>
      </c>
      <c r="AB21" s="50">
        <v>20.6</v>
      </c>
      <c r="AC21" s="50">
        <v>20.6</v>
      </c>
      <c r="AD21" s="50">
        <v>20.6</v>
      </c>
      <c r="AE21" s="50">
        <v>20.6</v>
      </c>
      <c r="AF21" s="50">
        <v>20.6</v>
      </c>
      <c r="AG21" s="134">
        <v>22.2</v>
      </c>
      <c r="AH21" s="54">
        <f t="shared" si="2"/>
        <v>20.6</v>
      </c>
      <c r="AI21" s="55">
        <f t="shared" si="3"/>
        <v>20.6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134">
        <v>22.1</v>
      </c>
      <c r="AH22" s="54">
        <f t="shared" si="2"/>
        <v>22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22</v>
      </c>
      <c r="C23" s="50">
        <v>22</v>
      </c>
      <c r="D23" s="50">
        <v>22</v>
      </c>
      <c r="E23" s="50">
        <v>22</v>
      </c>
      <c r="F23" s="50">
        <v>18</v>
      </c>
      <c r="G23" s="50">
        <v>18</v>
      </c>
      <c r="H23" s="50">
        <v>18</v>
      </c>
      <c r="I23" s="50">
        <v>18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18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22</v>
      </c>
      <c r="AI24" s="55">
        <f t="shared" si="3"/>
        <v>22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0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10</v>
      </c>
      <c r="N25" s="50">
        <v>5</v>
      </c>
      <c r="O25" s="50">
        <v>5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10</v>
      </c>
      <c r="AC25" s="50">
        <v>10</v>
      </c>
      <c r="AD25" s="50">
        <v>5</v>
      </c>
      <c r="AE25" s="50">
        <v>0</v>
      </c>
      <c r="AF25" s="50">
        <v>0</v>
      </c>
      <c r="AG25" s="134">
        <v>20</v>
      </c>
      <c r="AH25" s="54">
        <f t="shared" si="2"/>
        <v>10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14.9</v>
      </c>
      <c r="C26" s="50">
        <v>14.9</v>
      </c>
      <c r="D26" s="50">
        <v>14.9</v>
      </c>
      <c r="E26" s="50">
        <v>14.9</v>
      </c>
      <c r="F26" s="50">
        <v>14.9</v>
      </c>
      <c r="G26" s="50">
        <v>14.9</v>
      </c>
      <c r="H26" s="50">
        <v>14.9</v>
      </c>
      <c r="I26" s="50">
        <v>14.9</v>
      </c>
      <c r="J26" s="50">
        <v>14.9</v>
      </c>
      <c r="K26" s="50">
        <v>14.9</v>
      </c>
      <c r="L26" s="50">
        <v>14.9</v>
      </c>
      <c r="M26" s="50">
        <v>14.9</v>
      </c>
      <c r="N26" s="50">
        <v>14.9</v>
      </c>
      <c r="O26" s="50">
        <v>14.9</v>
      </c>
      <c r="P26" s="50">
        <v>14.9</v>
      </c>
      <c r="Q26" s="50">
        <v>14.9</v>
      </c>
      <c r="R26" s="50">
        <v>14.9</v>
      </c>
      <c r="S26" s="50">
        <v>14.9</v>
      </c>
      <c r="T26" s="50">
        <v>14.9</v>
      </c>
      <c r="U26" s="50">
        <v>14.9</v>
      </c>
      <c r="V26" s="50">
        <v>14.9</v>
      </c>
      <c r="W26" s="50">
        <v>14.9</v>
      </c>
      <c r="X26" s="50">
        <v>14.9</v>
      </c>
      <c r="Y26" s="50">
        <v>14.9</v>
      </c>
      <c r="Z26" s="50">
        <v>14.9</v>
      </c>
      <c r="AA26" s="50">
        <v>14.9</v>
      </c>
      <c r="AB26" s="50">
        <v>14.9</v>
      </c>
      <c r="AC26" s="50">
        <v>14.9</v>
      </c>
      <c r="AD26" s="50">
        <v>14.9</v>
      </c>
      <c r="AE26" s="50">
        <v>14.9</v>
      </c>
      <c r="AF26" s="50">
        <v>14.9</v>
      </c>
      <c r="AG26" s="134">
        <v>14.9</v>
      </c>
      <c r="AH26" s="54">
        <f t="shared" si="2"/>
        <v>14.9</v>
      </c>
      <c r="AI26" s="55">
        <f t="shared" si="3"/>
        <v>14.9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10</v>
      </c>
      <c r="C27" s="50">
        <v>10</v>
      </c>
      <c r="D27" s="50">
        <v>10</v>
      </c>
      <c r="E27" s="50">
        <v>10</v>
      </c>
      <c r="F27" s="50">
        <v>10</v>
      </c>
      <c r="G27" s="50">
        <v>10</v>
      </c>
      <c r="H27" s="50">
        <v>10</v>
      </c>
      <c r="I27" s="50">
        <v>10</v>
      </c>
      <c r="J27" s="50">
        <v>10</v>
      </c>
      <c r="K27" s="50">
        <v>10</v>
      </c>
      <c r="L27" s="50">
        <v>10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134">
        <v>13.6</v>
      </c>
      <c r="AH27" s="54">
        <f t="shared" si="2"/>
        <v>10</v>
      </c>
      <c r="AI27" s="55">
        <f t="shared" si="3"/>
        <v>0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13</v>
      </c>
      <c r="C28" s="50">
        <v>13</v>
      </c>
      <c r="D28" s="50">
        <v>13</v>
      </c>
      <c r="E28" s="50">
        <v>13</v>
      </c>
      <c r="F28" s="50">
        <v>13</v>
      </c>
      <c r="G28" s="50">
        <v>13</v>
      </c>
      <c r="H28" s="50">
        <v>13</v>
      </c>
      <c r="I28" s="50">
        <v>13</v>
      </c>
      <c r="J28" s="50">
        <v>13</v>
      </c>
      <c r="K28" s="50">
        <v>13</v>
      </c>
      <c r="L28" s="50">
        <v>13</v>
      </c>
      <c r="M28" s="50">
        <v>13</v>
      </c>
      <c r="N28" s="50">
        <v>13</v>
      </c>
      <c r="O28" s="50">
        <v>13</v>
      </c>
      <c r="P28" s="50">
        <v>13</v>
      </c>
      <c r="Q28" s="50">
        <v>13</v>
      </c>
      <c r="R28" s="50">
        <v>13</v>
      </c>
      <c r="S28" s="50">
        <v>13</v>
      </c>
      <c r="T28" s="50">
        <v>13</v>
      </c>
      <c r="U28" s="50">
        <v>13</v>
      </c>
      <c r="V28" s="50">
        <v>13</v>
      </c>
      <c r="W28" s="50">
        <v>13</v>
      </c>
      <c r="X28" s="50">
        <v>13</v>
      </c>
      <c r="Y28" s="50">
        <v>13</v>
      </c>
      <c r="Z28" s="50">
        <v>13</v>
      </c>
      <c r="AA28" s="50">
        <v>13</v>
      </c>
      <c r="AB28" s="50">
        <v>13</v>
      </c>
      <c r="AC28" s="50">
        <v>13</v>
      </c>
      <c r="AD28" s="50">
        <v>13</v>
      </c>
      <c r="AE28" s="50">
        <v>13</v>
      </c>
      <c r="AF28" s="50">
        <v>13</v>
      </c>
      <c r="AG28" s="134">
        <v>13</v>
      </c>
      <c r="AH28" s="54">
        <f t="shared" si="2"/>
        <v>13</v>
      </c>
      <c r="AI28" s="55">
        <f t="shared" si="3"/>
        <v>13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12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134">
        <v>12</v>
      </c>
      <c r="AH29" s="54">
        <f t="shared" si="2"/>
        <v>12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7</v>
      </c>
      <c r="C30" s="50">
        <v>7</v>
      </c>
      <c r="D30" s="50">
        <v>7</v>
      </c>
      <c r="E30" s="50">
        <v>7</v>
      </c>
      <c r="F30" s="50">
        <v>7</v>
      </c>
      <c r="G30" s="50">
        <v>7</v>
      </c>
      <c r="H30" s="50">
        <v>7</v>
      </c>
      <c r="I30" s="50">
        <v>7</v>
      </c>
      <c r="J30" s="50">
        <v>7</v>
      </c>
      <c r="K30" s="50">
        <v>7</v>
      </c>
      <c r="L30" s="50">
        <v>7</v>
      </c>
      <c r="M30" s="50">
        <v>7</v>
      </c>
      <c r="N30" s="50">
        <v>7</v>
      </c>
      <c r="O30" s="50">
        <v>7</v>
      </c>
      <c r="P30" s="50">
        <v>7</v>
      </c>
      <c r="Q30" s="50">
        <v>7</v>
      </c>
      <c r="R30" s="50">
        <v>7</v>
      </c>
      <c r="S30" s="50">
        <v>7</v>
      </c>
      <c r="T30" s="50">
        <v>7</v>
      </c>
      <c r="U30" s="50">
        <v>7</v>
      </c>
      <c r="V30" s="50">
        <v>7</v>
      </c>
      <c r="W30" s="50">
        <v>7</v>
      </c>
      <c r="X30" s="50">
        <v>7</v>
      </c>
      <c r="Y30" s="50">
        <v>7</v>
      </c>
      <c r="Z30" s="50">
        <v>7</v>
      </c>
      <c r="AA30" s="50">
        <v>7</v>
      </c>
      <c r="AB30" s="50">
        <v>7</v>
      </c>
      <c r="AC30" s="50">
        <v>7</v>
      </c>
      <c r="AD30" s="50">
        <v>7</v>
      </c>
      <c r="AE30" s="50">
        <v>7</v>
      </c>
      <c r="AF30" s="50">
        <v>7</v>
      </c>
      <c r="AG30" s="134">
        <v>12</v>
      </c>
      <c r="AH30" s="54">
        <f t="shared" si="2"/>
        <v>7</v>
      </c>
      <c r="AI30" s="55">
        <f t="shared" si="3"/>
        <v>7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9</v>
      </c>
      <c r="C31" s="50">
        <v>9</v>
      </c>
      <c r="D31" s="50">
        <v>9</v>
      </c>
      <c r="E31" s="50">
        <v>9</v>
      </c>
      <c r="F31" s="50">
        <v>9</v>
      </c>
      <c r="G31" s="50">
        <v>9</v>
      </c>
      <c r="H31" s="50">
        <v>9</v>
      </c>
      <c r="I31" s="50">
        <v>9</v>
      </c>
      <c r="J31" s="50">
        <v>9</v>
      </c>
      <c r="K31" s="50">
        <v>9</v>
      </c>
      <c r="L31" s="50">
        <v>9</v>
      </c>
      <c r="M31" s="50">
        <v>9</v>
      </c>
      <c r="N31" s="50">
        <v>9</v>
      </c>
      <c r="O31" s="50">
        <v>9</v>
      </c>
      <c r="P31" s="50">
        <v>9</v>
      </c>
      <c r="Q31" s="50">
        <v>9</v>
      </c>
      <c r="R31" s="50">
        <v>9</v>
      </c>
      <c r="S31" s="50">
        <v>9</v>
      </c>
      <c r="T31" s="50">
        <v>9</v>
      </c>
      <c r="U31" s="50">
        <v>9</v>
      </c>
      <c r="V31" s="50">
        <v>9</v>
      </c>
      <c r="W31" s="50">
        <v>9</v>
      </c>
      <c r="X31" s="50">
        <v>9</v>
      </c>
      <c r="Y31" s="50">
        <v>9</v>
      </c>
      <c r="Z31" s="50">
        <v>9</v>
      </c>
      <c r="AA31" s="50">
        <v>9</v>
      </c>
      <c r="AB31" s="50">
        <v>9</v>
      </c>
      <c r="AC31" s="50">
        <v>9</v>
      </c>
      <c r="AD31" s="50">
        <v>9</v>
      </c>
      <c r="AE31" s="50">
        <v>9</v>
      </c>
      <c r="AF31" s="50">
        <v>9</v>
      </c>
      <c r="AG31" s="178">
        <v>22</v>
      </c>
      <c r="AH31" s="54">
        <f>MAX(B31:AF31)</f>
        <v>9</v>
      </c>
      <c r="AI31" s="55">
        <f>MIN(B31:AF31)</f>
        <v>9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12</v>
      </c>
      <c r="C32" s="50">
        <v>12</v>
      </c>
      <c r="D32" s="50">
        <v>12</v>
      </c>
      <c r="E32" s="50">
        <v>12</v>
      </c>
      <c r="F32" s="50">
        <v>12</v>
      </c>
      <c r="G32" s="50">
        <v>12</v>
      </c>
      <c r="H32" s="50">
        <v>12</v>
      </c>
      <c r="I32" s="50">
        <v>12</v>
      </c>
      <c r="J32" s="50">
        <v>12</v>
      </c>
      <c r="K32" s="50">
        <v>12</v>
      </c>
      <c r="L32" s="50">
        <v>12</v>
      </c>
      <c r="M32" s="50">
        <v>12</v>
      </c>
      <c r="N32" s="50">
        <v>12</v>
      </c>
      <c r="O32" s="50">
        <v>12</v>
      </c>
      <c r="P32" s="50">
        <v>12</v>
      </c>
      <c r="Q32" s="50">
        <v>12</v>
      </c>
      <c r="R32" s="50">
        <v>12</v>
      </c>
      <c r="S32" s="50">
        <v>12</v>
      </c>
      <c r="T32" s="50">
        <v>12</v>
      </c>
      <c r="U32" s="50">
        <v>12</v>
      </c>
      <c r="V32" s="50">
        <v>12</v>
      </c>
      <c r="W32" s="50">
        <v>12</v>
      </c>
      <c r="X32" s="50">
        <v>12</v>
      </c>
      <c r="Y32" s="50">
        <v>12</v>
      </c>
      <c r="Z32" s="50">
        <v>12</v>
      </c>
      <c r="AA32" s="50">
        <v>12</v>
      </c>
      <c r="AB32" s="50">
        <v>12</v>
      </c>
      <c r="AC32" s="50">
        <v>12</v>
      </c>
      <c r="AD32" s="50">
        <v>12</v>
      </c>
      <c r="AE32" s="50">
        <v>12</v>
      </c>
      <c r="AF32" s="50">
        <v>12</v>
      </c>
      <c r="AG32" s="135">
        <v>11.88</v>
      </c>
      <c r="AH32" s="54">
        <f t="shared" si="2"/>
        <v>12</v>
      </c>
      <c r="AI32" s="55">
        <f t="shared" si="3"/>
        <v>12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11</v>
      </c>
      <c r="D33" s="50">
        <v>11</v>
      </c>
      <c r="E33" s="50">
        <v>11</v>
      </c>
      <c r="F33" s="50">
        <v>11</v>
      </c>
      <c r="G33" s="50">
        <v>11</v>
      </c>
      <c r="H33" s="50">
        <v>11</v>
      </c>
      <c r="I33" s="50">
        <v>11</v>
      </c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11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8</v>
      </c>
      <c r="C34" s="50">
        <v>8</v>
      </c>
      <c r="D34" s="50">
        <v>8</v>
      </c>
      <c r="E34" s="50">
        <v>8</v>
      </c>
      <c r="F34" s="50">
        <v>8</v>
      </c>
      <c r="G34" s="50">
        <v>8</v>
      </c>
      <c r="H34" s="50">
        <v>8</v>
      </c>
      <c r="I34" s="50">
        <v>8</v>
      </c>
      <c r="J34" s="50">
        <v>8</v>
      </c>
      <c r="K34" s="50">
        <v>8</v>
      </c>
      <c r="L34" s="50">
        <v>8</v>
      </c>
      <c r="M34" s="50">
        <v>8</v>
      </c>
      <c r="N34" s="50">
        <v>8</v>
      </c>
      <c r="O34" s="50">
        <v>8</v>
      </c>
      <c r="P34" s="50">
        <v>8</v>
      </c>
      <c r="Q34" s="50">
        <v>0</v>
      </c>
      <c r="R34" s="50">
        <v>0</v>
      </c>
      <c r="S34" s="50">
        <v>10</v>
      </c>
      <c r="T34" s="50">
        <v>10</v>
      </c>
      <c r="U34" s="50">
        <v>10</v>
      </c>
      <c r="V34" s="50">
        <v>10</v>
      </c>
      <c r="W34" s="50">
        <v>10</v>
      </c>
      <c r="X34" s="50">
        <v>10</v>
      </c>
      <c r="Y34" s="50">
        <v>10</v>
      </c>
      <c r="Z34" s="50">
        <v>10</v>
      </c>
      <c r="AA34" s="50">
        <v>10</v>
      </c>
      <c r="AB34" s="50">
        <v>10</v>
      </c>
      <c r="AC34" s="50">
        <v>10</v>
      </c>
      <c r="AD34" s="50">
        <v>10</v>
      </c>
      <c r="AE34" s="50">
        <v>10</v>
      </c>
      <c r="AF34" s="50">
        <v>10</v>
      </c>
      <c r="AG34" s="136">
        <v>10</v>
      </c>
      <c r="AH34" s="54">
        <f t="shared" si="2"/>
        <v>10</v>
      </c>
      <c r="AI34" s="55">
        <f t="shared" si="3"/>
        <v>0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4</v>
      </c>
      <c r="N35" s="50">
        <v>4</v>
      </c>
      <c r="O35" s="50">
        <v>4</v>
      </c>
      <c r="P35" s="50">
        <v>4</v>
      </c>
      <c r="Q35" s="50">
        <v>4</v>
      </c>
      <c r="R35" s="50">
        <v>4</v>
      </c>
      <c r="S35" s="50">
        <v>4</v>
      </c>
      <c r="T35" s="50">
        <v>4</v>
      </c>
      <c r="U35" s="50">
        <v>4</v>
      </c>
      <c r="V35" s="50">
        <v>4</v>
      </c>
      <c r="W35" s="50">
        <v>4</v>
      </c>
      <c r="X35" s="50">
        <v>4</v>
      </c>
      <c r="Y35" s="50">
        <v>4</v>
      </c>
      <c r="Z35" s="50">
        <v>4</v>
      </c>
      <c r="AA35" s="50">
        <v>4</v>
      </c>
      <c r="AB35" s="50">
        <v>4</v>
      </c>
      <c r="AC35" s="50">
        <v>4</v>
      </c>
      <c r="AD35" s="50">
        <v>4</v>
      </c>
      <c r="AE35" s="50">
        <v>4</v>
      </c>
      <c r="AF35" s="50">
        <v>4</v>
      </c>
      <c r="AG35" s="136">
        <v>10</v>
      </c>
      <c r="AH35" s="54">
        <f t="shared" si="2"/>
        <v>4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303</v>
      </c>
      <c r="C36" s="62">
        <v>303</v>
      </c>
      <c r="D36" s="62">
        <v>303</v>
      </c>
      <c r="E36" s="62">
        <v>303</v>
      </c>
      <c r="F36" s="62">
        <v>303</v>
      </c>
      <c r="G36" s="62">
        <v>303</v>
      </c>
      <c r="H36" s="62">
        <v>303</v>
      </c>
      <c r="I36" s="62">
        <v>303</v>
      </c>
      <c r="J36" s="62">
        <v>303</v>
      </c>
      <c r="K36" s="62">
        <v>303</v>
      </c>
      <c r="L36" s="62">
        <v>303</v>
      </c>
      <c r="M36" s="62">
        <v>303</v>
      </c>
      <c r="N36" s="62">
        <v>303</v>
      </c>
      <c r="O36" s="62">
        <v>303</v>
      </c>
      <c r="P36" s="62">
        <v>303</v>
      </c>
      <c r="Q36" s="62">
        <v>303</v>
      </c>
      <c r="R36" s="62">
        <v>303</v>
      </c>
      <c r="S36" s="62">
        <v>303</v>
      </c>
      <c r="T36" s="62">
        <v>303</v>
      </c>
      <c r="U36" s="62">
        <v>303</v>
      </c>
      <c r="V36" s="62">
        <v>303</v>
      </c>
      <c r="W36" s="62">
        <v>303</v>
      </c>
      <c r="X36" s="62">
        <v>303</v>
      </c>
      <c r="Y36" s="62">
        <v>303</v>
      </c>
      <c r="Z36" s="62">
        <v>303</v>
      </c>
      <c r="AA36" s="62">
        <v>303</v>
      </c>
      <c r="AB36" s="62">
        <v>303</v>
      </c>
      <c r="AC36" s="62">
        <v>303</v>
      </c>
      <c r="AD36" s="62">
        <v>303</v>
      </c>
      <c r="AE36" s="62">
        <v>303</v>
      </c>
      <c r="AF36" s="62">
        <v>303</v>
      </c>
      <c r="AG36" s="136">
        <v>85</v>
      </c>
      <c r="AH36" s="54">
        <f t="shared" si="2"/>
        <v>303</v>
      </c>
      <c r="AI36" s="55">
        <f t="shared" si="3"/>
        <v>303</v>
      </c>
      <c r="AK36" s="56"/>
    </row>
    <row r="37" spans="1:88" ht="15.75" thickBot="1" x14ac:dyDescent="0.3">
      <c r="A37" s="63" t="s">
        <v>21</v>
      </c>
      <c r="B37" s="64">
        <f>72.6+97.3</f>
        <v>169.89999999999998</v>
      </c>
      <c r="C37" s="64">
        <f>72.7+100.4</f>
        <v>173.10000000000002</v>
      </c>
      <c r="D37" s="64">
        <f>72.7+100.4</f>
        <v>173.10000000000002</v>
      </c>
      <c r="E37" s="62">
        <f>72.7+100.2</f>
        <v>172.9</v>
      </c>
      <c r="F37" s="62">
        <f>72.9+95.8</f>
        <v>168.7</v>
      </c>
      <c r="G37" s="62">
        <f>72.7+95.6</f>
        <v>168.3</v>
      </c>
      <c r="H37" s="62">
        <f>39.3+96.1</f>
        <v>135.39999999999998</v>
      </c>
      <c r="I37" s="62">
        <f>40.1+96</f>
        <v>136.1</v>
      </c>
      <c r="J37" s="62">
        <f>51+98.7</f>
        <v>149.69999999999999</v>
      </c>
      <c r="K37" s="62">
        <f>60+99.1</f>
        <v>159.1</v>
      </c>
      <c r="L37" s="62">
        <f>60+98.9</f>
        <v>158.9</v>
      </c>
      <c r="M37" s="62">
        <f>97.7+63.9</f>
        <v>161.6</v>
      </c>
      <c r="N37" s="62">
        <f>97.4+63.4</f>
        <v>160.80000000000001</v>
      </c>
      <c r="O37" s="62">
        <f>98.7+63.8</f>
        <v>162.5</v>
      </c>
      <c r="P37" s="62">
        <f>97.9+64.2</f>
        <v>162.10000000000002</v>
      </c>
      <c r="Q37" s="62">
        <f>98.3+63.5</f>
        <v>161.80000000000001</v>
      </c>
      <c r="R37" s="62">
        <f>99.4+52.4</f>
        <v>151.80000000000001</v>
      </c>
      <c r="S37" s="62">
        <f>52.1+97</f>
        <v>149.1</v>
      </c>
      <c r="T37" s="62">
        <v>152</v>
      </c>
      <c r="U37" s="62">
        <v>152</v>
      </c>
      <c r="V37" s="62">
        <f>62.4+97.4</f>
        <v>159.80000000000001</v>
      </c>
      <c r="W37" s="62">
        <f>63.3+96.8</f>
        <v>160.1</v>
      </c>
      <c r="X37" s="62">
        <f>63.1+96.8</f>
        <v>159.9</v>
      </c>
      <c r="Y37" s="62">
        <v>160</v>
      </c>
      <c r="Z37" s="62">
        <v>160</v>
      </c>
      <c r="AA37" s="62">
        <f>63.1+94.3</f>
        <v>157.4</v>
      </c>
      <c r="AB37" s="64">
        <f>95.1+63.6</f>
        <v>158.69999999999999</v>
      </c>
      <c r="AC37" s="64">
        <f>95.8+63.6</f>
        <v>159.4</v>
      </c>
      <c r="AD37" s="64">
        <f>95.7+63.8</f>
        <v>159.5</v>
      </c>
      <c r="AE37" s="64">
        <f>64.3+94.6</f>
        <v>158.89999999999998</v>
      </c>
      <c r="AF37" s="64">
        <f>64.3+94.6</f>
        <v>158.89999999999998</v>
      </c>
      <c r="AG37" s="136">
        <v>240</v>
      </c>
      <c r="AH37" s="54">
        <f t="shared" si="2"/>
        <v>173.10000000000002</v>
      </c>
      <c r="AI37" s="55">
        <f t="shared" si="3"/>
        <v>135.39999999999998</v>
      </c>
      <c r="AK37" s="56"/>
    </row>
    <row r="38" spans="1:88" ht="15.75" thickBot="1" x14ac:dyDescent="0.3">
      <c r="A38" s="131" t="s">
        <v>22</v>
      </c>
      <c r="B38" s="66">
        <f t="shared" ref="B38:AG38" si="4">SUM(B11:B36)</f>
        <v>802.6</v>
      </c>
      <c r="C38" s="66">
        <f t="shared" si="4"/>
        <v>813.2</v>
      </c>
      <c r="D38" s="66">
        <f t="shared" si="4"/>
        <v>819.90000000000009</v>
      </c>
      <c r="E38" s="66">
        <f t="shared" si="4"/>
        <v>799.90000000000009</v>
      </c>
      <c r="F38" s="66">
        <f t="shared" si="4"/>
        <v>786.1</v>
      </c>
      <c r="G38" s="66">
        <f t="shared" si="4"/>
        <v>785.90000000000009</v>
      </c>
      <c r="H38" s="66">
        <f t="shared" si="4"/>
        <v>760.90000000000009</v>
      </c>
      <c r="I38" s="66">
        <f t="shared" si="4"/>
        <v>780.90000000000009</v>
      </c>
      <c r="J38" s="66">
        <f t="shared" si="4"/>
        <v>804.90000000000009</v>
      </c>
      <c r="K38" s="66">
        <f t="shared" si="4"/>
        <v>819.90000000000009</v>
      </c>
      <c r="L38" s="66">
        <f t="shared" si="4"/>
        <v>819.90000000000009</v>
      </c>
      <c r="M38" s="66">
        <f t="shared" si="4"/>
        <v>819.09999999999991</v>
      </c>
      <c r="N38" s="66">
        <f t="shared" si="4"/>
        <v>792.09999999999991</v>
      </c>
      <c r="O38" s="66">
        <f t="shared" si="4"/>
        <v>796.2</v>
      </c>
      <c r="P38" s="66">
        <f t="shared" si="4"/>
        <v>781.2</v>
      </c>
      <c r="Q38" s="66">
        <f t="shared" si="4"/>
        <v>746.9</v>
      </c>
      <c r="R38" s="66">
        <f t="shared" si="4"/>
        <v>734.5</v>
      </c>
      <c r="S38" s="66">
        <f t="shared" si="4"/>
        <v>744.5</v>
      </c>
      <c r="T38" s="66">
        <f t="shared" si="4"/>
        <v>771.2</v>
      </c>
      <c r="U38" s="66">
        <f t="shared" si="4"/>
        <v>771.2</v>
      </c>
      <c r="V38" s="66">
        <f t="shared" si="4"/>
        <v>771.2</v>
      </c>
      <c r="W38" s="66">
        <f t="shared" si="4"/>
        <v>771.2</v>
      </c>
      <c r="X38" s="66">
        <f t="shared" si="4"/>
        <v>771.2</v>
      </c>
      <c r="Y38" s="66">
        <f t="shared" si="4"/>
        <v>770.90000000000009</v>
      </c>
      <c r="Z38" s="66">
        <f t="shared" si="4"/>
        <v>770.90000000000009</v>
      </c>
      <c r="AA38" s="66">
        <f t="shared" si="4"/>
        <v>770.90000000000009</v>
      </c>
      <c r="AB38" s="66">
        <f t="shared" si="4"/>
        <v>832.40000000000009</v>
      </c>
      <c r="AC38" s="66">
        <f t="shared" si="4"/>
        <v>832.40000000000009</v>
      </c>
      <c r="AD38" s="66">
        <f t="shared" si="4"/>
        <v>809.40000000000009</v>
      </c>
      <c r="AE38" s="66">
        <f t="shared" si="4"/>
        <v>789.40000000000009</v>
      </c>
      <c r="AF38" s="66">
        <f t="shared" si="4"/>
        <v>784.40000000000009</v>
      </c>
      <c r="AG38" s="143">
        <f t="shared" si="4"/>
        <v>665.78</v>
      </c>
      <c r="AH38" s="54">
        <f t="shared" si="2"/>
        <v>832.40000000000009</v>
      </c>
      <c r="AI38" s="55">
        <f t="shared" si="3"/>
        <v>734.5</v>
      </c>
      <c r="AK38" s="56"/>
    </row>
    <row r="39" spans="1:88" x14ac:dyDescent="0.25">
      <c r="A39" s="159" t="s">
        <v>130</v>
      </c>
      <c r="B39" s="50">
        <v>456</v>
      </c>
      <c r="C39" s="50">
        <v>0</v>
      </c>
      <c r="D39" s="50">
        <v>0</v>
      </c>
      <c r="E39" s="50">
        <v>300</v>
      </c>
      <c r="F39" s="50">
        <v>300</v>
      </c>
      <c r="G39" s="50">
        <v>300</v>
      </c>
      <c r="H39" s="50">
        <v>370</v>
      </c>
      <c r="I39" s="50">
        <v>370</v>
      </c>
      <c r="J39" s="50">
        <v>370</v>
      </c>
      <c r="K39" s="50">
        <v>370</v>
      </c>
      <c r="L39" s="50">
        <v>456</v>
      </c>
      <c r="M39" s="50">
        <v>456</v>
      </c>
      <c r="N39" s="50">
        <v>456</v>
      </c>
      <c r="O39" s="50">
        <v>456</v>
      </c>
      <c r="P39" s="50">
        <v>456</v>
      </c>
      <c r="Q39" s="50">
        <v>456</v>
      </c>
      <c r="R39" s="50">
        <v>456</v>
      </c>
      <c r="S39" s="50">
        <v>456</v>
      </c>
      <c r="T39" s="50">
        <v>456</v>
      </c>
      <c r="U39" s="50">
        <v>456</v>
      </c>
      <c r="V39" s="50">
        <v>456</v>
      </c>
      <c r="W39" s="50">
        <v>456</v>
      </c>
      <c r="X39" s="50">
        <v>456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456</v>
      </c>
      <c r="AF39" s="50">
        <v>456</v>
      </c>
      <c r="AG39" s="135">
        <v>456</v>
      </c>
      <c r="AH39" s="54">
        <f t="shared" si="2"/>
        <v>456</v>
      </c>
      <c r="AI39" s="55">
        <f t="shared" si="3"/>
        <v>0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f t="shared" ref="B42" si="5">SUM(B39:B41)</f>
        <v>538</v>
      </c>
      <c r="C42" s="66">
        <f t="shared" ref="C42:AG42" si="6">SUM(C39:C41)</f>
        <v>82</v>
      </c>
      <c r="D42" s="66">
        <f t="shared" si="6"/>
        <v>82</v>
      </c>
      <c r="E42" s="66">
        <f t="shared" si="6"/>
        <v>382</v>
      </c>
      <c r="F42" s="66">
        <f t="shared" si="6"/>
        <v>382</v>
      </c>
      <c r="G42" s="66">
        <f t="shared" si="6"/>
        <v>382</v>
      </c>
      <c r="H42" s="66">
        <f t="shared" si="6"/>
        <v>452</v>
      </c>
      <c r="I42" s="66">
        <f t="shared" si="6"/>
        <v>452</v>
      </c>
      <c r="J42" s="66">
        <f t="shared" si="6"/>
        <v>452</v>
      </c>
      <c r="K42" s="66">
        <f t="shared" si="6"/>
        <v>452</v>
      </c>
      <c r="L42" s="66">
        <f t="shared" si="6"/>
        <v>538</v>
      </c>
      <c r="M42" s="66">
        <f t="shared" si="6"/>
        <v>538</v>
      </c>
      <c r="N42" s="66">
        <f t="shared" si="6"/>
        <v>538</v>
      </c>
      <c r="O42" s="66">
        <f t="shared" si="6"/>
        <v>538</v>
      </c>
      <c r="P42" s="66">
        <f t="shared" si="6"/>
        <v>538</v>
      </c>
      <c r="Q42" s="66">
        <f t="shared" si="6"/>
        <v>538</v>
      </c>
      <c r="R42" s="66">
        <f t="shared" si="6"/>
        <v>538</v>
      </c>
      <c r="S42" s="66">
        <f t="shared" si="6"/>
        <v>538</v>
      </c>
      <c r="T42" s="66">
        <f t="shared" si="6"/>
        <v>538</v>
      </c>
      <c r="U42" s="66">
        <f t="shared" si="6"/>
        <v>538</v>
      </c>
      <c r="V42" s="66">
        <f t="shared" si="6"/>
        <v>538</v>
      </c>
      <c r="W42" s="66">
        <f t="shared" si="6"/>
        <v>538</v>
      </c>
      <c r="X42" s="66">
        <f t="shared" si="6"/>
        <v>538</v>
      </c>
      <c r="Y42" s="66">
        <f t="shared" si="6"/>
        <v>538</v>
      </c>
      <c r="Z42" s="66">
        <f t="shared" si="6"/>
        <v>538</v>
      </c>
      <c r="AA42" s="66">
        <f t="shared" si="6"/>
        <v>538</v>
      </c>
      <c r="AB42" s="66">
        <f t="shared" si="6"/>
        <v>538</v>
      </c>
      <c r="AC42" s="66">
        <f t="shared" si="6"/>
        <v>538</v>
      </c>
      <c r="AD42" s="66">
        <f t="shared" si="6"/>
        <v>538</v>
      </c>
      <c r="AE42" s="66">
        <f t="shared" si="6"/>
        <v>538</v>
      </c>
      <c r="AF42" s="66">
        <f t="shared" si="6"/>
        <v>538</v>
      </c>
      <c r="AG42" s="143">
        <f t="shared" si="6"/>
        <v>538.1</v>
      </c>
      <c r="AH42" s="54">
        <f t="shared" si="2"/>
        <v>538</v>
      </c>
      <c r="AI42" s="55">
        <f t="shared" si="3"/>
        <v>82</v>
      </c>
      <c r="AK42" s="56"/>
    </row>
    <row r="43" spans="1:88" x14ac:dyDescent="0.25">
      <c r="A43" s="57" t="s">
        <v>23</v>
      </c>
      <c r="B43" s="50">
        <v>139.6</v>
      </c>
      <c r="C43" s="50">
        <v>139.9</v>
      </c>
      <c r="D43" s="50">
        <v>140</v>
      </c>
      <c r="E43" s="50">
        <v>140</v>
      </c>
      <c r="F43" s="50">
        <v>137.6</v>
      </c>
      <c r="G43" s="50">
        <v>141</v>
      </c>
      <c r="H43" s="50">
        <v>140.80000000000001</v>
      </c>
      <c r="I43" s="50">
        <v>140.4</v>
      </c>
      <c r="J43" s="50">
        <v>140.5</v>
      </c>
      <c r="K43" s="50">
        <v>140.5</v>
      </c>
      <c r="L43" s="50">
        <v>142</v>
      </c>
      <c r="M43" s="50">
        <v>140.5</v>
      </c>
      <c r="N43" s="50">
        <v>139.5</v>
      </c>
      <c r="O43" s="50">
        <v>139.4</v>
      </c>
      <c r="P43" s="50">
        <v>139.30000000000001</v>
      </c>
      <c r="Q43" s="50">
        <v>139.6</v>
      </c>
      <c r="R43" s="50">
        <v>140</v>
      </c>
      <c r="S43" s="50">
        <v>136.19999999999999</v>
      </c>
      <c r="T43" s="50">
        <v>131</v>
      </c>
      <c r="U43" s="50">
        <v>112</v>
      </c>
      <c r="V43" s="50">
        <v>112</v>
      </c>
      <c r="W43" s="50">
        <v>101</v>
      </c>
      <c r="X43" s="50">
        <v>106.4</v>
      </c>
      <c r="Y43" s="50">
        <v>106</v>
      </c>
      <c r="Z43" s="50">
        <v>140</v>
      </c>
      <c r="AA43" s="50">
        <v>140.1</v>
      </c>
      <c r="AB43" s="50">
        <v>140.1</v>
      </c>
      <c r="AC43" s="50">
        <v>140.1</v>
      </c>
      <c r="AD43" s="50">
        <v>140.1</v>
      </c>
      <c r="AE43" s="50">
        <v>140.1</v>
      </c>
      <c r="AF43" s="50">
        <v>140.1</v>
      </c>
      <c r="AG43" s="135">
        <v>144</v>
      </c>
      <c r="AH43" s="54">
        <f t="shared" si="2"/>
        <v>142</v>
      </c>
      <c r="AI43" s="55">
        <f t="shared" si="3"/>
        <v>101</v>
      </c>
      <c r="AK43" s="56"/>
    </row>
    <row r="44" spans="1:88" x14ac:dyDescent="0.25">
      <c r="A44" s="60" t="s">
        <v>24</v>
      </c>
      <c r="B44" s="48">
        <v>72</v>
      </c>
      <c r="C44" s="48">
        <v>71.8</v>
      </c>
      <c r="D44" s="48">
        <v>72.099999999999994</v>
      </c>
      <c r="E44" s="48">
        <v>72.099999999999994</v>
      </c>
      <c r="F44" s="48">
        <v>71.900000000000006</v>
      </c>
      <c r="G44" s="48">
        <v>71.7</v>
      </c>
      <c r="H44" s="48">
        <v>71.8</v>
      </c>
      <c r="I44" s="48">
        <v>35.200000000000003</v>
      </c>
      <c r="J44" s="48">
        <v>35.200000000000003</v>
      </c>
      <c r="K44" s="48">
        <v>0</v>
      </c>
      <c r="L44" s="48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48">
        <v>0</v>
      </c>
      <c r="U44" s="48">
        <v>0</v>
      </c>
      <c r="V44" s="48">
        <v>0</v>
      </c>
      <c r="W44" s="48">
        <v>0</v>
      </c>
      <c r="X44" s="48">
        <v>0</v>
      </c>
      <c r="Y44" s="48">
        <v>23</v>
      </c>
      <c r="Z44" s="48">
        <v>0</v>
      </c>
      <c r="AA44" s="48">
        <v>0</v>
      </c>
      <c r="AB44" s="48">
        <v>0</v>
      </c>
      <c r="AC44" s="48">
        <v>53.3</v>
      </c>
      <c r="AD44" s="48">
        <v>70.8</v>
      </c>
      <c r="AE44" s="48">
        <v>64.2</v>
      </c>
      <c r="AF44" s="48">
        <v>70</v>
      </c>
      <c r="AG44" s="136">
        <v>70</v>
      </c>
      <c r="AH44" s="54">
        <f t="shared" si="2"/>
        <v>72.099999999999994</v>
      </c>
      <c r="AI44" s="55">
        <f t="shared" si="3"/>
        <v>0</v>
      </c>
      <c r="AK44" s="56"/>
    </row>
    <row r="45" spans="1:88" x14ac:dyDescent="0.25">
      <c r="A45" s="60" t="s">
        <v>25</v>
      </c>
      <c r="B45" s="48">
        <v>63</v>
      </c>
      <c r="C45" s="48">
        <v>62.4</v>
      </c>
      <c r="D45" s="48">
        <v>62.5</v>
      </c>
      <c r="E45" s="48">
        <v>62.5</v>
      </c>
      <c r="F45" s="48">
        <v>62.4</v>
      </c>
      <c r="G45" s="48">
        <v>62.5</v>
      </c>
      <c r="H45" s="48">
        <v>62.6</v>
      </c>
      <c r="I45" s="48">
        <v>62.5</v>
      </c>
      <c r="J45" s="48">
        <v>62.5</v>
      </c>
      <c r="K45" s="48">
        <v>62.5</v>
      </c>
      <c r="L45" s="48">
        <v>62.9</v>
      </c>
      <c r="M45" s="50">
        <v>63.1</v>
      </c>
      <c r="N45" s="50">
        <v>62.9</v>
      </c>
      <c r="O45" s="50">
        <v>63.7</v>
      </c>
      <c r="P45" s="50">
        <v>62.9</v>
      </c>
      <c r="Q45" s="50">
        <v>62.5</v>
      </c>
      <c r="R45" s="50">
        <v>62.7</v>
      </c>
      <c r="S45" s="50">
        <v>54.3</v>
      </c>
      <c r="T45" s="48">
        <v>54</v>
      </c>
      <c r="U45" s="48">
        <v>50</v>
      </c>
      <c r="V45" s="48">
        <v>50</v>
      </c>
      <c r="W45" s="48">
        <v>40</v>
      </c>
      <c r="X45" s="48">
        <v>40</v>
      </c>
      <c r="Y45" s="48">
        <v>43.8</v>
      </c>
      <c r="Z45" s="48">
        <v>43.8</v>
      </c>
      <c r="AA45" s="48">
        <v>63.1</v>
      </c>
      <c r="AB45" s="48">
        <v>63.1</v>
      </c>
      <c r="AC45" s="48">
        <v>64.7</v>
      </c>
      <c r="AD45" s="48">
        <v>64.7</v>
      </c>
      <c r="AE45" s="48">
        <v>62.8</v>
      </c>
      <c r="AF45" s="48">
        <v>63</v>
      </c>
      <c r="AG45" s="136">
        <v>69</v>
      </c>
      <c r="AH45" s="54">
        <f t="shared" si="2"/>
        <v>64.7</v>
      </c>
      <c r="AI45" s="55">
        <f t="shared" si="3"/>
        <v>40</v>
      </c>
      <c r="AK45" s="56"/>
    </row>
    <row r="46" spans="1:88" x14ac:dyDescent="0.25">
      <c r="A46" s="60" t="s">
        <v>26</v>
      </c>
      <c r="B46" s="62">
        <v>60.7</v>
      </c>
      <c r="C46" s="62">
        <v>60.4</v>
      </c>
      <c r="D46" s="62">
        <v>60.4</v>
      </c>
      <c r="E46" s="62">
        <v>60.4</v>
      </c>
      <c r="F46" s="62">
        <v>55.7</v>
      </c>
      <c r="G46" s="62">
        <v>55.7</v>
      </c>
      <c r="H46" s="62">
        <v>55.7</v>
      </c>
      <c r="I46" s="62">
        <v>60.7</v>
      </c>
      <c r="J46" s="62">
        <v>60.7</v>
      </c>
      <c r="K46" s="62">
        <v>60.7</v>
      </c>
      <c r="L46" s="62">
        <v>60.7</v>
      </c>
      <c r="M46" s="50">
        <v>60.9</v>
      </c>
      <c r="N46" s="50">
        <v>60.7</v>
      </c>
      <c r="O46" s="50">
        <v>60.7</v>
      </c>
      <c r="P46" s="50">
        <v>60.7</v>
      </c>
      <c r="Q46" s="50">
        <v>60.7</v>
      </c>
      <c r="R46" s="50">
        <v>60.7</v>
      </c>
      <c r="S46" s="50">
        <v>60.7</v>
      </c>
      <c r="T46" s="50">
        <v>40</v>
      </c>
      <c r="U46" s="50">
        <v>41.8</v>
      </c>
      <c r="V46" s="50">
        <v>41.8</v>
      </c>
      <c r="W46" s="50">
        <v>29.7</v>
      </c>
      <c r="X46" s="50">
        <v>29.7</v>
      </c>
      <c r="Y46" s="50">
        <v>29.7</v>
      </c>
      <c r="Z46" s="50">
        <v>29.7</v>
      </c>
      <c r="AA46" s="50">
        <v>61.2</v>
      </c>
      <c r="AB46" s="50">
        <v>61.2</v>
      </c>
      <c r="AC46" s="50">
        <v>60</v>
      </c>
      <c r="AD46" s="50">
        <v>60</v>
      </c>
      <c r="AE46" s="50">
        <v>60</v>
      </c>
      <c r="AF46" s="50">
        <v>60</v>
      </c>
      <c r="AG46" s="136">
        <v>60</v>
      </c>
      <c r="AH46" s="54">
        <f t="shared" si="2"/>
        <v>61.2</v>
      </c>
      <c r="AI46" s="55">
        <f t="shared" si="3"/>
        <v>29.7</v>
      </c>
      <c r="AK46" s="56"/>
    </row>
    <row r="47" spans="1:88" x14ac:dyDescent="0.25">
      <c r="A47" s="60" t="s">
        <v>27</v>
      </c>
      <c r="B47" s="62">
        <v>28.9</v>
      </c>
      <c r="C47" s="62">
        <v>28.8</v>
      </c>
      <c r="D47" s="62">
        <v>28.7</v>
      </c>
      <c r="E47" s="62">
        <v>28.7</v>
      </c>
      <c r="F47" s="62">
        <v>28.7</v>
      </c>
      <c r="G47" s="62">
        <v>28.7</v>
      </c>
      <c r="H47" s="62">
        <v>28.7</v>
      </c>
      <c r="I47" s="62">
        <v>14</v>
      </c>
      <c r="J47" s="62">
        <v>28.6</v>
      </c>
      <c r="K47" s="62">
        <v>29</v>
      </c>
      <c r="L47" s="62">
        <v>29</v>
      </c>
      <c r="M47" s="50">
        <v>28.6</v>
      </c>
      <c r="N47" s="50">
        <v>28.5</v>
      </c>
      <c r="O47" s="50">
        <v>28.6</v>
      </c>
      <c r="P47" s="50">
        <v>28.5</v>
      </c>
      <c r="Q47" s="50">
        <v>24.3</v>
      </c>
      <c r="R47" s="50">
        <v>28.3</v>
      </c>
      <c r="S47" s="50">
        <v>28.3</v>
      </c>
      <c r="T47" s="50">
        <v>28.3</v>
      </c>
      <c r="U47" s="50">
        <v>28.6</v>
      </c>
      <c r="V47" s="50">
        <v>28.6</v>
      </c>
      <c r="W47" s="50">
        <v>28.6</v>
      </c>
      <c r="X47" s="50">
        <v>28.6</v>
      </c>
      <c r="Y47" s="50">
        <v>28.6</v>
      </c>
      <c r="Z47" s="50">
        <v>28.6</v>
      </c>
      <c r="AA47" s="50">
        <v>28.6</v>
      </c>
      <c r="AB47" s="50">
        <v>28.6</v>
      </c>
      <c r="AC47" s="50">
        <v>15</v>
      </c>
      <c r="AD47" s="50">
        <v>0</v>
      </c>
      <c r="AE47" s="50">
        <v>0</v>
      </c>
      <c r="AF47" s="50">
        <v>20</v>
      </c>
      <c r="AG47" s="136">
        <v>30</v>
      </c>
      <c r="AH47" s="54">
        <f t="shared" si="2"/>
        <v>29</v>
      </c>
      <c r="AI47" s="55">
        <f t="shared" si="3"/>
        <v>0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48">
        <v>0</v>
      </c>
      <c r="G48" s="62">
        <v>0</v>
      </c>
      <c r="H48" s="62">
        <v>0</v>
      </c>
      <c r="I48" s="62">
        <v>0</v>
      </c>
      <c r="J48" s="62">
        <v>0</v>
      </c>
      <c r="K48" s="62">
        <v>0</v>
      </c>
      <c r="L48" s="62">
        <v>0</v>
      </c>
      <c r="M48" s="181">
        <v>4</v>
      </c>
      <c r="N48" s="50">
        <v>4</v>
      </c>
      <c r="O48" s="50">
        <v>4</v>
      </c>
      <c r="P48" s="50">
        <v>4</v>
      </c>
      <c r="Q48" s="50">
        <v>5</v>
      </c>
      <c r="R48" s="50">
        <v>5</v>
      </c>
      <c r="S48" s="50">
        <v>5</v>
      </c>
      <c r="T48" s="50">
        <v>5</v>
      </c>
      <c r="U48" s="50">
        <v>5</v>
      </c>
      <c r="V48" s="50">
        <v>5</v>
      </c>
      <c r="W48" s="50">
        <v>5</v>
      </c>
      <c r="X48" s="50">
        <v>5</v>
      </c>
      <c r="Y48" s="50">
        <v>5</v>
      </c>
      <c r="Z48" s="50">
        <v>5</v>
      </c>
      <c r="AA48" s="50">
        <v>5</v>
      </c>
      <c r="AB48" s="50">
        <v>0</v>
      </c>
      <c r="AC48" s="50">
        <v>0</v>
      </c>
      <c r="AD48" s="50">
        <v>0</v>
      </c>
      <c r="AE48" s="50">
        <v>0</v>
      </c>
      <c r="AF48" s="50">
        <v>0</v>
      </c>
      <c r="AG48" s="136">
        <v>25</v>
      </c>
      <c r="AH48" s="54">
        <f t="shared" si="2"/>
        <v>5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17.3</v>
      </c>
      <c r="C49" s="48">
        <v>17.3</v>
      </c>
      <c r="D49" s="48">
        <v>17.2</v>
      </c>
      <c r="E49" s="48">
        <v>17.2</v>
      </c>
      <c r="F49" s="48">
        <v>17.2</v>
      </c>
      <c r="G49" s="48">
        <v>17.2</v>
      </c>
      <c r="H49" s="48">
        <v>17.2</v>
      </c>
      <c r="I49" s="48">
        <v>17.2</v>
      </c>
      <c r="J49" s="48">
        <v>17.2</v>
      </c>
      <c r="K49" s="48">
        <v>17.2</v>
      </c>
      <c r="L49" s="48">
        <v>17.2</v>
      </c>
      <c r="M49" s="48">
        <v>17.2</v>
      </c>
      <c r="N49" s="50">
        <v>17.100000000000001</v>
      </c>
      <c r="O49" s="50">
        <v>17.100000000000001</v>
      </c>
      <c r="P49" s="50">
        <v>14.7</v>
      </c>
      <c r="Q49" s="50">
        <v>17.100000000000001</v>
      </c>
      <c r="R49" s="50">
        <v>17</v>
      </c>
      <c r="S49" s="50">
        <v>17</v>
      </c>
      <c r="T49" s="50">
        <v>17</v>
      </c>
      <c r="U49" s="50">
        <v>17</v>
      </c>
      <c r="V49" s="50">
        <v>17</v>
      </c>
      <c r="W49" s="50">
        <v>17</v>
      </c>
      <c r="X49" s="50">
        <v>17</v>
      </c>
      <c r="Y49" s="50">
        <v>17</v>
      </c>
      <c r="Z49" s="50">
        <v>17</v>
      </c>
      <c r="AA49" s="50">
        <v>17</v>
      </c>
      <c r="AB49" s="50">
        <v>17</v>
      </c>
      <c r="AC49" s="50">
        <v>17</v>
      </c>
      <c r="AD49" s="50">
        <v>17</v>
      </c>
      <c r="AE49" s="50">
        <v>17</v>
      </c>
      <c r="AF49" s="50">
        <v>17</v>
      </c>
      <c r="AG49" s="136">
        <v>24</v>
      </c>
      <c r="AH49" s="54">
        <f t="shared" si="2"/>
        <v>17.3</v>
      </c>
      <c r="AI49" s="55">
        <f t="shared" si="3"/>
        <v>14.7</v>
      </c>
      <c r="AK49" s="56"/>
    </row>
    <row r="50" spans="1:41" x14ac:dyDescent="0.25">
      <c r="A50" s="60" t="s">
        <v>30</v>
      </c>
      <c r="B50" s="48">
        <v>2.5</v>
      </c>
      <c r="C50" s="48">
        <v>2.5</v>
      </c>
      <c r="D50" s="48">
        <v>2.5</v>
      </c>
      <c r="E50" s="48">
        <v>2.5</v>
      </c>
      <c r="F50" s="48">
        <v>2.5</v>
      </c>
      <c r="G50" s="48">
        <v>2.5</v>
      </c>
      <c r="H50" s="48">
        <v>2.5</v>
      </c>
      <c r="I50" s="48">
        <v>2.5</v>
      </c>
      <c r="J50" s="48">
        <v>2.5</v>
      </c>
      <c r="K50" s="48">
        <v>2.5</v>
      </c>
      <c r="L50" s="48">
        <v>2.5</v>
      </c>
      <c r="M50" s="48">
        <v>2.5</v>
      </c>
      <c r="N50" s="50">
        <v>2.5</v>
      </c>
      <c r="O50" s="50">
        <v>2.5</v>
      </c>
      <c r="P50" s="50">
        <v>2.5</v>
      </c>
      <c r="Q50" s="50">
        <v>2.5</v>
      </c>
      <c r="R50" s="50">
        <v>2.5</v>
      </c>
      <c r="S50" s="50">
        <v>2.5</v>
      </c>
      <c r="T50" s="50">
        <v>2.5</v>
      </c>
      <c r="U50" s="50">
        <v>2.5</v>
      </c>
      <c r="V50" s="50">
        <v>2.5</v>
      </c>
      <c r="W50" s="50">
        <v>2.5</v>
      </c>
      <c r="X50" s="50">
        <v>2.5</v>
      </c>
      <c r="Y50" s="50">
        <v>2.5</v>
      </c>
      <c r="Z50" s="50">
        <v>2.5</v>
      </c>
      <c r="AA50" s="50">
        <v>2.5</v>
      </c>
      <c r="AB50" s="50">
        <v>2.5</v>
      </c>
      <c r="AC50" s="50">
        <v>2.5</v>
      </c>
      <c r="AD50" s="50">
        <v>2.5</v>
      </c>
      <c r="AE50" s="50">
        <v>2.5</v>
      </c>
      <c r="AF50" s="50">
        <v>2.5</v>
      </c>
      <c r="AG50" s="136">
        <v>15</v>
      </c>
      <c r="AH50" s="54">
        <f t="shared" si="2"/>
        <v>2.5</v>
      </c>
      <c r="AI50" s="55">
        <f t="shared" si="3"/>
        <v>2.5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12.1</v>
      </c>
      <c r="C51" s="48">
        <v>12.4</v>
      </c>
      <c r="D51" s="48">
        <v>12.1</v>
      </c>
      <c r="E51" s="48">
        <v>12.1</v>
      </c>
      <c r="F51" s="48">
        <v>12.1</v>
      </c>
      <c r="G51" s="48">
        <v>11.7</v>
      </c>
      <c r="H51" s="48">
        <v>11.7</v>
      </c>
      <c r="I51" s="48">
        <v>11.7</v>
      </c>
      <c r="J51" s="48">
        <v>11.7</v>
      </c>
      <c r="K51" s="48">
        <v>11.7</v>
      </c>
      <c r="L51" s="48">
        <v>11.7</v>
      </c>
      <c r="M51" s="48">
        <v>11.7</v>
      </c>
      <c r="N51" s="50">
        <v>12.3</v>
      </c>
      <c r="O51" s="50">
        <v>12.3</v>
      </c>
      <c r="P51" s="50">
        <v>12.4</v>
      </c>
      <c r="Q51" s="50">
        <v>12.4</v>
      </c>
      <c r="R51" s="50">
        <v>12.4</v>
      </c>
      <c r="S51" s="50">
        <v>12.4</v>
      </c>
      <c r="T51" s="50">
        <v>12.4</v>
      </c>
      <c r="U51" s="50">
        <v>12.4</v>
      </c>
      <c r="V51" s="50">
        <v>12.4</v>
      </c>
      <c r="W51" s="50">
        <v>12.4</v>
      </c>
      <c r="X51" s="50">
        <v>12.4</v>
      </c>
      <c r="Y51" s="50">
        <v>12.4</v>
      </c>
      <c r="Z51" s="50">
        <v>12.4</v>
      </c>
      <c r="AA51" s="50">
        <v>12.4</v>
      </c>
      <c r="AB51" s="50">
        <v>12.4</v>
      </c>
      <c r="AC51" s="50">
        <v>13.8</v>
      </c>
      <c r="AD51" s="50">
        <v>13.8</v>
      </c>
      <c r="AE51" s="50">
        <v>13.8</v>
      </c>
      <c r="AF51" s="50">
        <v>13.8</v>
      </c>
      <c r="AG51" s="136">
        <v>14.1</v>
      </c>
      <c r="AH51" s="54">
        <f t="shared" si="2"/>
        <v>13.8</v>
      </c>
      <c r="AI51" s="55">
        <f t="shared" si="3"/>
        <v>11.7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13.7</v>
      </c>
      <c r="C52" s="48">
        <v>13.7</v>
      </c>
      <c r="D52" s="48">
        <v>13.4</v>
      </c>
      <c r="E52" s="48">
        <v>13.4</v>
      </c>
      <c r="F52" s="48">
        <v>13.4</v>
      </c>
      <c r="G52" s="48">
        <v>13.7</v>
      </c>
      <c r="H52" s="48">
        <v>13.7</v>
      </c>
      <c r="I52" s="48">
        <v>13.7</v>
      </c>
      <c r="J52" s="48">
        <v>13.7</v>
      </c>
      <c r="K52" s="48">
        <v>13.7</v>
      </c>
      <c r="L52" s="48">
        <v>13.7</v>
      </c>
      <c r="M52" s="48">
        <v>4</v>
      </c>
      <c r="N52" s="50">
        <v>13.6</v>
      </c>
      <c r="O52" s="50">
        <v>13.6</v>
      </c>
      <c r="P52" s="50">
        <v>5.6</v>
      </c>
      <c r="Q52" s="50">
        <v>0</v>
      </c>
      <c r="R52" s="50">
        <v>0</v>
      </c>
      <c r="S52" s="50">
        <v>14</v>
      </c>
      <c r="T52" s="50">
        <v>14</v>
      </c>
      <c r="U52" s="50">
        <v>14</v>
      </c>
      <c r="V52" s="50">
        <v>14</v>
      </c>
      <c r="W52" s="50">
        <v>14</v>
      </c>
      <c r="X52" s="50">
        <v>14</v>
      </c>
      <c r="Y52" s="50">
        <v>14</v>
      </c>
      <c r="Z52" s="50">
        <v>14</v>
      </c>
      <c r="AA52" s="50">
        <v>14</v>
      </c>
      <c r="AB52" s="50">
        <v>14</v>
      </c>
      <c r="AC52" s="50">
        <v>11</v>
      </c>
      <c r="AD52" s="50">
        <v>5.7</v>
      </c>
      <c r="AE52" s="50">
        <v>5.7</v>
      </c>
      <c r="AF52" s="50">
        <v>13.5</v>
      </c>
      <c r="AG52" s="136">
        <v>14</v>
      </c>
      <c r="AH52" s="54">
        <f t="shared" si="2"/>
        <v>14</v>
      </c>
      <c r="AI52" s="55">
        <f t="shared" si="3"/>
        <v>0</v>
      </c>
      <c r="AK52" s="56"/>
    </row>
    <row r="53" spans="1:41" x14ac:dyDescent="0.25">
      <c r="A53" s="60" t="s">
        <v>33</v>
      </c>
      <c r="B53" s="48">
        <v>8.1</v>
      </c>
      <c r="C53" s="48">
        <v>8.1</v>
      </c>
      <c r="D53" s="48">
        <v>8.1</v>
      </c>
      <c r="E53" s="48">
        <v>8.1</v>
      </c>
      <c r="F53" s="48">
        <v>6.3</v>
      </c>
      <c r="G53" s="48">
        <v>6.3</v>
      </c>
      <c r="H53" s="48">
        <v>6.3</v>
      </c>
      <c r="I53" s="48">
        <v>6.3</v>
      </c>
      <c r="J53" s="48">
        <v>6.3</v>
      </c>
      <c r="K53" s="48">
        <v>6.3</v>
      </c>
      <c r="L53" s="48">
        <v>6.3</v>
      </c>
      <c r="M53" s="48">
        <v>8</v>
      </c>
      <c r="N53" s="50">
        <v>8</v>
      </c>
      <c r="O53" s="50">
        <v>8</v>
      </c>
      <c r="P53" s="50">
        <v>8</v>
      </c>
      <c r="Q53" s="50">
        <v>8</v>
      </c>
      <c r="R53" s="50">
        <v>8</v>
      </c>
      <c r="S53" s="50">
        <v>8</v>
      </c>
      <c r="T53" s="50">
        <v>8</v>
      </c>
      <c r="U53" s="50">
        <v>8</v>
      </c>
      <c r="V53" s="50">
        <v>8</v>
      </c>
      <c r="W53" s="50">
        <v>8</v>
      </c>
      <c r="X53" s="50">
        <v>8</v>
      </c>
      <c r="Y53" s="50">
        <v>8</v>
      </c>
      <c r="Z53" s="50">
        <v>8</v>
      </c>
      <c r="AA53" s="50">
        <v>8</v>
      </c>
      <c r="AB53" s="50">
        <v>8</v>
      </c>
      <c r="AC53" s="50">
        <v>8</v>
      </c>
      <c r="AD53" s="50">
        <v>8</v>
      </c>
      <c r="AE53" s="50">
        <v>8</v>
      </c>
      <c r="AF53" s="50">
        <v>8</v>
      </c>
      <c r="AG53" s="136">
        <v>10.050000000000001</v>
      </c>
      <c r="AH53" s="54">
        <f t="shared" si="2"/>
        <v>8.1</v>
      </c>
      <c r="AI53" s="55">
        <f t="shared" si="3"/>
        <v>6.3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48">
        <v>6.2</v>
      </c>
      <c r="N54" s="50">
        <v>6.2</v>
      </c>
      <c r="O54" s="50">
        <v>6.2</v>
      </c>
      <c r="P54" s="50">
        <v>6.2</v>
      </c>
      <c r="Q54" s="50">
        <v>6.2</v>
      </c>
      <c r="R54" s="50">
        <v>6.2</v>
      </c>
      <c r="S54" s="50">
        <v>6.2</v>
      </c>
      <c r="T54" s="50">
        <v>6.2</v>
      </c>
      <c r="U54" s="50">
        <v>6.2</v>
      </c>
      <c r="V54" s="50">
        <v>6.2</v>
      </c>
      <c r="W54" s="50">
        <v>6.2</v>
      </c>
      <c r="X54" s="50">
        <v>6.2</v>
      </c>
      <c r="Y54" s="50">
        <v>6.2</v>
      </c>
      <c r="Z54" s="50">
        <v>6.2</v>
      </c>
      <c r="AA54" s="50">
        <v>6.2</v>
      </c>
      <c r="AB54" s="50">
        <v>6.2</v>
      </c>
      <c r="AC54" s="50">
        <v>6.2</v>
      </c>
      <c r="AD54" s="50">
        <v>6.2</v>
      </c>
      <c r="AE54" s="50">
        <v>6.2</v>
      </c>
      <c r="AF54" s="50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7">AG220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 t="shared" ref="B56" si="8">SUM(B43:B55)</f>
        <v>427.64000000000004</v>
      </c>
      <c r="C56" s="66">
        <f t="shared" ref="C56:AG56" si="9">SUM(C43:C55)</f>
        <v>427.03999999999996</v>
      </c>
      <c r="D56" s="66">
        <f t="shared" si="9"/>
        <v>426.74</v>
      </c>
      <c r="E56" s="66">
        <f t="shared" si="9"/>
        <v>426.74</v>
      </c>
      <c r="F56" s="66">
        <f t="shared" si="9"/>
        <v>417.53999999999996</v>
      </c>
      <c r="G56" s="66">
        <f t="shared" si="9"/>
        <v>420.73999999999995</v>
      </c>
      <c r="H56" s="66">
        <f t="shared" si="9"/>
        <v>420.74</v>
      </c>
      <c r="I56" s="66">
        <f t="shared" si="9"/>
        <v>373.94</v>
      </c>
      <c r="J56" s="66">
        <f t="shared" si="9"/>
        <v>388.64</v>
      </c>
      <c r="K56" s="66">
        <f t="shared" si="9"/>
        <v>353.84</v>
      </c>
      <c r="L56" s="66">
        <f t="shared" si="9"/>
        <v>355.74</v>
      </c>
      <c r="M56" s="66">
        <f t="shared" si="9"/>
        <v>350.24</v>
      </c>
      <c r="N56" s="66">
        <f t="shared" si="9"/>
        <v>358.84000000000009</v>
      </c>
      <c r="O56" s="66">
        <f t="shared" si="9"/>
        <v>359.6400000000001</v>
      </c>
      <c r="P56" s="66">
        <f t="shared" si="9"/>
        <v>348.34000000000003</v>
      </c>
      <c r="Q56" s="66">
        <f t="shared" si="9"/>
        <v>341.84000000000003</v>
      </c>
      <c r="R56" s="66">
        <f t="shared" si="9"/>
        <v>346.34</v>
      </c>
      <c r="S56" s="66">
        <f t="shared" si="9"/>
        <v>348.14</v>
      </c>
      <c r="T56" s="66">
        <f t="shared" si="9"/>
        <v>321.94</v>
      </c>
      <c r="U56" s="66">
        <f t="shared" si="9"/>
        <v>301.03999999999996</v>
      </c>
      <c r="V56" s="66">
        <f t="shared" si="9"/>
        <v>301.03999999999996</v>
      </c>
      <c r="W56" s="66">
        <f t="shared" si="9"/>
        <v>267.94</v>
      </c>
      <c r="X56" s="66">
        <f t="shared" si="9"/>
        <v>273.34000000000003</v>
      </c>
      <c r="Y56" s="66">
        <f t="shared" si="9"/>
        <v>299.74</v>
      </c>
      <c r="Z56" s="66">
        <f t="shared" si="9"/>
        <v>310.74</v>
      </c>
      <c r="AA56" s="66">
        <f t="shared" si="9"/>
        <v>361.64</v>
      </c>
      <c r="AB56" s="66">
        <f t="shared" si="9"/>
        <v>356.64</v>
      </c>
      <c r="AC56" s="66">
        <f t="shared" si="9"/>
        <v>395.14</v>
      </c>
      <c r="AD56" s="66">
        <f t="shared" si="9"/>
        <v>392.34</v>
      </c>
      <c r="AE56" s="66">
        <f t="shared" si="9"/>
        <v>383.84000000000003</v>
      </c>
      <c r="AF56" s="66">
        <f t="shared" si="9"/>
        <v>417.64000000000004</v>
      </c>
      <c r="AG56" s="143">
        <f t="shared" si="9"/>
        <v>489.91</v>
      </c>
      <c r="AH56" s="54">
        <f t="shared" si="2"/>
        <v>427.64000000000004</v>
      </c>
      <c r="AI56" s="55">
        <f t="shared" si="3"/>
        <v>267.94</v>
      </c>
      <c r="AK56" s="56"/>
    </row>
    <row r="57" spans="1:41" x14ac:dyDescent="0.25">
      <c r="A57" s="57" t="s">
        <v>37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30.4</v>
      </c>
      <c r="AA57" s="50">
        <v>30</v>
      </c>
      <c r="AB57" s="50">
        <v>30</v>
      </c>
      <c r="AC57" s="50">
        <v>0</v>
      </c>
      <c r="AD57" s="50">
        <v>0</v>
      </c>
      <c r="AE57" s="50">
        <v>0</v>
      </c>
      <c r="AF57" s="50">
        <v>0</v>
      </c>
      <c r="AG57" s="135">
        <v>60</v>
      </c>
      <c r="AH57" s="54">
        <f t="shared" si="2"/>
        <v>30.4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9.9</v>
      </c>
      <c r="AA58" s="48">
        <v>12.3</v>
      </c>
      <c r="AB58" s="48">
        <v>12.3</v>
      </c>
      <c r="AC58" s="48">
        <v>15.8</v>
      </c>
      <c r="AD58" s="48">
        <v>0</v>
      </c>
      <c r="AE58" s="48">
        <v>0</v>
      </c>
      <c r="AF58" s="48">
        <v>0</v>
      </c>
      <c r="AG58" s="136">
        <v>32</v>
      </c>
      <c r="AH58" s="54">
        <f t="shared" si="2"/>
        <v>15.8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70">
        <v>0</v>
      </c>
      <c r="P59" s="70">
        <v>1</v>
      </c>
      <c r="Q59" s="70">
        <v>0</v>
      </c>
      <c r="R59" s="70">
        <v>0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3.6</v>
      </c>
      <c r="AA59" s="70">
        <v>4.5</v>
      </c>
      <c r="AB59" s="70">
        <v>4.5</v>
      </c>
      <c r="AC59" s="70">
        <v>5.8</v>
      </c>
      <c r="AD59" s="70">
        <v>0</v>
      </c>
      <c r="AE59" s="70">
        <v>0</v>
      </c>
      <c r="AF59" s="70">
        <v>0</v>
      </c>
      <c r="AG59" s="137">
        <v>14</v>
      </c>
      <c r="AH59" s="54">
        <f t="shared" si="2"/>
        <v>5.8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 t="shared" ref="B60" si="10">SUM(B57:B59)</f>
        <v>0</v>
      </c>
      <c r="C60" s="66">
        <f t="shared" ref="C60:AG60" si="11">SUM(C57:C59)</f>
        <v>0</v>
      </c>
      <c r="D60" s="66">
        <f t="shared" si="11"/>
        <v>0</v>
      </c>
      <c r="E60" s="66">
        <f t="shared" si="11"/>
        <v>0</v>
      </c>
      <c r="F60" s="66">
        <f t="shared" si="11"/>
        <v>0</v>
      </c>
      <c r="G60" s="66">
        <f t="shared" si="11"/>
        <v>0</v>
      </c>
      <c r="H60" s="66">
        <f t="shared" si="11"/>
        <v>0</v>
      </c>
      <c r="I60" s="66">
        <f t="shared" si="11"/>
        <v>0</v>
      </c>
      <c r="J60" s="66">
        <f t="shared" si="11"/>
        <v>0</v>
      </c>
      <c r="K60" s="66">
        <f t="shared" si="11"/>
        <v>0</v>
      </c>
      <c r="L60" s="66">
        <f t="shared" si="11"/>
        <v>0</v>
      </c>
      <c r="M60" s="66">
        <f t="shared" si="11"/>
        <v>0</v>
      </c>
      <c r="N60" s="66">
        <f t="shared" si="11"/>
        <v>0</v>
      </c>
      <c r="O60" s="66">
        <f t="shared" si="11"/>
        <v>0</v>
      </c>
      <c r="P60" s="66">
        <f t="shared" si="11"/>
        <v>1</v>
      </c>
      <c r="Q60" s="66">
        <f t="shared" si="11"/>
        <v>0</v>
      </c>
      <c r="R60" s="66">
        <f t="shared" si="11"/>
        <v>0</v>
      </c>
      <c r="S60" s="66">
        <f t="shared" si="11"/>
        <v>0</v>
      </c>
      <c r="T60" s="66">
        <f t="shared" si="11"/>
        <v>0</v>
      </c>
      <c r="U60" s="66">
        <f t="shared" si="11"/>
        <v>0</v>
      </c>
      <c r="V60" s="66">
        <f t="shared" si="11"/>
        <v>0</v>
      </c>
      <c r="W60" s="66">
        <f t="shared" si="11"/>
        <v>0</v>
      </c>
      <c r="X60" s="66">
        <f t="shared" si="11"/>
        <v>0</v>
      </c>
      <c r="Y60" s="66">
        <f t="shared" si="11"/>
        <v>0</v>
      </c>
      <c r="Z60" s="66">
        <f t="shared" si="11"/>
        <v>43.9</v>
      </c>
      <c r="AA60" s="66">
        <f t="shared" si="11"/>
        <v>46.8</v>
      </c>
      <c r="AB60" s="66">
        <f t="shared" si="11"/>
        <v>46.8</v>
      </c>
      <c r="AC60" s="66">
        <f t="shared" si="11"/>
        <v>21.6</v>
      </c>
      <c r="AD60" s="66">
        <f t="shared" si="11"/>
        <v>0</v>
      </c>
      <c r="AE60" s="66">
        <f t="shared" si="11"/>
        <v>0</v>
      </c>
      <c r="AF60" s="66">
        <f t="shared" si="11"/>
        <v>0</v>
      </c>
      <c r="AG60" s="143">
        <f t="shared" si="11"/>
        <v>106</v>
      </c>
      <c r="AH60" s="54">
        <f t="shared" si="2"/>
        <v>46.8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3.2</v>
      </c>
      <c r="C61" s="50">
        <v>13.9</v>
      </c>
      <c r="D61" s="50">
        <v>11.3</v>
      </c>
      <c r="E61" s="50">
        <v>-3.4</v>
      </c>
      <c r="F61" s="50">
        <v>-5.2</v>
      </c>
      <c r="G61" s="50">
        <v>-6.5</v>
      </c>
      <c r="H61" s="50">
        <v>-5.7</v>
      </c>
      <c r="I61" s="50">
        <v>14.2</v>
      </c>
      <c r="J61" s="50">
        <v>-1.2</v>
      </c>
      <c r="K61" s="50">
        <v>0</v>
      </c>
      <c r="L61" s="50">
        <v>-0.8</v>
      </c>
      <c r="M61" s="50">
        <v>-5</v>
      </c>
      <c r="N61" s="50">
        <v>-2.9</v>
      </c>
      <c r="O61" s="50">
        <v>-5.2</v>
      </c>
      <c r="P61" s="50">
        <v>-11.4</v>
      </c>
      <c r="Q61" s="50">
        <v>0.8</v>
      </c>
      <c r="R61" s="50">
        <v>-0.1</v>
      </c>
      <c r="S61" s="50">
        <v>-2.6</v>
      </c>
      <c r="T61" s="50">
        <v>0</v>
      </c>
      <c r="U61" s="50">
        <v>1.2</v>
      </c>
      <c r="V61" s="50">
        <v>1.2</v>
      </c>
      <c r="W61" s="50">
        <v>0</v>
      </c>
      <c r="X61" s="50">
        <v>-1</v>
      </c>
      <c r="Y61" s="50">
        <v>-2.5</v>
      </c>
      <c r="Z61" s="50">
        <v>5</v>
      </c>
      <c r="AA61" s="50">
        <v>15.1</v>
      </c>
      <c r="AB61" s="50">
        <v>16.399999999999999</v>
      </c>
      <c r="AC61" s="50">
        <v>35.4</v>
      </c>
      <c r="AD61" s="50">
        <v>25.5</v>
      </c>
      <c r="AE61" s="50">
        <v>20</v>
      </c>
      <c r="AF61" s="50">
        <v>-2.6</v>
      </c>
      <c r="AG61" s="135"/>
      <c r="AH61" s="54">
        <f t="shared" si="2"/>
        <v>35.4</v>
      </c>
      <c r="AI61" s="55">
        <f t="shared" si="3"/>
        <v>-11.4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-396.7</v>
      </c>
      <c r="C63" s="48">
        <v>-124</v>
      </c>
      <c r="D63" s="48">
        <v>-122.5</v>
      </c>
      <c r="E63" s="48">
        <v>-417</v>
      </c>
      <c r="F63" s="48">
        <v>-347.7</v>
      </c>
      <c r="G63" s="48">
        <v>-351.9</v>
      </c>
      <c r="H63" s="48">
        <v>-415</v>
      </c>
      <c r="I63" s="48">
        <v>-409</v>
      </c>
      <c r="J63" s="48">
        <v>-402</v>
      </c>
      <c r="K63" s="48">
        <v>-357</v>
      </c>
      <c r="L63" s="48">
        <v>-392.6</v>
      </c>
      <c r="M63" s="48">
        <v>-405</v>
      </c>
      <c r="N63" s="48">
        <v>-372</v>
      </c>
      <c r="O63" s="48">
        <v>-400</v>
      </c>
      <c r="P63" s="48">
        <v>-385</v>
      </c>
      <c r="Q63" s="48">
        <v>-355.6</v>
      </c>
      <c r="R63" s="48">
        <v>-371.5</v>
      </c>
      <c r="S63" s="48">
        <v>-381</v>
      </c>
      <c r="T63" s="48">
        <v>-394</v>
      </c>
      <c r="U63" s="48">
        <v>-412</v>
      </c>
      <c r="V63" s="48">
        <v>-427</v>
      </c>
      <c r="W63" s="48">
        <v>-367</v>
      </c>
      <c r="X63" s="48">
        <v>-390</v>
      </c>
      <c r="Y63" s="48">
        <v>-366</v>
      </c>
      <c r="Z63" s="48">
        <v>-360</v>
      </c>
      <c r="AA63" s="48">
        <v>-348</v>
      </c>
      <c r="AB63" s="48">
        <v>-339</v>
      </c>
      <c r="AC63" s="48">
        <v>-414</v>
      </c>
      <c r="AD63" s="48">
        <v>-361.33</v>
      </c>
      <c r="AE63" s="48">
        <v>-438</v>
      </c>
      <c r="AF63" s="48">
        <v>-464</v>
      </c>
      <c r="AG63" s="140"/>
      <c r="AH63" s="54">
        <f t="shared" si="2"/>
        <v>-122.5</v>
      </c>
      <c r="AI63" s="55">
        <f t="shared" si="3"/>
        <v>-464</v>
      </c>
      <c r="AK63" s="56"/>
    </row>
    <row r="64" spans="1:41" x14ac:dyDescent="0.25">
      <c r="A64" s="60" t="s">
        <v>44</v>
      </c>
      <c r="B64" s="71">
        <v>0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140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0</v>
      </c>
      <c r="C66" s="72">
        <v>0</v>
      </c>
      <c r="D66" s="72">
        <v>0</v>
      </c>
      <c r="E66" s="72">
        <v>0</v>
      </c>
      <c r="F66" s="72">
        <v>0</v>
      </c>
      <c r="G66" s="72">
        <v>0</v>
      </c>
      <c r="H66" s="72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0</v>
      </c>
      <c r="AD66" s="72">
        <v>0</v>
      </c>
      <c r="AE66" s="72">
        <v>0</v>
      </c>
      <c r="AF66" s="72">
        <v>0</v>
      </c>
      <c r="AG66" s="140"/>
      <c r="AH66" s="54">
        <f t="shared" si="2"/>
        <v>0</v>
      </c>
      <c r="AI66" s="55">
        <f t="shared" si="3"/>
        <v>0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1">
        <v>0</v>
      </c>
      <c r="D68" s="71">
        <v>0</v>
      </c>
      <c r="E68" s="71">
        <v>0</v>
      </c>
      <c r="F68" s="71">
        <v>0</v>
      </c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1">
        <v>0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4">
        <v>0</v>
      </c>
      <c r="C70" s="74">
        <v>0</v>
      </c>
      <c r="D70" s="74">
        <v>0</v>
      </c>
      <c r="E70" s="74">
        <v>0</v>
      </c>
      <c r="F70" s="74">
        <v>0</v>
      </c>
      <c r="G70" s="74">
        <v>0</v>
      </c>
      <c r="H70" s="74">
        <v>0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4">
        <v>0</v>
      </c>
      <c r="C71" s="74">
        <v>0</v>
      </c>
      <c r="D71" s="74">
        <v>0</v>
      </c>
      <c r="E71" s="74">
        <v>0</v>
      </c>
      <c r="F71" s="74">
        <v>0</v>
      </c>
      <c r="G71" s="74">
        <v>0</v>
      </c>
      <c r="H71" s="74">
        <v>0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 t="shared" ref="B72" si="12">SUMIF(B61:B71,"&gt;0")</f>
        <v>3.2</v>
      </c>
      <c r="C72" s="66">
        <f t="shared" ref="C72:L72" si="13">SUMIF(C61:C71,"&gt;0")</f>
        <v>13.9</v>
      </c>
      <c r="D72" s="66">
        <f t="shared" si="13"/>
        <v>11.3</v>
      </c>
      <c r="E72" s="66">
        <f t="shared" si="13"/>
        <v>0</v>
      </c>
      <c r="F72" s="66">
        <f t="shared" si="13"/>
        <v>0</v>
      </c>
      <c r="G72" s="66">
        <f t="shared" si="13"/>
        <v>0</v>
      </c>
      <c r="H72" s="66">
        <f t="shared" si="13"/>
        <v>0</v>
      </c>
      <c r="I72" s="66">
        <f t="shared" si="13"/>
        <v>14.2</v>
      </c>
      <c r="J72" s="66">
        <f t="shared" si="13"/>
        <v>0</v>
      </c>
      <c r="K72" s="66">
        <f t="shared" si="13"/>
        <v>0</v>
      </c>
      <c r="L72" s="66">
        <f t="shared" si="13"/>
        <v>0</v>
      </c>
      <c r="M72" s="66">
        <f>SUMIF(M61:M71,"&gt;0")</f>
        <v>0</v>
      </c>
      <c r="N72" s="66">
        <f t="shared" ref="N72:AF72" si="14">SUMIF(N61:N71,"&gt;0")</f>
        <v>0</v>
      </c>
      <c r="O72" s="66">
        <f t="shared" si="14"/>
        <v>0</v>
      </c>
      <c r="P72" s="66">
        <f t="shared" si="14"/>
        <v>0</v>
      </c>
      <c r="Q72" s="66">
        <f t="shared" si="14"/>
        <v>0.8</v>
      </c>
      <c r="R72" s="66">
        <f t="shared" si="14"/>
        <v>0</v>
      </c>
      <c r="S72" s="66">
        <f t="shared" si="14"/>
        <v>0</v>
      </c>
      <c r="T72" s="66">
        <f t="shared" si="14"/>
        <v>0</v>
      </c>
      <c r="U72" s="66">
        <f t="shared" si="14"/>
        <v>1.2</v>
      </c>
      <c r="V72" s="66">
        <f t="shared" si="14"/>
        <v>1.2</v>
      </c>
      <c r="W72" s="66">
        <f t="shared" si="14"/>
        <v>0</v>
      </c>
      <c r="X72" s="66">
        <f t="shared" si="14"/>
        <v>0</v>
      </c>
      <c r="Y72" s="66">
        <f t="shared" si="14"/>
        <v>0</v>
      </c>
      <c r="Z72" s="66">
        <f t="shared" si="14"/>
        <v>5</v>
      </c>
      <c r="AA72" s="66">
        <f t="shared" si="14"/>
        <v>15.1</v>
      </c>
      <c r="AB72" s="66">
        <f t="shared" si="14"/>
        <v>16.399999999999999</v>
      </c>
      <c r="AC72" s="66">
        <f t="shared" si="14"/>
        <v>35.4</v>
      </c>
      <c r="AD72" s="66">
        <f t="shared" si="14"/>
        <v>25.5</v>
      </c>
      <c r="AE72" s="66">
        <f t="shared" si="14"/>
        <v>20</v>
      </c>
      <c r="AF72" s="66">
        <f t="shared" si="14"/>
        <v>0</v>
      </c>
      <c r="AG72" s="138">
        <f>SUM(AG61:AG71)</f>
        <v>0</v>
      </c>
      <c r="AH72" s="54">
        <f t="shared" si="2"/>
        <v>35.4</v>
      </c>
      <c r="AI72" s="55">
        <f t="shared" si="3"/>
        <v>0</v>
      </c>
      <c r="AK72" s="56"/>
    </row>
    <row r="73" spans="1:88" x14ac:dyDescent="0.25">
      <c r="A73" s="57" t="s">
        <v>53</v>
      </c>
      <c r="B73" s="71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>
        <v>0</v>
      </c>
      <c r="C75" s="74">
        <v>0</v>
      </c>
      <c r="D75" s="74">
        <v>0</v>
      </c>
      <c r="E75" s="74">
        <v>0</v>
      </c>
      <c r="F75" s="74">
        <v>0</v>
      </c>
      <c r="G75" s="74">
        <v>0</v>
      </c>
      <c r="H75" s="74">
        <v>0</v>
      </c>
      <c r="I75" s="74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 t="shared" ref="B77" si="15">B38+B42+B60+B56+B72+B76</f>
        <v>1771.44</v>
      </c>
      <c r="C77" s="75">
        <f t="shared" ref="C77:AF77" si="16">C38+C42+C60+C56+C72+C76</f>
        <v>1336.14</v>
      </c>
      <c r="D77" s="75">
        <f t="shared" si="16"/>
        <v>1339.94</v>
      </c>
      <c r="E77" s="75">
        <f t="shared" si="16"/>
        <v>1608.64</v>
      </c>
      <c r="F77" s="75">
        <f t="shared" si="16"/>
        <v>1585.6399999999999</v>
      </c>
      <c r="G77" s="75">
        <f t="shared" si="16"/>
        <v>1588.64</v>
      </c>
      <c r="H77" s="75">
        <f t="shared" si="16"/>
        <v>1633.64</v>
      </c>
      <c r="I77" s="75">
        <f t="shared" si="16"/>
        <v>1621.0400000000002</v>
      </c>
      <c r="J77" s="75">
        <f t="shared" si="16"/>
        <v>1645.54</v>
      </c>
      <c r="K77" s="75">
        <f t="shared" si="16"/>
        <v>1625.74</v>
      </c>
      <c r="L77" s="75">
        <f t="shared" si="16"/>
        <v>1713.64</v>
      </c>
      <c r="M77" s="75">
        <f t="shared" si="16"/>
        <v>1707.34</v>
      </c>
      <c r="N77" s="75">
        <f t="shared" si="16"/>
        <v>1688.94</v>
      </c>
      <c r="O77" s="75">
        <f t="shared" si="16"/>
        <v>1693.8400000000001</v>
      </c>
      <c r="P77" s="75">
        <f t="shared" si="16"/>
        <v>1668.54</v>
      </c>
      <c r="Q77" s="75">
        <f t="shared" si="16"/>
        <v>1627.5400000000002</v>
      </c>
      <c r="R77" s="75">
        <f t="shared" si="16"/>
        <v>1618.84</v>
      </c>
      <c r="S77" s="75">
        <f t="shared" si="16"/>
        <v>1630.6399999999999</v>
      </c>
      <c r="T77" s="75">
        <f t="shared" si="16"/>
        <v>1631.14</v>
      </c>
      <c r="U77" s="75">
        <f t="shared" si="16"/>
        <v>1611.44</v>
      </c>
      <c r="V77" s="75">
        <f t="shared" si="16"/>
        <v>1611.44</v>
      </c>
      <c r="W77" s="75">
        <f t="shared" si="16"/>
        <v>1577.14</v>
      </c>
      <c r="X77" s="75">
        <f t="shared" si="16"/>
        <v>1582.54</v>
      </c>
      <c r="Y77" s="75">
        <f t="shared" si="16"/>
        <v>1608.64</v>
      </c>
      <c r="Z77" s="75">
        <f t="shared" si="16"/>
        <v>1668.5400000000002</v>
      </c>
      <c r="AA77" s="75">
        <f t="shared" si="16"/>
        <v>1732.44</v>
      </c>
      <c r="AB77" s="75">
        <f t="shared" si="16"/>
        <v>1790.2400000000002</v>
      </c>
      <c r="AC77" s="75">
        <f t="shared" si="16"/>
        <v>1822.54</v>
      </c>
      <c r="AD77" s="75">
        <f t="shared" si="16"/>
        <v>1765.24</v>
      </c>
      <c r="AE77" s="75">
        <f t="shared" si="16"/>
        <v>1731.2400000000002</v>
      </c>
      <c r="AF77" s="75">
        <f t="shared" si="16"/>
        <v>1740.0400000000002</v>
      </c>
      <c r="AG77" s="143">
        <f>AG38+AG42+AG60+AG56+AG72+AG76</f>
        <v>1855.1900000000003</v>
      </c>
      <c r="AH77" s="54">
        <f t="shared" si="2"/>
        <v>1822.54</v>
      </c>
      <c r="AI77" s="55">
        <f t="shared" si="3"/>
        <v>1336.14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>
        <v>120</v>
      </c>
      <c r="D78" s="77">
        <v>120</v>
      </c>
      <c r="E78" s="77">
        <v>50</v>
      </c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120</v>
      </c>
      <c r="AI78" s="55">
        <f t="shared" si="3"/>
        <v>50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 t="shared" ref="B79" si="17">B77+B78</f>
        <v>1771.44</v>
      </c>
      <c r="C79" s="75">
        <f t="shared" ref="C79:AF79" si="18">C77+C78</f>
        <v>1456.14</v>
      </c>
      <c r="D79" s="75">
        <f t="shared" si="18"/>
        <v>1459.94</v>
      </c>
      <c r="E79" s="75">
        <f t="shared" si="18"/>
        <v>1658.64</v>
      </c>
      <c r="F79" s="75">
        <f t="shared" si="18"/>
        <v>1585.6399999999999</v>
      </c>
      <c r="G79" s="75">
        <f t="shared" si="18"/>
        <v>1588.64</v>
      </c>
      <c r="H79" s="75">
        <f t="shared" si="18"/>
        <v>1633.64</v>
      </c>
      <c r="I79" s="75">
        <f t="shared" si="18"/>
        <v>1621.0400000000002</v>
      </c>
      <c r="J79" s="75">
        <f t="shared" si="18"/>
        <v>1645.54</v>
      </c>
      <c r="K79" s="75">
        <f t="shared" si="18"/>
        <v>1625.74</v>
      </c>
      <c r="L79" s="75">
        <f t="shared" si="18"/>
        <v>1713.64</v>
      </c>
      <c r="M79" s="75">
        <f t="shared" si="18"/>
        <v>1707.34</v>
      </c>
      <c r="N79" s="75">
        <f t="shared" si="18"/>
        <v>1688.94</v>
      </c>
      <c r="O79" s="75">
        <f t="shared" si="18"/>
        <v>1693.8400000000001</v>
      </c>
      <c r="P79" s="75">
        <f t="shared" si="18"/>
        <v>1668.54</v>
      </c>
      <c r="Q79" s="75">
        <f t="shared" si="18"/>
        <v>1627.5400000000002</v>
      </c>
      <c r="R79" s="75">
        <f t="shared" si="18"/>
        <v>1618.84</v>
      </c>
      <c r="S79" s="75">
        <f t="shared" si="18"/>
        <v>1630.6399999999999</v>
      </c>
      <c r="T79" s="75">
        <f t="shared" si="18"/>
        <v>1631.14</v>
      </c>
      <c r="U79" s="75">
        <f t="shared" si="18"/>
        <v>1611.44</v>
      </c>
      <c r="V79" s="75">
        <f t="shared" si="18"/>
        <v>1611.44</v>
      </c>
      <c r="W79" s="75">
        <f t="shared" si="18"/>
        <v>1577.14</v>
      </c>
      <c r="X79" s="75">
        <f t="shared" si="18"/>
        <v>1582.54</v>
      </c>
      <c r="Y79" s="75">
        <f t="shared" si="18"/>
        <v>1608.64</v>
      </c>
      <c r="Z79" s="75">
        <f t="shared" si="18"/>
        <v>1668.5400000000002</v>
      </c>
      <c r="AA79" s="75">
        <f t="shared" si="18"/>
        <v>1732.44</v>
      </c>
      <c r="AB79" s="75">
        <f t="shared" si="18"/>
        <v>1790.2400000000002</v>
      </c>
      <c r="AC79" s="75">
        <f t="shared" si="18"/>
        <v>1822.54</v>
      </c>
      <c r="AD79" s="75">
        <f t="shared" si="18"/>
        <v>1765.24</v>
      </c>
      <c r="AE79" s="75">
        <f t="shared" si="18"/>
        <v>1731.2400000000002</v>
      </c>
      <c r="AF79" s="75">
        <f t="shared" si="18"/>
        <v>1740.0400000000002</v>
      </c>
      <c r="AG79" s="138">
        <f>AG76+AG72+AG60+AG56+AG38+AG78</f>
        <v>1317.0900000000001</v>
      </c>
      <c r="AH79" s="54">
        <f t="shared" si="2"/>
        <v>1822.54</v>
      </c>
      <c r="AI79" s="55">
        <f t="shared" si="3"/>
        <v>1456.14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" si="19">B79-B87</f>
        <v>1374.74</v>
      </c>
      <c r="C80" s="75">
        <f t="shared" ref="C80:AF80" si="20">C79-C87</f>
        <v>1332.14</v>
      </c>
      <c r="D80" s="75">
        <f t="shared" si="20"/>
        <v>1337.44</v>
      </c>
      <c r="E80" s="75">
        <f t="shared" si="20"/>
        <v>1238.2400000000002</v>
      </c>
      <c r="F80" s="75">
        <f t="shared" si="20"/>
        <v>1232.7399999999998</v>
      </c>
      <c r="G80" s="75">
        <f t="shared" si="20"/>
        <v>1230.2400000000002</v>
      </c>
      <c r="H80" s="75">
        <f t="shared" si="20"/>
        <v>1212.94</v>
      </c>
      <c r="I80" s="75">
        <f t="shared" si="20"/>
        <v>1212.0400000000002</v>
      </c>
      <c r="J80" s="75">
        <f t="shared" si="20"/>
        <v>1242.3399999999999</v>
      </c>
      <c r="K80" s="75">
        <f t="shared" si="20"/>
        <v>1268.74</v>
      </c>
      <c r="L80" s="75">
        <f t="shared" si="20"/>
        <v>1320.24</v>
      </c>
      <c r="M80" s="75">
        <f t="shared" si="20"/>
        <v>1297.3399999999999</v>
      </c>
      <c r="N80" s="75">
        <f t="shared" si="20"/>
        <v>1314.04</v>
      </c>
      <c r="O80" s="75">
        <f t="shared" si="20"/>
        <v>1288.6400000000001</v>
      </c>
      <c r="P80" s="75">
        <f t="shared" si="20"/>
        <v>1272.1399999999999</v>
      </c>
      <c r="Q80" s="75">
        <f t="shared" si="20"/>
        <v>1271.94</v>
      </c>
      <c r="R80" s="75">
        <f t="shared" si="20"/>
        <v>1247.2399999999998</v>
      </c>
      <c r="S80" s="75">
        <f t="shared" si="20"/>
        <v>1247.04</v>
      </c>
      <c r="T80" s="75">
        <f t="shared" si="20"/>
        <v>1237.1400000000001</v>
      </c>
      <c r="U80" s="75">
        <f t="shared" si="20"/>
        <v>1199.44</v>
      </c>
      <c r="V80" s="75">
        <f t="shared" si="20"/>
        <v>1184.44</v>
      </c>
      <c r="W80" s="75">
        <f t="shared" si="20"/>
        <v>1210.1400000000001</v>
      </c>
      <c r="X80" s="75">
        <f t="shared" si="20"/>
        <v>1191.54</v>
      </c>
      <c r="Y80" s="75">
        <f t="shared" si="20"/>
        <v>1240.1400000000001</v>
      </c>
      <c r="Z80" s="75">
        <f t="shared" si="20"/>
        <v>1308.5400000000002</v>
      </c>
      <c r="AA80" s="75">
        <f t="shared" si="20"/>
        <v>1384.44</v>
      </c>
      <c r="AB80" s="75">
        <f t="shared" si="20"/>
        <v>1451.2400000000002</v>
      </c>
      <c r="AC80" s="75">
        <f t="shared" si="20"/>
        <v>1408.54</v>
      </c>
      <c r="AD80" s="75">
        <f t="shared" si="20"/>
        <v>1403.91</v>
      </c>
      <c r="AE80" s="75">
        <f t="shared" si="20"/>
        <v>1293.2400000000002</v>
      </c>
      <c r="AF80" s="75">
        <f t="shared" si="20"/>
        <v>1273.44</v>
      </c>
      <c r="AG80" s="138"/>
      <c r="AH80" s="54">
        <f t="shared" ref="AH80:AH97" si="21">MAX(B80:AF80)</f>
        <v>1451.2400000000002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 t="shared" ref="B81" si="22">IF(B64&lt;0,B64*-1,0)</f>
        <v>0</v>
      </c>
      <c r="C81" s="71">
        <f t="shared" ref="C81:AF81" si="23">IF(C64&lt;0,C64*-1,0)</f>
        <v>0</v>
      </c>
      <c r="D81" s="71">
        <f t="shared" si="23"/>
        <v>0</v>
      </c>
      <c r="E81" s="71">
        <f t="shared" si="23"/>
        <v>0</v>
      </c>
      <c r="F81" s="71">
        <f t="shared" si="23"/>
        <v>0</v>
      </c>
      <c r="G81" s="71">
        <f t="shared" si="23"/>
        <v>0</v>
      </c>
      <c r="H81" s="71">
        <f t="shared" si="23"/>
        <v>0</v>
      </c>
      <c r="I81" s="71">
        <f t="shared" si="23"/>
        <v>0</v>
      </c>
      <c r="J81" s="71">
        <f t="shared" si="23"/>
        <v>0</v>
      </c>
      <c r="K81" s="71">
        <f t="shared" si="23"/>
        <v>0</v>
      </c>
      <c r="L81" s="71">
        <f t="shared" si="23"/>
        <v>0</v>
      </c>
      <c r="M81" s="71">
        <f t="shared" si="23"/>
        <v>0</v>
      </c>
      <c r="N81" s="71">
        <f t="shared" si="23"/>
        <v>0</v>
      </c>
      <c r="O81" s="71">
        <f t="shared" si="23"/>
        <v>0</v>
      </c>
      <c r="P81" s="71">
        <f t="shared" si="23"/>
        <v>0</v>
      </c>
      <c r="Q81" s="71">
        <f t="shared" si="23"/>
        <v>0</v>
      </c>
      <c r="R81" s="71">
        <f t="shared" si="23"/>
        <v>0</v>
      </c>
      <c r="S81" s="71">
        <f t="shared" si="23"/>
        <v>0</v>
      </c>
      <c r="T81" s="71">
        <f t="shared" si="23"/>
        <v>0</v>
      </c>
      <c r="U81" s="71">
        <f t="shared" si="23"/>
        <v>0</v>
      </c>
      <c r="V81" s="71">
        <f t="shared" si="23"/>
        <v>0</v>
      </c>
      <c r="W81" s="71">
        <f t="shared" si="23"/>
        <v>0</v>
      </c>
      <c r="X81" s="71">
        <f t="shared" si="23"/>
        <v>0</v>
      </c>
      <c r="Y81" s="71">
        <f t="shared" si="23"/>
        <v>0</v>
      </c>
      <c r="Z81" s="71">
        <f t="shared" si="23"/>
        <v>0</v>
      </c>
      <c r="AA81" s="71">
        <f t="shared" si="23"/>
        <v>0</v>
      </c>
      <c r="AB81" s="71">
        <f t="shared" si="23"/>
        <v>0</v>
      </c>
      <c r="AC81" s="71">
        <f t="shared" si="23"/>
        <v>0</v>
      </c>
      <c r="AD81" s="71">
        <f t="shared" si="23"/>
        <v>0</v>
      </c>
      <c r="AE81" s="71">
        <f t="shared" si="23"/>
        <v>0</v>
      </c>
      <c r="AF81" s="71">
        <f t="shared" si="23"/>
        <v>0</v>
      </c>
      <c r="AG81" s="135"/>
      <c r="AH81" s="54">
        <f t="shared" si="21"/>
        <v>0</v>
      </c>
      <c r="AI81" s="55">
        <f t="shared" ref="AI81:AI97" si="24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 t="shared" ref="B82" si="25">IF(B62&lt;0,B62*-1,0)</f>
        <v>0</v>
      </c>
      <c r="C82" s="71">
        <f t="shared" ref="C82:AF82" si="26">IF(C62&lt;0,C62*-1,0)</f>
        <v>0</v>
      </c>
      <c r="D82" s="71">
        <f t="shared" si="26"/>
        <v>0</v>
      </c>
      <c r="E82" s="71">
        <f t="shared" si="26"/>
        <v>0</v>
      </c>
      <c r="F82" s="71">
        <f t="shared" si="26"/>
        <v>0</v>
      </c>
      <c r="G82" s="71">
        <f t="shared" si="26"/>
        <v>0</v>
      </c>
      <c r="H82" s="71">
        <f t="shared" si="26"/>
        <v>0</v>
      </c>
      <c r="I82" s="71">
        <f t="shared" si="26"/>
        <v>0</v>
      </c>
      <c r="J82" s="71">
        <f t="shared" si="26"/>
        <v>0</v>
      </c>
      <c r="K82" s="71">
        <f t="shared" si="26"/>
        <v>0</v>
      </c>
      <c r="L82" s="71">
        <f t="shared" si="26"/>
        <v>0</v>
      </c>
      <c r="M82" s="71">
        <f t="shared" si="26"/>
        <v>0</v>
      </c>
      <c r="N82" s="71">
        <f t="shared" si="26"/>
        <v>0</v>
      </c>
      <c r="O82" s="71">
        <f t="shared" si="26"/>
        <v>0</v>
      </c>
      <c r="P82" s="71">
        <f t="shared" si="26"/>
        <v>0</v>
      </c>
      <c r="Q82" s="71">
        <f t="shared" si="26"/>
        <v>0</v>
      </c>
      <c r="R82" s="71">
        <f t="shared" si="26"/>
        <v>0</v>
      </c>
      <c r="S82" s="71">
        <f t="shared" si="26"/>
        <v>0</v>
      </c>
      <c r="T82" s="71">
        <f t="shared" si="26"/>
        <v>0</v>
      </c>
      <c r="U82" s="71">
        <f t="shared" si="26"/>
        <v>0</v>
      </c>
      <c r="V82" s="71">
        <f t="shared" si="26"/>
        <v>0</v>
      </c>
      <c r="W82" s="71">
        <f t="shared" si="26"/>
        <v>0</v>
      </c>
      <c r="X82" s="71">
        <f t="shared" si="26"/>
        <v>0</v>
      </c>
      <c r="Y82" s="71">
        <f t="shared" si="26"/>
        <v>0</v>
      </c>
      <c r="Z82" s="71">
        <f t="shared" si="26"/>
        <v>0</v>
      </c>
      <c r="AA82" s="71">
        <f t="shared" si="26"/>
        <v>0</v>
      </c>
      <c r="AB82" s="71">
        <f t="shared" si="26"/>
        <v>0</v>
      </c>
      <c r="AC82" s="71">
        <f t="shared" si="26"/>
        <v>0</v>
      </c>
      <c r="AD82" s="71">
        <f t="shared" si="26"/>
        <v>0</v>
      </c>
      <c r="AE82" s="71">
        <f t="shared" si="26"/>
        <v>0</v>
      </c>
      <c r="AF82" s="71">
        <f t="shared" si="26"/>
        <v>0</v>
      </c>
      <c r="AG82" s="136"/>
      <c r="AH82" s="54">
        <f t="shared" si="21"/>
        <v>0</v>
      </c>
      <c r="AI82" s="55">
        <f t="shared" si="24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 t="shared" ref="B83" si="27">IF(B65&lt;0,B65*-1,0)</f>
        <v>0</v>
      </c>
      <c r="C83" s="71">
        <f t="shared" ref="C83:AF83" si="28">IF(C65&lt;0,C65*-1,0)</f>
        <v>0</v>
      </c>
      <c r="D83" s="71">
        <f t="shared" si="28"/>
        <v>0</v>
      </c>
      <c r="E83" s="71">
        <f t="shared" si="28"/>
        <v>0</v>
      </c>
      <c r="F83" s="71">
        <f t="shared" si="28"/>
        <v>0</v>
      </c>
      <c r="G83" s="71">
        <f t="shared" si="28"/>
        <v>0</v>
      </c>
      <c r="H83" s="71">
        <f t="shared" si="28"/>
        <v>0</v>
      </c>
      <c r="I83" s="71">
        <f t="shared" si="28"/>
        <v>0</v>
      </c>
      <c r="J83" s="71">
        <f t="shared" si="28"/>
        <v>0</v>
      </c>
      <c r="K83" s="71">
        <f t="shared" si="28"/>
        <v>0</v>
      </c>
      <c r="L83" s="71">
        <f t="shared" si="28"/>
        <v>0</v>
      </c>
      <c r="M83" s="71">
        <f t="shared" si="28"/>
        <v>0</v>
      </c>
      <c r="N83" s="71">
        <f t="shared" si="28"/>
        <v>0</v>
      </c>
      <c r="O83" s="71">
        <f t="shared" si="28"/>
        <v>0</v>
      </c>
      <c r="P83" s="71">
        <f t="shared" si="28"/>
        <v>0</v>
      </c>
      <c r="Q83" s="71">
        <f t="shared" si="28"/>
        <v>0</v>
      </c>
      <c r="R83" s="71">
        <f t="shared" si="28"/>
        <v>0</v>
      </c>
      <c r="S83" s="71">
        <f t="shared" si="28"/>
        <v>0</v>
      </c>
      <c r="T83" s="71">
        <f t="shared" si="28"/>
        <v>0</v>
      </c>
      <c r="U83" s="71">
        <f t="shared" si="28"/>
        <v>0</v>
      </c>
      <c r="V83" s="71">
        <f t="shared" si="28"/>
        <v>0</v>
      </c>
      <c r="W83" s="71">
        <f t="shared" si="28"/>
        <v>0</v>
      </c>
      <c r="X83" s="71">
        <f t="shared" si="28"/>
        <v>0</v>
      </c>
      <c r="Y83" s="71">
        <f t="shared" si="28"/>
        <v>0</v>
      </c>
      <c r="Z83" s="71">
        <f t="shared" si="28"/>
        <v>0</v>
      </c>
      <c r="AA83" s="71">
        <f t="shared" si="28"/>
        <v>0</v>
      </c>
      <c r="AB83" s="71">
        <f t="shared" si="28"/>
        <v>0</v>
      </c>
      <c r="AC83" s="71">
        <f t="shared" si="28"/>
        <v>0</v>
      </c>
      <c r="AD83" s="71">
        <f t="shared" si="28"/>
        <v>0</v>
      </c>
      <c r="AE83" s="71">
        <f t="shared" si="28"/>
        <v>0</v>
      </c>
      <c r="AF83" s="71">
        <f t="shared" si="28"/>
        <v>0</v>
      </c>
      <c r="AG83" s="144"/>
      <c r="AH83" s="54">
        <f t="shared" si="21"/>
        <v>0</v>
      </c>
      <c r="AI83" s="55">
        <f t="shared" si="24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 t="shared" ref="B84" si="29">IF(B63&lt;0,B63*-1,0)</f>
        <v>396.7</v>
      </c>
      <c r="C84" s="71">
        <f t="shared" ref="C84:AF84" si="30">IF(C63&lt;0,C63*-1,0)</f>
        <v>124</v>
      </c>
      <c r="D84" s="71">
        <f t="shared" si="30"/>
        <v>122.5</v>
      </c>
      <c r="E84" s="71">
        <f t="shared" si="30"/>
        <v>417</v>
      </c>
      <c r="F84" s="71">
        <f t="shared" si="30"/>
        <v>347.7</v>
      </c>
      <c r="G84" s="71">
        <f t="shared" si="30"/>
        <v>351.9</v>
      </c>
      <c r="H84" s="71">
        <f t="shared" si="30"/>
        <v>415</v>
      </c>
      <c r="I84" s="71">
        <f t="shared" si="30"/>
        <v>409</v>
      </c>
      <c r="J84" s="71">
        <f t="shared" si="30"/>
        <v>402</v>
      </c>
      <c r="K84" s="71">
        <f t="shared" si="30"/>
        <v>357</v>
      </c>
      <c r="L84" s="71">
        <f t="shared" si="30"/>
        <v>392.6</v>
      </c>
      <c r="M84" s="71">
        <f t="shared" si="30"/>
        <v>405</v>
      </c>
      <c r="N84" s="71">
        <f t="shared" si="30"/>
        <v>372</v>
      </c>
      <c r="O84" s="71">
        <f t="shared" si="30"/>
        <v>400</v>
      </c>
      <c r="P84" s="71">
        <f t="shared" si="30"/>
        <v>385</v>
      </c>
      <c r="Q84" s="71">
        <f t="shared" si="30"/>
        <v>355.6</v>
      </c>
      <c r="R84" s="71">
        <f t="shared" si="30"/>
        <v>371.5</v>
      </c>
      <c r="S84" s="71">
        <f t="shared" si="30"/>
        <v>381</v>
      </c>
      <c r="T84" s="71">
        <f t="shared" si="30"/>
        <v>394</v>
      </c>
      <c r="U84" s="71">
        <f t="shared" si="30"/>
        <v>412</v>
      </c>
      <c r="V84" s="71">
        <f t="shared" si="30"/>
        <v>427</v>
      </c>
      <c r="W84" s="71">
        <f t="shared" si="30"/>
        <v>367</v>
      </c>
      <c r="X84" s="71">
        <f t="shared" si="30"/>
        <v>390</v>
      </c>
      <c r="Y84" s="71">
        <f t="shared" si="30"/>
        <v>366</v>
      </c>
      <c r="Z84" s="71">
        <f t="shared" si="30"/>
        <v>360</v>
      </c>
      <c r="AA84" s="71">
        <f t="shared" si="30"/>
        <v>348</v>
      </c>
      <c r="AB84" s="71">
        <f t="shared" si="30"/>
        <v>339</v>
      </c>
      <c r="AC84" s="71">
        <f t="shared" si="30"/>
        <v>414</v>
      </c>
      <c r="AD84" s="71">
        <f t="shared" si="30"/>
        <v>361.33</v>
      </c>
      <c r="AE84" s="71">
        <f t="shared" si="30"/>
        <v>438</v>
      </c>
      <c r="AF84" s="71">
        <f t="shared" si="30"/>
        <v>464</v>
      </c>
      <c r="AG84" s="144"/>
      <c r="AH84" s="54">
        <f t="shared" si="21"/>
        <v>464</v>
      </c>
      <c r="AI84" s="55">
        <f t="shared" si="24"/>
        <v>122.5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 t="shared" ref="B85" si="31">IF(B61&lt;0,B61*-1,0)</f>
        <v>0</v>
      </c>
      <c r="C85" s="71">
        <f t="shared" ref="C85:AF85" si="32">IF(C61&lt;0,C61*-1,0)</f>
        <v>0</v>
      </c>
      <c r="D85" s="71">
        <f t="shared" si="32"/>
        <v>0</v>
      </c>
      <c r="E85" s="71">
        <f t="shared" si="32"/>
        <v>3.4</v>
      </c>
      <c r="F85" s="71">
        <f t="shared" si="32"/>
        <v>5.2</v>
      </c>
      <c r="G85" s="71">
        <f t="shared" si="32"/>
        <v>6.5</v>
      </c>
      <c r="H85" s="71">
        <f t="shared" si="32"/>
        <v>5.7</v>
      </c>
      <c r="I85" s="71">
        <f t="shared" si="32"/>
        <v>0</v>
      </c>
      <c r="J85" s="71">
        <f t="shared" si="32"/>
        <v>1.2</v>
      </c>
      <c r="K85" s="71">
        <f t="shared" si="32"/>
        <v>0</v>
      </c>
      <c r="L85" s="71">
        <f t="shared" si="32"/>
        <v>0.8</v>
      </c>
      <c r="M85" s="71">
        <f t="shared" si="32"/>
        <v>5</v>
      </c>
      <c r="N85" s="71">
        <f t="shared" si="32"/>
        <v>2.9</v>
      </c>
      <c r="O85" s="71">
        <f t="shared" si="32"/>
        <v>5.2</v>
      </c>
      <c r="P85" s="71">
        <f t="shared" si="32"/>
        <v>11.4</v>
      </c>
      <c r="Q85" s="71">
        <f t="shared" si="32"/>
        <v>0</v>
      </c>
      <c r="R85" s="71">
        <f t="shared" si="32"/>
        <v>0.1</v>
      </c>
      <c r="S85" s="71">
        <f t="shared" si="32"/>
        <v>2.6</v>
      </c>
      <c r="T85" s="71">
        <f t="shared" si="32"/>
        <v>0</v>
      </c>
      <c r="U85" s="71">
        <f t="shared" si="32"/>
        <v>0</v>
      </c>
      <c r="V85" s="71">
        <f t="shared" si="32"/>
        <v>0</v>
      </c>
      <c r="W85" s="71">
        <f t="shared" si="32"/>
        <v>0</v>
      </c>
      <c r="X85" s="71">
        <f t="shared" si="32"/>
        <v>1</v>
      </c>
      <c r="Y85" s="71">
        <f t="shared" si="32"/>
        <v>2.5</v>
      </c>
      <c r="Z85" s="71">
        <f t="shared" si="32"/>
        <v>0</v>
      </c>
      <c r="AA85" s="71">
        <f t="shared" si="32"/>
        <v>0</v>
      </c>
      <c r="AB85" s="71">
        <f t="shared" si="32"/>
        <v>0</v>
      </c>
      <c r="AC85" s="71">
        <f t="shared" si="32"/>
        <v>0</v>
      </c>
      <c r="AD85" s="71">
        <f t="shared" si="32"/>
        <v>0</v>
      </c>
      <c r="AE85" s="71">
        <f t="shared" si="32"/>
        <v>0</v>
      </c>
      <c r="AF85" s="71">
        <f t="shared" si="32"/>
        <v>2.6</v>
      </c>
      <c r="AG85" s="144"/>
      <c r="AH85" s="54">
        <f t="shared" si="21"/>
        <v>11.4</v>
      </c>
      <c r="AI85" s="55">
        <f t="shared" si="24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/>
      <c r="AD86" s="74"/>
      <c r="AE86" s="74"/>
      <c r="AF86" s="74"/>
      <c r="AG86" s="141"/>
      <c r="AH86" s="54">
        <f t="shared" si="21"/>
        <v>0</v>
      </c>
      <c r="AI86" s="55">
        <f t="shared" si="24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 t="shared" ref="B87" si="33">SUM(B81:B86)</f>
        <v>396.7</v>
      </c>
      <c r="C87" s="66">
        <f t="shared" ref="C87:AF87" si="34">SUM(C81:C86)</f>
        <v>124</v>
      </c>
      <c r="D87" s="66">
        <f t="shared" si="34"/>
        <v>122.5</v>
      </c>
      <c r="E87" s="66">
        <f t="shared" si="34"/>
        <v>420.4</v>
      </c>
      <c r="F87" s="66">
        <f t="shared" si="34"/>
        <v>352.9</v>
      </c>
      <c r="G87" s="66">
        <f t="shared" si="34"/>
        <v>358.4</v>
      </c>
      <c r="H87" s="66">
        <f t="shared" si="34"/>
        <v>420.7</v>
      </c>
      <c r="I87" s="66">
        <f t="shared" si="34"/>
        <v>409</v>
      </c>
      <c r="J87" s="66">
        <f t="shared" si="34"/>
        <v>403.2</v>
      </c>
      <c r="K87" s="66">
        <f t="shared" si="34"/>
        <v>357</v>
      </c>
      <c r="L87" s="66">
        <f t="shared" si="34"/>
        <v>393.40000000000003</v>
      </c>
      <c r="M87" s="66">
        <f t="shared" si="34"/>
        <v>410</v>
      </c>
      <c r="N87" s="66">
        <f t="shared" si="34"/>
        <v>374.9</v>
      </c>
      <c r="O87" s="66">
        <f t="shared" si="34"/>
        <v>405.2</v>
      </c>
      <c r="P87" s="66">
        <f t="shared" si="34"/>
        <v>396.4</v>
      </c>
      <c r="Q87" s="66">
        <f t="shared" si="34"/>
        <v>355.6</v>
      </c>
      <c r="R87" s="66">
        <f t="shared" si="34"/>
        <v>371.6</v>
      </c>
      <c r="S87" s="66">
        <f t="shared" si="34"/>
        <v>383.6</v>
      </c>
      <c r="T87" s="66">
        <f t="shared" si="34"/>
        <v>394</v>
      </c>
      <c r="U87" s="66">
        <f t="shared" si="34"/>
        <v>412</v>
      </c>
      <c r="V87" s="66">
        <f t="shared" si="34"/>
        <v>427</v>
      </c>
      <c r="W87" s="66">
        <f t="shared" si="34"/>
        <v>367</v>
      </c>
      <c r="X87" s="66">
        <f t="shared" si="34"/>
        <v>391</v>
      </c>
      <c r="Y87" s="66">
        <f t="shared" si="34"/>
        <v>368.5</v>
      </c>
      <c r="Z87" s="66">
        <f t="shared" si="34"/>
        <v>360</v>
      </c>
      <c r="AA87" s="66">
        <f t="shared" si="34"/>
        <v>348</v>
      </c>
      <c r="AB87" s="66">
        <f t="shared" si="34"/>
        <v>339</v>
      </c>
      <c r="AC87" s="66">
        <f t="shared" si="34"/>
        <v>414</v>
      </c>
      <c r="AD87" s="66">
        <f t="shared" si="34"/>
        <v>361.33</v>
      </c>
      <c r="AE87" s="66">
        <f t="shared" si="34"/>
        <v>438</v>
      </c>
      <c r="AF87" s="66">
        <f t="shared" si="34"/>
        <v>466.6</v>
      </c>
      <c r="AG87" s="138"/>
      <c r="AH87" s="54">
        <f t="shared" si="21"/>
        <v>466.6</v>
      </c>
      <c r="AI87" s="55">
        <f t="shared" si="24"/>
        <v>122.5</v>
      </c>
      <c r="AK87" s="56"/>
    </row>
    <row r="88" spans="1:88" s="1" customFormat="1" ht="15.75" thickBot="1" x14ac:dyDescent="0.3">
      <c r="A88" s="65" t="s">
        <v>64</v>
      </c>
      <c r="B88" s="66">
        <f t="shared" ref="B88" si="35">B72-B87</f>
        <v>-393.5</v>
      </c>
      <c r="C88" s="66">
        <f t="shared" ref="C88:AF88" si="36">C72-C87</f>
        <v>-110.1</v>
      </c>
      <c r="D88" s="66">
        <f t="shared" si="36"/>
        <v>-111.2</v>
      </c>
      <c r="E88" s="66">
        <f t="shared" si="36"/>
        <v>-420.4</v>
      </c>
      <c r="F88" s="66">
        <f t="shared" si="36"/>
        <v>-352.9</v>
      </c>
      <c r="G88" s="66">
        <f t="shared" si="36"/>
        <v>-358.4</v>
      </c>
      <c r="H88" s="66">
        <f t="shared" si="36"/>
        <v>-420.7</v>
      </c>
      <c r="I88" s="66">
        <f t="shared" si="36"/>
        <v>-394.8</v>
      </c>
      <c r="J88" s="66">
        <f t="shared" si="36"/>
        <v>-403.2</v>
      </c>
      <c r="K88" s="66">
        <f t="shared" si="36"/>
        <v>-357</v>
      </c>
      <c r="L88" s="66">
        <f t="shared" si="36"/>
        <v>-393.40000000000003</v>
      </c>
      <c r="M88" s="66">
        <f t="shared" si="36"/>
        <v>-410</v>
      </c>
      <c r="N88" s="66">
        <f t="shared" si="36"/>
        <v>-374.9</v>
      </c>
      <c r="O88" s="66">
        <f t="shared" si="36"/>
        <v>-405.2</v>
      </c>
      <c r="P88" s="66">
        <f t="shared" si="36"/>
        <v>-396.4</v>
      </c>
      <c r="Q88" s="66">
        <f t="shared" si="36"/>
        <v>-354.8</v>
      </c>
      <c r="R88" s="66">
        <f t="shared" si="36"/>
        <v>-371.6</v>
      </c>
      <c r="S88" s="66">
        <f t="shared" si="36"/>
        <v>-383.6</v>
      </c>
      <c r="T88" s="66">
        <f t="shared" si="36"/>
        <v>-394</v>
      </c>
      <c r="U88" s="66">
        <f t="shared" si="36"/>
        <v>-410.8</v>
      </c>
      <c r="V88" s="66">
        <f t="shared" si="36"/>
        <v>-425.8</v>
      </c>
      <c r="W88" s="66">
        <f t="shared" si="36"/>
        <v>-367</v>
      </c>
      <c r="X88" s="66">
        <f t="shared" si="36"/>
        <v>-391</v>
      </c>
      <c r="Y88" s="66">
        <f t="shared" si="36"/>
        <v>-368.5</v>
      </c>
      <c r="Z88" s="66">
        <f t="shared" si="36"/>
        <v>-355</v>
      </c>
      <c r="AA88" s="66">
        <f t="shared" si="36"/>
        <v>-332.9</v>
      </c>
      <c r="AB88" s="66">
        <f t="shared" si="36"/>
        <v>-322.60000000000002</v>
      </c>
      <c r="AC88" s="66">
        <f t="shared" si="36"/>
        <v>-378.6</v>
      </c>
      <c r="AD88" s="66">
        <f t="shared" si="36"/>
        <v>-335.83</v>
      </c>
      <c r="AE88" s="66">
        <f t="shared" si="36"/>
        <v>-418</v>
      </c>
      <c r="AF88" s="66">
        <f t="shared" si="36"/>
        <v>-466.6</v>
      </c>
      <c r="AG88" s="138"/>
      <c r="AH88" s="54">
        <f t="shared" si="21"/>
        <v>-110.1</v>
      </c>
      <c r="AI88" s="55">
        <f t="shared" si="24"/>
        <v>-466.6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50.08</v>
      </c>
      <c r="C89" s="80">
        <v>50.03</v>
      </c>
      <c r="D89" s="80">
        <v>50.02</v>
      </c>
      <c r="E89" s="80">
        <v>50.042000000000002</v>
      </c>
      <c r="F89" s="80">
        <v>50.03</v>
      </c>
      <c r="G89" s="80">
        <v>50.067</v>
      </c>
      <c r="H89" s="80">
        <v>50.064</v>
      </c>
      <c r="I89" s="80">
        <v>50.034999999999997</v>
      </c>
      <c r="J89" s="80">
        <v>49.999000000000002</v>
      </c>
      <c r="K89" s="80">
        <v>50.014000000000003</v>
      </c>
      <c r="L89" s="80">
        <v>50.012</v>
      </c>
      <c r="M89" s="80">
        <v>49.996000000000002</v>
      </c>
      <c r="N89" s="80">
        <v>50.076000000000001</v>
      </c>
      <c r="O89" s="80">
        <v>50.021000000000001</v>
      </c>
      <c r="P89" s="80">
        <v>49.972999999999999</v>
      </c>
      <c r="Q89" s="80">
        <v>50.072000000000003</v>
      </c>
      <c r="R89" s="80">
        <v>50.026000000000003</v>
      </c>
      <c r="S89" s="80">
        <v>50.02</v>
      </c>
      <c r="T89" s="80">
        <v>49.92</v>
      </c>
      <c r="U89" s="80">
        <v>50.02</v>
      </c>
      <c r="V89" s="80">
        <v>49.97</v>
      </c>
      <c r="W89" s="80">
        <v>50.01</v>
      </c>
      <c r="X89" s="80">
        <v>50</v>
      </c>
      <c r="Y89" s="80">
        <v>50.1</v>
      </c>
      <c r="Z89" s="80">
        <v>50.03</v>
      </c>
      <c r="AA89" s="80">
        <v>49.98</v>
      </c>
      <c r="AB89" s="80">
        <v>50.015999999999998</v>
      </c>
      <c r="AC89" s="80">
        <v>49.923999999999999</v>
      </c>
      <c r="AD89" s="80">
        <v>50.042999999999999</v>
      </c>
      <c r="AE89" s="80">
        <v>50.061999999999998</v>
      </c>
      <c r="AF89" s="80">
        <v>50.000999999999998</v>
      </c>
      <c r="AG89" s="145"/>
      <c r="AH89" s="54">
        <f t="shared" si="21"/>
        <v>50.1</v>
      </c>
      <c r="AI89" s="55">
        <f t="shared" si="24"/>
        <v>49.92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124.1</v>
      </c>
      <c r="C90" s="48">
        <v>125.7</v>
      </c>
      <c r="D90" s="48">
        <v>125.6</v>
      </c>
      <c r="E90" s="48">
        <v>125.5</v>
      </c>
      <c r="F90" s="48">
        <v>123.2</v>
      </c>
      <c r="G90" s="48">
        <v>123.5</v>
      </c>
      <c r="H90" s="48">
        <v>124.6</v>
      </c>
      <c r="I90" s="48">
        <v>125</v>
      </c>
      <c r="J90" s="48">
        <v>124.7</v>
      </c>
      <c r="K90" s="48">
        <v>125</v>
      </c>
      <c r="L90" s="48">
        <v>124.1</v>
      </c>
      <c r="M90" s="48">
        <v>122.6</v>
      </c>
      <c r="N90" s="48">
        <v>123.6</v>
      </c>
      <c r="O90" s="48">
        <v>124.4</v>
      </c>
      <c r="P90" s="48">
        <v>124.6</v>
      </c>
      <c r="Q90" s="48">
        <v>125.4</v>
      </c>
      <c r="R90" s="48">
        <v>125.3</v>
      </c>
      <c r="S90" s="48">
        <v>125.9</v>
      </c>
      <c r="T90" s="48">
        <v>125</v>
      </c>
      <c r="U90" s="48">
        <v>125.4</v>
      </c>
      <c r="V90" s="48">
        <v>126.7</v>
      </c>
      <c r="W90" s="48">
        <v>126.6</v>
      </c>
      <c r="X90" s="48">
        <v>126.6</v>
      </c>
      <c r="Y90" s="48">
        <v>126.6</v>
      </c>
      <c r="Z90" s="48">
        <v>126.6</v>
      </c>
      <c r="AA90" s="48">
        <v>127.4</v>
      </c>
      <c r="AB90" s="48">
        <v>126.7</v>
      </c>
      <c r="AC90" s="48">
        <v>125.9</v>
      </c>
      <c r="AD90" s="48">
        <v>126.1</v>
      </c>
      <c r="AE90" s="48">
        <v>125.7</v>
      </c>
      <c r="AF90" s="48">
        <v>124.7</v>
      </c>
      <c r="AG90" s="146"/>
      <c r="AH90" s="54">
        <f t="shared" si="21"/>
        <v>127.4</v>
      </c>
      <c r="AI90" s="55">
        <f t="shared" si="24"/>
        <v>122.6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/>
      <c r="C91" s="48">
        <v>130.19999999999999</v>
      </c>
      <c r="D91" s="48">
        <v>130.19999999999999</v>
      </c>
      <c r="E91" s="48">
        <v>130.19999999999999</v>
      </c>
      <c r="F91" s="48">
        <v>128.69999999999999</v>
      </c>
      <c r="G91" s="48">
        <v>128.69999999999999</v>
      </c>
      <c r="H91" s="48">
        <v>129.5</v>
      </c>
      <c r="I91" s="48">
        <v>129.19999999999999</v>
      </c>
      <c r="J91" s="48">
        <v>129.19999999999999</v>
      </c>
      <c r="K91" s="48">
        <v>128.4</v>
      </c>
      <c r="L91" s="48">
        <v>128.1</v>
      </c>
      <c r="M91" s="48">
        <v>127.5</v>
      </c>
      <c r="N91" s="48">
        <v>127</v>
      </c>
      <c r="O91" s="48">
        <v>127.8</v>
      </c>
      <c r="P91" s="48">
        <v>128</v>
      </c>
      <c r="Q91" s="48">
        <v>128.9</v>
      </c>
      <c r="R91" s="48">
        <v>128.80000000000001</v>
      </c>
      <c r="S91" s="48">
        <v>129.19999999999999</v>
      </c>
      <c r="T91" s="48">
        <v>128.80000000000001</v>
      </c>
      <c r="U91" s="48">
        <v>129</v>
      </c>
      <c r="V91" s="48">
        <v>129.9</v>
      </c>
      <c r="W91" s="48">
        <v>129.4</v>
      </c>
      <c r="X91" s="48">
        <v>129.4</v>
      </c>
      <c r="Y91" s="48">
        <v>129.4</v>
      </c>
      <c r="Z91" s="48">
        <v>129.4</v>
      </c>
      <c r="AA91" s="48">
        <v>130.6</v>
      </c>
      <c r="AB91" s="48">
        <v>129.19999999999999</v>
      </c>
      <c r="AC91" s="48">
        <v>129.4</v>
      </c>
      <c r="AD91" s="48">
        <v>129.4</v>
      </c>
      <c r="AE91" s="48">
        <v>129.5</v>
      </c>
      <c r="AF91" s="48">
        <v>129.5</v>
      </c>
      <c r="AG91" s="146"/>
      <c r="AH91" s="54">
        <f t="shared" si="21"/>
        <v>130.6</v>
      </c>
      <c r="AI91" s="55">
        <f t="shared" si="24"/>
        <v>127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129.69999999999999</v>
      </c>
      <c r="C92" s="48">
        <v>129.5</v>
      </c>
      <c r="D92" s="48">
        <v>129.69999999999999</v>
      </c>
      <c r="E92" s="48">
        <v>129.6</v>
      </c>
      <c r="F92" s="48">
        <v>129.19999999999999</v>
      </c>
      <c r="G92" s="48">
        <v>129.4</v>
      </c>
      <c r="H92" s="48">
        <v>131</v>
      </c>
      <c r="I92" s="48">
        <v>129.9</v>
      </c>
      <c r="J92" s="48">
        <v>129.9</v>
      </c>
      <c r="K92" s="48">
        <v>129.19999999999999</v>
      </c>
      <c r="L92" s="48">
        <v>128.5</v>
      </c>
      <c r="M92" s="48">
        <v>128.5</v>
      </c>
      <c r="N92" s="48">
        <v>127.2</v>
      </c>
      <c r="O92" s="48">
        <v>127.1</v>
      </c>
      <c r="P92" s="48">
        <v>126.5</v>
      </c>
      <c r="Q92" s="48">
        <v>130.1</v>
      </c>
      <c r="R92" s="48">
        <v>128.1</v>
      </c>
      <c r="S92" s="48">
        <v>128.30000000000001</v>
      </c>
      <c r="T92" s="48">
        <v>129</v>
      </c>
      <c r="U92" s="48">
        <v>126.6</v>
      </c>
      <c r="V92" s="48">
        <v>129.1</v>
      </c>
      <c r="W92" s="48">
        <v>128.69999999999999</v>
      </c>
      <c r="X92" s="48">
        <v>128.69999999999999</v>
      </c>
      <c r="Y92" s="48">
        <v>128.69999999999999</v>
      </c>
      <c r="Z92" s="48">
        <v>128.69999999999999</v>
      </c>
      <c r="AA92" s="48">
        <v>128</v>
      </c>
      <c r="AB92" s="48">
        <v>129.1</v>
      </c>
      <c r="AC92" s="48">
        <v>128.80000000000001</v>
      </c>
      <c r="AD92" s="48">
        <v>128.69999999999999</v>
      </c>
      <c r="AE92" s="48">
        <v>130.6</v>
      </c>
      <c r="AF92" s="48">
        <v>129</v>
      </c>
      <c r="AG92" s="146"/>
      <c r="AH92" s="54">
        <f t="shared" si="21"/>
        <v>131</v>
      </c>
      <c r="AI92" s="55">
        <f t="shared" si="24"/>
        <v>126.5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>
        <v>135.6</v>
      </c>
      <c r="C93" s="48">
        <v>133.69999999999999</v>
      </c>
      <c r="D93" s="48">
        <v>134.6</v>
      </c>
      <c r="E93" s="48">
        <v>135.19999999999999</v>
      </c>
      <c r="F93" s="48">
        <v>135</v>
      </c>
      <c r="G93" s="48">
        <v>135.69999999999999</v>
      </c>
      <c r="H93" s="48">
        <v>136.6</v>
      </c>
      <c r="I93" s="48">
        <v>133.9</v>
      </c>
      <c r="J93" s="48">
        <v>133.9</v>
      </c>
      <c r="K93" s="48">
        <v>132.5</v>
      </c>
      <c r="L93" s="48">
        <v>131.9</v>
      </c>
      <c r="M93" s="48">
        <v>131.4</v>
      </c>
      <c r="N93" s="48">
        <v>130.9</v>
      </c>
      <c r="O93" s="48">
        <v>131.6</v>
      </c>
      <c r="P93" s="48">
        <v>130.80000000000001</v>
      </c>
      <c r="Q93" s="48">
        <v>133.6</v>
      </c>
      <c r="R93" s="48">
        <v>132.6</v>
      </c>
      <c r="S93" s="48">
        <v>132.30000000000001</v>
      </c>
      <c r="T93" s="48">
        <v>134</v>
      </c>
      <c r="U93" s="48">
        <v>132.1</v>
      </c>
      <c r="V93" s="48">
        <v>134.5</v>
      </c>
      <c r="W93" s="48">
        <v>134.19999999999999</v>
      </c>
      <c r="X93" s="48">
        <v>134.19999999999999</v>
      </c>
      <c r="Y93" s="48">
        <v>134.19999999999999</v>
      </c>
      <c r="Z93" s="48">
        <v>134.19999999999999</v>
      </c>
      <c r="AA93" s="48">
        <v>132.9</v>
      </c>
      <c r="AB93" s="48">
        <v>134.19999999999999</v>
      </c>
      <c r="AC93" s="48">
        <v>134.4</v>
      </c>
      <c r="AD93" s="48">
        <v>134.30000000000001</v>
      </c>
      <c r="AE93" s="48">
        <v>134.19999999999999</v>
      </c>
      <c r="AF93" s="48">
        <v>133.19999999999999</v>
      </c>
      <c r="AG93" s="146"/>
      <c r="AH93" s="54">
        <f t="shared" si="21"/>
        <v>136.6</v>
      </c>
      <c r="AI93" s="55">
        <f t="shared" si="24"/>
        <v>130.80000000000001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134.1</v>
      </c>
      <c r="C94" s="82">
        <v>132.1</v>
      </c>
      <c r="D94" s="82">
        <v>132.6</v>
      </c>
      <c r="E94" s="82">
        <v>133.6</v>
      </c>
      <c r="F94" s="82">
        <v>132.6</v>
      </c>
      <c r="G94" s="82">
        <v>131.9</v>
      </c>
      <c r="H94" s="82">
        <v>132.6</v>
      </c>
      <c r="I94" s="82">
        <v>134.6</v>
      </c>
      <c r="J94" s="82">
        <v>134.6</v>
      </c>
      <c r="K94" s="82">
        <v>133.1</v>
      </c>
      <c r="L94" s="82">
        <v>133.69999999999999</v>
      </c>
      <c r="M94" s="82">
        <v>129.1</v>
      </c>
      <c r="N94" s="82">
        <v>131.69999999999999</v>
      </c>
      <c r="O94" s="82">
        <v>135</v>
      </c>
      <c r="P94" s="82">
        <v>132.80000000000001</v>
      </c>
      <c r="Q94" s="82">
        <v>133.80000000000001</v>
      </c>
      <c r="R94" s="82">
        <v>133.9</v>
      </c>
      <c r="S94" s="82">
        <v>134.4</v>
      </c>
      <c r="T94" s="82">
        <v>132</v>
      </c>
      <c r="U94" s="82">
        <v>112.2</v>
      </c>
      <c r="V94" s="82">
        <v>134.6</v>
      </c>
      <c r="W94" s="82">
        <v>134</v>
      </c>
      <c r="X94" s="82">
        <v>134</v>
      </c>
      <c r="Y94" s="82">
        <v>134</v>
      </c>
      <c r="Z94" s="82">
        <v>134</v>
      </c>
      <c r="AA94" s="82">
        <v>133.4</v>
      </c>
      <c r="AB94" s="82">
        <v>132.4</v>
      </c>
      <c r="AC94" s="82">
        <v>133.19999999999999</v>
      </c>
      <c r="AD94" s="82">
        <v>133.4</v>
      </c>
      <c r="AE94" s="82">
        <v>131</v>
      </c>
      <c r="AF94" s="82">
        <v>133.1</v>
      </c>
      <c r="AG94" s="147"/>
      <c r="AH94" s="54">
        <f t="shared" si="21"/>
        <v>135</v>
      </c>
      <c r="AI94" s="55">
        <f t="shared" si="24"/>
        <v>112.2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132.80000000000001</v>
      </c>
      <c r="C95" s="48">
        <v>129.9</v>
      </c>
      <c r="D95" s="48">
        <v>131</v>
      </c>
      <c r="E95" s="48">
        <v>132.30000000000001</v>
      </c>
      <c r="F95" s="48">
        <v>133.30000000000001</v>
      </c>
      <c r="G95" s="48">
        <v>132.80000000000001</v>
      </c>
      <c r="H95" s="48">
        <v>134.6</v>
      </c>
      <c r="I95" s="48">
        <v>125.6</v>
      </c>
      <c r="J95" s="48">
        <v>125.6</v>
      </c>
      <c r="K95" s="48">
        <v>133.1</v>
      </c>
      <c r="L95" s="48">
        <v>133</v>
      </c>
      <c r="M95" s="48">
        <v>127.2</v>
      </c>
      <c r="N95" s="48">
        <v>129.1</v>
      </c>
      <c r="O95" s="48">
        <v>133.5</v>
      </c>
      <c r="P95" s="48">
        <v>129.9</v>
      </c>
      <c r="Q95" s="48">
        <v>133.9</v>
      </c>
      <c r="R95" s="48">
        <v>133.80000000000001</v>
      </c>
      <c r="S95" s="48">
        <v>135.19999999999999</v>
      </c>
      <c r="T95" s="48">
        <v>131</v>
      </c>
      <c r="U95" s="48">
        <v>136.80000000000001</v>
      </c>
      <c r="V95" s="48">
        <v>135.19999999999999</v>
      </c>
      <c r="W95" s="48">
        <v>135</v>
      </c>
      <c r="X95" s="48">
        <v>135</v>
      </c>
      <c r="Y95" s="48">
        <v>135</v>
      </c>
      <c r="Z95" s="48">
        <v>135</v>
      </c>
      <c r="AA95" s="48">
        <v>131.80000000000001</v>
      </c>
      <c r="AB95" s="48">
        <v>133.6</v>
      </c>
      <c r="AC95" s="48">
        <v>127.9</v>
      </c>
      <c r="AD95" s="48">
        <v>129.19999999999999</v>
      </c>
      <c r="AE95" s="48">
        <v>129</v>
      </c>
      <c r="AF95" s="48">
        <v>132.6</v>
      </c>
      <c r="AG95" s="146"/>
      <c r="AH95" s="54">
        <f t="shared" si="21"/>
        <v>136.80000000000001</v>
      </c>
      <c r="AI95" s="55">
        <f t="shared" si="24"/>
        <v>125.6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65.3</v>
      </c>
      <c r="C96" s="83">
        <v>65.900000000000006</v>
      </c>
      <c r="D96" s="83">
        <v>65.900000000000006</v>
      </c>
      <c r="E96" s="83">
        <v>65.599999999999994</v>
      </c>
      <c r="F96" s="83">
        <v>64.900000000000006</v>
      </c>
      <c r="G96" s="83">
        <v>64.900000000000006</v>
      </c>
      <c r="H96" s="83">
        <v>65.3</v>
      </c>
      <c r="I96" s="83">
        <v>65</v>
      </c>
      <c r="J96" s="83">
        <v>65</v>
      </c>
      <c r="K96" s="83">
        <v>65.3</v>
      </c>
      <c r="L96" s="83">
        <v>64.900000000000006</v>
      </c>
      <c r="M96" s="83">
        <v>63.8</v>
      </c>
      <c r="N96" s="83">
        <v>64.2</v>
      </c>
      <c r="O96" s="83">
        <v>64.400000000000006</v>
      </c>
      <c r="P96" s="83">
        <v>64.599999999999994</v>
      </c>
      <c r="Q96" s="83">
        <v>65.099999999999994</v>
      </c>
      <c r="R96" s="83">
        <v>65.099999999999994</v>
      </c>
      <c r="S96" s="83">
        <v>65.099999999999994</v>
      </c>
      <c r="T96" s="83">
        <v>65</v>
      </c>
      <c r="U96" s="83">
        <v>65.2</v>
      </c>
      <c r="V96" s="83">
        <v>65.8</v>
      </c>
      <c r="W96" s="83">
        <v>65.7</v>
      </c>
      <c r="X96" s="83">
        <v>65.7</v>
      </c>
      <c r="Y96" s="83">
        <v>65.7</v>
      </c>
      <c r="Z96" s="83">
        <v>66.3</v>
      </c>
      <c r="AA96" s="83">
        <v>65.599999999999994</v>
      </c>
      <c r="AB96" s="83">
        <v>65.2</v>
      </c>
      <c r="AC96" s="83">
        <v>65.2</v>
      </c>
      <c r="AD96" s="83">
        <v>65.2</v>
      </c>
      <c r="AE96" s="83">
        <v>65.400000000000006</v>
      </c>
      <c r="AF96" s="83">
        <v>65.400000000000006</v>
      </c>
      <c r="AG96" s="148"/>
      <c r="AH96" s="54">
        <f t="shared" si="21"/>
        <v>66.3</v>
      </c>
      <c r="AI96" s="55">
        <f t="shared" si="24"/>
        <v>63.8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21"/>
        <v>0</v>
      </c>
      <c r="AI97" s="55">
        <f t="shared" si="24"/>
        <v>0</v>
      </c>
    </row>
    <row r="98" spans="1:37" ht="15.75" thickBot="1" x14ac:dyDescent="0.3">
      <c r="A98" s="85" t="s">
        <v>73</v>
      </c>
      <c r="B98" s="86">
        <f t="shared" ref="B98:AF98" si="37">SUM(B15,B18,B21:B22,B46,B48:B49,B51,B53,B99:B102,B123,B129,B135,B144,B146,B158,B165,B168:B169,B176,B178,B180,B184:B186,B188:B190,B195,B201:B202,B204:B206,B214,B219)</f>
        <v>62.6</v>
      </c>
      <c r="C98" s="86">
        <f t="shared" si="37"/>
        <v>75.440000000000012</v>
      </c>
      <c r="D98" s="86">
        <f t="shared" si="37"/>
        <v>70.939999999999969</v>
      </c>
      <c r="E98" s="86">
        <f t="shared" si="37"/>
        <v>22.139999999999983</v>
      </c>
      <c r="F98" s="86">
        <f t="shared" si="37"/>
        <v>4.8400000000000167</v>
      </c>
      <c r="G98" s="86">
        <f t="shared" si="37"/>
        <v>17.040000000000006</v>
      </c>
      <c r="H98" s="86">
        <f t="shared" si="37"/>
        <v>28.13999999999999</v>
      </c>
      <c r="I98" s="86">
        <f t="shared" si="37"/>
        <v>73.239999999999995</v>
      </c>
      <c r="J98" s="86">
        <f t="shared" si="37"/>
        <v>113.64000000000001</v>
      </c>
      <c r="K98" s="86">
        <f t="shared" si="37"/>
        <v>154.23999999999998</v>
      </c>
      <c r="L98" s="86">
        <f t="shared" si="37"/>
        <v>161.54</v>
      </c>
      <c r="M98" s="86">
        <f t="shared" si="37"/>
        <v>183.73999999999998</v>
      </c>
      <c r="N98" s="86">
        <f t="shared" si="37"/>
        <v>161.64000000000004</v>
      </c>
      <c r="O98" s="86">
        <f t="shared" si="37"/>
        <v>146.24</v>
      </c>
      <c r="P98" s="86">
        <f t="shared" si="37"/>
        <v>128.63999999999999</v>
      </c>
      <c r="Q98" s="86">
        <f t="shared" si="37"/>
        <v>133.5</v>
      </c>
      <c r="R98" s="86">
        <f t="shared" si="37"/>
        <v>115.80000000000003</v>
      </c>
      <c r="S98" s="86">
        <f t="shared" si="37"/>
        <v>121.60000000000001</v>
      </c>
      <c r="T98" s="86">
        <f t="shared" si="37"/>
        <v>99.800000000000011</v>
      </c>
      <c r="U98" s="86">
        <f t="shared" si="37"/>
        <v>134.39999999999998</v>
      </c>
      <c r="V98" s="86">
        <f t="shared" si="37"/>
        <v>150.82</v>
      </c>
      <c r="W98" s="86">
        <f t="shared" si="37"/>
        <v>122.2</v>
      </c>
      <c r="X98" s="86">
        <f t="shared" si="37"/>
        <v>129.4</v>
      </c>
      <c r="Y98" s="86">
        <f t="shared" si="37"/>
        <v>146.19999999999999</v>
      </c>
      <c r="Z98" s="86">
        <f t="shared" si="37"/>
        <v>151.39999999999998</v>
      </c>
      <c r="AA98" s="86">
        <f t="shared" si="37"/>
        <v>161.10000000000002</v>
      </c>
      <c r="AB98" s="86">
        <f t="shared" si="37"/>
        <v>188.30000000000004</v>
      </c>
      <c r="AC98" s="86">
        <f t="shared" si="37"/>
        <v>150.19999999999999</v>
      </c>
      <c r="AD98" s="86">
        <f t="shared" si="37"/>
        <v>127.20000000000002</v>
      </c>
      <c r="AE98" s="86">
        <f t="shared" si="37"/>
        <v>69.3</v>
      </c>
      <c r="AF98" s="86">
        <f t="shared" si="37"/>
        <v>30.100000000000023</v>
      </c>
      <c r="AG98" s="150"/>
      <c r="AH98" s="54">
        <f>MAX(C98:AF98)</f>
        <v>188.30000000000004</v>
      </c>
      <c r="AI98" s="55">
        <f>MIN(C98:AF98)</f>
        <v>4.8400000000000167</v>
      </c>
    </row>
    <row r="99" spans="1:37" x14ac:dyDescent="0.25">
      <c r="A99" s="170" t="s">
        <v>74</v>
      </c>
      <c r="B99" s="87">
        <f>19.6+5.1</f>
        <v>24.700000000000003</v>
      </c>
      <c r="C99" s="87">
        <f>37+16.6</f>
        <v>53.6</v>
      </c>
      <c r="D99" s="87">
        <f>37.3+17.2</f>
        <v>54.5</v>
      </c>
      <c r="E99" s="87">
        <v>9.9</v>
      </c>
      <c r="F99" s="87">
        <v>16.3</v>
      </c>
      <c r="G99" s="87">
        <v>18.899999999999999</v>
      </c>
      <c r="H99" s="87">
        <v>22.2</v>
      </c>
      <c r="I99" s="87">
        <v>20.6</v>
      </c>
      <c r="J99" s="87">
        <v>11.8</v>
      </c>
      <c r="K99" s="87">
        <v>16.600000000000001</v>
      </c>
      <c r="L99" s="87">
        <v>15</v>
      </c>
      <c r="M99" s="87">
        <v>14.3</v>
      </c>
      <c r="N99" s="87">
        <v>12.8</v>
      </c>
      <c r="O99" s="87">
        <v>17.7</v>
      </c>
      <c r="P99" s="87">
        <v>7</v>
      </c>
      <c r="Q99" s="87">
        <v>-1.4</v>
      </c>
      <c r="R99" s="87">
        <v>0.9</v>
      </c>
      <c r="S99" s="87">
        <v>4.7</v>
      </c>
      <c r="T99" s="87">
        <v>14.8</v>
      </c>
      <c r="U99" s="87">
        <v>49.9</v>
      </c>
      <c r="V99" s="87">
        <v>50.02</v>
      </c>
      <c r="W99" s="87">
        <v>4.3</v>
      </c>
      <c r="X99" s="87">
        <v>9.8000000000000007</v>
      </c>
      <c r="Y99" s="87">
        <v>28.7</v>
      </c>
      <c r="Z99" s="87">
        <v>16.3</v>
      </c>
      <c r="AA99" s="87">
        <v>23.5</v>
      </c>
      <c r="AB99" s="87">
        <v>9.8000000000000007</v>
      </c>
      <c r="AC99" s="87">
        <v>18.600000000000001</v>
      </c>
      <c r="AD99" s="87">
        <v>15.4</v>
      </c>
      <c r="AE99" s="87">
        <v>12.1</v>
      </c>
      <c r="AF99" s="87">
        <v>12.9</v>
      </c>
      <c r="AG99" s="151">
        <v>75</v>
      </c>
      <c r="AH99" s="54">
        <f t="shared" ref="AH99:AH105" si="38">IF(ABS(MAX(C99:AF99))&gt;ABS(MIN(C99:AF99)),MAX(C99:AF99),MIN(C99:AF99))</f>
        <v>54.5</v>
      </c>
      <c r="AI99" s="89">
        <f t="shared" ref="AI99:AI105" si="39">INDEX($C$9:$AF$9,1,MATCH(AH99,C99:AF99,0))</f>
        <v>8.3333333333333301E-2</v>
      </c>
    </row>
    <row r="100" spans="1:37" x14ac:dyDescent="0.25">
      <c r="A100" s="163" t="s">
        <v>75</v>
      </c>
      <c r="B100" s="90">
        <f>-65.6-69.9</f>
        <v>-135.5</v>
      </c>
      <c r="C100" s="90">
        <f>-80.9-86.8</f>
        <v>-167.7</v>
      </c>
      <c r="D100" s="90">
        <f>-82.9-89</f>
        <v>-171.9</v>
      </c>
      <c r="E100" s="90">
        <v>-157</v>
      </c>
      <c r="F100" s="90">
        <v>-164</v>
      </c>
      <c r="G100" s="90">
        <v>-154</v>
      </c>
      <c r="H100" s="90">
        <v>-150</v>
      </c>
      <c r="I100" s="90">
        <v>-128</v>
      </c>
      <c r="J100" s="90">
        <v>-83.8</v>
      </c>
      <c r="K100" s="90">
        <v>-63.2</v>
      </c>
      <c r="L100" s="90">
        <v>-55</v>
      </c>
      <c r="M100" s="90">
        <v>-40.4</v>
      </c>
      <c r="N100" s="90">
        <v>-41.8</v>
      </c>
      <c r="O100" s="90">
        <v>-64.099999999999994</v>
      </c>
      <c r="P100" s="90">
        <v>-57.5</v>
      </c>
      <c r="Q100" s="90">
        <v>-48.9</v>
      </c>
      <c r="R100" s="90">
        <v>-66.2</v>
      </c>
      <c r="S100" s="90">
        <f>-31.9-34.1</f>
        <v>-66</v>
      </c>
      <c r="T100" s="90">
        <v>-74</v>
      </c>
      <c r="U100" s="90">
        <f>-34.6-37.7</f>
        <v>-72.300000000000011</v>
      </c>
      <c r="V100" s="90">
        <f>-29.1-31.1</f>
        <v>-60.2</v>
      </c>
      <c r="W100" s="90">
        <f>-15.9-18.3</f>
        <v>-34.200000000000003</v>
      </c>
      <c r="X100" s="90">
        <f>-16.3-17.3</f>
        <v>-33.6</v>
      </c>
      <c r="Y100" s="90">
        <v>-35.700000000000003</v>
      </c>
      <c r="Z100" s="90">
        <f>-26.4-17.8</f>
        <v>-44.2</v>
      </c>
      <c r="AA100" s="90">
        <f>-41.6-26.4</f>
        <v>-68</v>
      </c>
      <c r="AB100" s="90">
        <f>-18.3-33</f>
        <v>-51.3</v>
      </c>
      <c r="AC100" s="90">
        <f>-36.1-39.9</f>
        <v>-76</v>
      </c>
      <c r="AD100" s="90">
        <f>-40.5-42.5</f>
        <v>-83</v>
      </c>
      <c r="AE100" s="90">
        <f>-60-55.8</f>
        <v>-115.8</v>
      </c>
      <c r="AF100" s="90">
        <f>-75.5-70.7</f>
        <v>-146.19999999999999</v>
      </c>
      <c r="AG100" s="151">
        <v>240</v>
      </c>
      <c r="AH100" s="54">
        <f t="shared" si="38"/>
        <v>-171.9</v>
      </c>
      <c r="AI100" s="89">
        <f t="shared" si="39"/>
        <v>8.3333333333333301E-2</v>
      </c>
    </row>
    <row r="101" spans="1:37" x14ac:dyDescent="0.25">
      <c r="A101" s="163" t="s">
        <v>76</v>
      </c>
      <c r="B101" s="90">
        <v>-2.4</v>
      </c>
      <c r="C101" s="90">
        <v>-7.2</v>
      </c>
      <c r="D101" s="90">
        <v>-8</v>
      </c>
      <c r="E101" s="90">
        <v>-7.1</v>
      </c>
      <c r="F101" s="90">
        <v>-7.3</v>
      </c>
      <c r="G101" s="90">
        <v>-7.3</v>
      </c>
      <c r="H101" s="90">
        <v>-3.5</v>
      </c>
      <c r="I101" s="90">
        <v>-3.8</v>
      </c>
      <c r="J101" s="90">
        <v>1.2</v>
      </c>
      <c r="K101" s="90">
        <v>6.4</v>
      </c>
      <c r="L101" s="90">
        <v>7.1</v>
      </c>
      <c r="M101" s="90">
        <v>9.5</v>
      </c>
      <c r="N101" s="90">
        <v>10</v>
      </c>
      <c r="O101" s="90">
        <v>12</v>
      </c>
      <c r="P101" s="90">
        <v>10.8</v>
      </c>
      <c r="Q101" s="90">
        <v>13</v>
      </c>
      <c r="R101" s="90">
        <v>10.4</v>
      </c>
      <c r="S101" s="90">
        <v>12.2</v>
      </c>
      <c r="T101" s="90">
        <v>9</v>
      </c>
      <c r="U101" s="90">
        <v>5</v>
      </c>
      <c r="V101" s="90">
        <v>9.1999999999999993</v>
      </c>
      <c r="W101" s="90">
        <v>12.4</v>
      </c>
      <c r="X101" s="90">
        <v>13.5</v>
      </c>
      <c r="Y101" s="90">
        <v>13.5</v>
      </c>
      <c r="Z101" s="90">
        <v>31.9</v>
      </c>
      <c r="AA101" s="90">
        <v>30.8</v>
      </c>
      <c r="AB101" s="90">
        <v>33.6</v>
      </c>
      <c r="AC101" s="90">
        <v>11.2</v>
      </c>
      <c r="AD101" s="90">
        <v>8.4</v>
      </c>
      <c r="AE101" s="90">
        <v>1.6</v>
      </c>
      <c r="AF101" s="90">
        <v>-3</v>
      </c>
      <c r="AG101" s="151">
        <v>60</v>
      </c>
      <c r="AH101" s="54">
        <f t="shared" si="38"/>
        <v>33.6</v>
      </c>
      <c r="AI101" s="89">
        <f t="shared" si="39"/>
        <v>0.83333333333333337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0</v>
      </c>
      <c r="M102" s="91">
        <v>0</v>
      </c>
      <c r="N102" s="91">
        <v>0</v>
      </c>
      <c r="O102" s="91">
        <v>0</v>
      </c>
      <c r="P102" s="91">
        <v>0</v>
      </c>
      <c r="Q102" s="91">
        <v>0</v>
      </c>
      <c r="R102" s="91">
        <v>0</v>
      </c>
      <c r="S102" s="91">
        <v>0</v>
      </c>
      <c r="T102" s="91">
        <v>0</v>
      </c>
      <c r="U102" s="91">
        <v>0</v>
      </c>
      <c r="V102" s="91">
        <v>0</v>
      </c>
      <c r="W102" s="91">
        <v>0</v>
      </c>
      <c r="X102" s="91">
        <v>0</v>
      </c>
      <c r="Y102" s="91">
        <v>0</v>
      </c>
      <c r="Z102" s="91">
        <v>7.7</v>
      </c>
      <c r="AA102" s="91">
        <v>3.6</v>
      </c>
      <c r="AB102" s="91">
        <v>0</v>
      </c>
      <c r="AC102" s="91">
        <v>0</v>
      </c>
      <c r="AD102" s="91">
        <v>0</v>
      </c>
      <c r="AE102" s="91">
        <v>0</v>
      </c>
      <c r="AF102" s="91">
        <v>0</v>
      </c>
      <c r="AG102" s="152">
        <v>120</v>
      </c>
      <c r="AH102" s="54">
        <f t="shared" si="38"/>
        <v>7.7</v>
      </c>
      <c r="AI102" s="89">
        <f t="shared" si="39"/>
        <v>0.79166666666666663</v>
      </c>
    </row>
    <row r="103" spans="1:37" x14ac:dyDescent="0.25">
      <c r="A103" s="164" t="s">
        <v>78</v>
      </c>
      <c r="B103" s="91">
        <v>44</v>
      </c>
      <c r="C103" s="91">
        <v>-23.7</v>
      </c>
      <c r="D103" s="91">
        <v>-29.2</v>
      </c>
      <c r="E103" s="91">
        <v>-14.9</v>
      </c>
      <c r="F103" s="91">
        <v>3.1</v>
      </c>
      <c r="G103" s="91">
        <v>7.8</v>
      </c>
      <c r="H103" s="91">
        <v>19.399999999999999</v>
      </c>
      <c r="I103" s="91">
        <v>2.9</v>
      </c>
      <c r="J103" s="91">
        <v>41.1</v>
      </c>
      <c r="K103" s="91">
        <v>54</v>
      </c>
      <c r="L103" s="91">
        <v>60.8</v>
      </c>
      <c r="M103" s="91">
        <v>75.8</v>
      </c>
      <c r="N103" s="91">
        <v>73.900000000000006</v>
      </c>
      <c r="O103" s="91">
        <v>55.1</v>
      </c>
      <c r="P103" s="91">
        <v>66.5</v>
      </c>
      <c r="Q103" s="91">
        <v>71.599999999999994</v>
      </c>
      <c r="R103" s="91">
        <v>60.5</v>
      </c>
      <c r="S103" s="91">
        <v>54.5</v>
      </c>
      <c r="T103" s="91">
        <v>36.5</v>
      </c>
      <c r="U103" s="91">
        <v>39.4</v>
      </c>
      <c r="V103" s="91">
        <v>29.2</v>
      </c>
      <c r="W103" s="91">
        <v>54.9</v>
      </c>
      <c r="X103" s="91">
        <v>54</v>
      </c>
      <c r="Y103" s="91">
        <v>55.6</v>
      </c>
      <c r="Z103" s="91">
        <v>49.5</v>
      </c>
      <c r="AA103" s="91">
        <v>32</v>
      </c>
      <c r="AB103" s="91">
        <v>57.3</v>
      </c>
      <c r="AC103" s="91">
        <v>41.7</v>
      </c>
      <c r="AD103" s="91">
        <v>43.2</v>
      </c>
      <c r="AE103" s="91">
        <v>20.5</v>
      </c>
      <c r="AF103" s="91">
        <v>6.4</v>
      </c>
      <c r="AG103" s="152"/>
      <c r="AH103" s="54">
        <f t="shared" si="38"/>
        <v>75.8</v>
      </c>
      <c r="AI103" s="89">
        <f t="shared" si="39"/>
        <v>0.33333333333333331</v>
      </c>
    </row>
    <row r="104" spans="1:37" x14ac:dyDescent="0.25">
      <c r="A104" s="164" t="s">
        <v>105</v>
      </c>
      <c r="B104" s="91">
        <v>64</v>
      </c>
      <c r="C104" s="91">
        <v>44.8</v>
      </c>
      <c r="D104" s="91">
        <v>27.2</v>
      </c>
      <c r="E104" s="91">
        <v>30</v>
      </c>
      <c r="F104" s="91">
        <v>19.100000000000001</v>
      </c>
      <c r="G104" s="91">
        <v>11.2</v>
      </c>
      <c r="H104" s="91">
        <v>4.5999999999999996</v>
      </c>
      <c r="I104" s="91">
        <v>-5.2</v>
      </c>
      <c r="J104" s="91">
        <v>14.4</v>
      </c>
      <c r="K104" s="91">
        <v>-6.1</v>
      </c>
      <c r="L104" s="91">
        <v>-1.6</v>
      </c>
      <c r="M104" s="91">
        <v>-10.7</v>
      </c>
      <c r="N104" s="91">
        <v>-9.4</v>
      </c>
      <c r="O104" s="91">
        <v>-21.2</v>
      </c>
      <c r="P104" s="91">
        <v>9.5</v>
      </c>
      <c r="Q104" s="91">
        <v>41.1</v>
      </c>
      <c r="R104" s="91">
        <v>30.4</v>
      </c>
      <c r="S104" s="91">
        <v>5.8</v>
      </c>
      <c r="T104" s="91">
        <v>-20.5</v>
      </c>
      <c r="U104" s="91">
        <v>-21.9</v>
      </c>
      <c r="V104" s="91">
        <v>-31.8</v>
      </c>
      <c r="W104" s="91">
        <v>-7.7</v>
      </c>
      <c r="X104" s="91">
        <v>-16.100000000000001</v>
      </c>
      <c r="Y104" s="91">
        <v>-16.100000000000001</v>
      </c>
      <c r="Z104" s="91">
        <v>-14.7</v>
      </c>
      <c r="AA104" s="91">
        <v>0</v>
      </c>
      <c r="AB104" s="91">
        <v>24.5</v>
      </c>
      <c r="AC104" s="91">
        <v>43.6</v>
      </c>
      <c r="AD104" s="91">
        <v>55</v>
      </c>
      <c r="AE104" s="91">
        <v>40.6</v>
      </c>
      <c r="AF104" s="91">
        <v>32</v>
      </c>
      <c r="AG104" s="153"/>
      <c r="AH104" s="54">
        <f t="shared" si="38"/>
        <v>55</v>
      </c>
      <c r="AI104" s="89">
        <f t="shared" si="39"/>
        <v>0.875</v>
      </c>
    </row>
    <row r="105" spans="1:37" ht="15.75" thickBot="1" x14ac:dyDescent="0.3">
      <c r="A105" s="171" t="s">
        <v>106</v>
      </c>
      <c r="B105" s="82">
        <v>104.6</v>
      </c>
      <c r="C105" s="82">
        <v>109.9</v>
      </c>
      <c r="D105" s="82">
        <v>111</v>
      </c>
      <c r="E105" s="82">
        <v>121.2</v>
      </c>
      <c r="F105" s="82">
        <v>117.3</v>
      </c>
      <c r="G105" s="82">
        <v>122.1</v>
      </c>
      <c r="H105" s="82">
        <v>87.4</v>
      </c>
      <c r="I105" s="82">
        <v>88.5</v>
      </c>
      <c r="J105" s="82">
        <v>104.5</v>
      </c>
      <c r="K105" s="82">
        <v>107.7</v>
      </c>
      <c r="L105" s="82">
        <v>106.1</v>
      </c>
      <c r="M105" s="82">
        <v>102.9</v>
      </c>
      <c r="N105" s="82">
        <v>102.4</v>
      </c>
      <c r="O105" s="82">
        <v>101</v>
      </c>
      <c r="P105" s="82">
        <v>100.2</v>
      </c>
      <c r="Q105" s="82">
        <v>98.7</v>
      </c>
      <c r="R105" s="82">
        <v>89.2</v>
      </c>
      <c r="S105" s="82">
        <v>89.2</v>
      </c>
      <c r="T105" s="82">
        <v>98.4</v>
      </c>
      <c r="U105" s="82">
        <v>105.3</v>
      </c>
      <c r="V105" s="82">
        <v>98</v>
      </c>
      <c r="W105" s="82">
        <v>102.3</v>
      </c>
      <c r="X105" s="82">
        <v>97.9</v>
      </c>
      <c r="Y105" s="82">
        <v>97.8</v>
      </c>
      <c r="Z105" s="82">
        <v>89.4</v>
      </c>
      <c r="AA105" s="82">
        <v>89.4</v>
      </c>
      <c r="AB105" s="82">
        <v>93.2</v>
      </c>
      <c r="AC105" s="82">
        <v>95.1</v>
      </c>
      <c r="AD105" s="82">
        <v>95.2</v>
      </c>
      <c r="AE105" s="82">
        <v>93</v>
      </c>
      <c r="AF105" s="82">
        <v>103.3</v>
      </c>
      <c r="AG105" s="153"/>
      <c r="AH105" s="54">
        <f t="shared" si="38"/>
        <v>122.1</v>
      </c>
      <c r="AI105" s="89">
        <f t="shared" si="39"/>
        <v>0.20833333333333301</v>
      </c>
    </row>
    <row r="106" spans="1:37" ht="15.75" thickBot="1" x14ac:dyDescent="0.3">
      <c r="A106" s="92" t="s">
        <v>79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154"/>
      <c r="AH106" s="94"/>
      <c r="AI106" s="55"/>
      <c r="AK106" s="56"/>
    </row>
    <row r="107" spans="1:37" x14ac:dyDescent="0.25">
      <c r="A107" s="162" t="s">
        <v>133</v>
      </c>
      <c r="B107" s="95"/>
      <c r="C107" s="53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6">
        <v>9.94</v>
      </c>
      <c r="AH107" s="54"/>
      <c r="AI107" s="55"/>
      <c r="AK107" s="56"/>
    </row>
    <row r="108" spans="1:37" x14ac:dyDescent="0.25">
      <c r="A108" s="163" t="s">
        <v>134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/>
      <c r="AH108" s="54"/>
      <c r="AI108" s="55"/>
      <c r="AK108" s="56"/>
    </row>
    <row r="109" spans="1:37" x14ac:dyDescent="0.25">
      <c r="A109" s="163" t="s">
        <v>135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136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137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138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139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140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141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142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143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144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145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146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147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148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149</v>
      </c>
      <c r="B123" s="97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9">
        <v>9.9</v>
      </c>
      <c r="AH123" s="54"/>
      <c r="AI123" s="55"/>
      <c r="AK123" s="56"/>
    </row>
    <row r="124" spans="1:37" x14ac:dyDescent="0.25">
      <c r="A124" s="164" t="s">
        <v>80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100">
        <v>9.6579999999999995</v>
      </c>
      <c r="AH124" s="54"/>
      <c r="AI124" s="55"/>
      <c r="AK124" s="56"/>
    </row>
    <row r="125" spans="1:37" x14ac:dyDescent="0.25">
      <c r="A125" s="164" t="s">
        <v>150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</v>
      </c>
      <c r="AH125" s="54"/>
      <c r="AI125" s="55"/>
      <c r="AK125" s="56"/>
    </row>
    <row r="126" spans="1:37" x14ac:dyDescent="0.25">
      <c r="A126" s="164" t="s">
        <v>151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9.51</v>
      </c>
      <c r="AH126" s="54"/>
      <c r="AI126" s="55"/>
      <c r="AK126" s="56"/>
    </row>
    <row r="127" spans="1:37" x14ac:dyDescent="0.25">
      <c r="A127" s="164" t="s">
        <v>152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9.4</v>
      </c>
      <c r="AH127" s="54"/>
      <c r="AI127" s="55"/>
      <c r="AK127" s="56"/>
    </row>
    <row r="128" spans="1:37" x14ac:dyDescent="0.25">
      <c r="A128" s="164" t="s">
        <v>153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8.8000000000000007</v>
      </c>
      <c r="AH128" s="54"/>
      <c r="AI128" s="55"/>
      <c r="AK128" s="56"/>
    </row>
    <row r="129" spans="1:37" x14ac:dyDescent="0.25">
      <c r="A129" s="164" t="s">
        <v>154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8.5</v>
      </c>
      <c r="AH129" s="54"/>
      <c r="AI129" s="55"/>
      <c r="AK129" s="56"/>
    </row>
    <row r="130" spans="1:37" x14ac:dyDescent="0.25">
      <c r="A130" s="164" t="s">
        <v>155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156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8.4</v>
      </c>
      <c r="AH131" s="54"/>
      <c r="AI131" s="55"/>
      <c r="AK131" s="56"/>
    </row>
    <row r="132" spans="1:37" ht="13.5" customHeight="1" x14ac:dyDescent="0.25">
      <c r="A132" s="164" t="s">
        <v>157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</v>
      </c>
      <c r="AH132" s="54"/>
      <c r="AI132" s="55"/>
      <c r="AK132" s="56"/>
    </row>
    <row r="133" spans="1:37" x14ac:dyDescent="0.25">
      <c r="A133" s="164" t="s">
        <v>158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159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160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7.8</v>
      </c>
      <c r="AH135" s="54"/>
      <c r="AI135" s="55"/>
      <c r="AK135" s="56"/>
    </row>
    <row r="136" spans="1:37" x14ac:dyDescent="0.25">
      <c r="A136" s="164" t="s">
        <v>161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7.6</v>
      </c>
      <c r="AH136" s="54"/>
      <c r="AI136" s="55"/>
      <c r="AK136" s="56"/>
    </row>
    <row r="137" spans="1:37" x14ac:dyDescent="0.25">
      <c r="A137" s="164" t="s">
        <v>162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7.5</v>
      </c>
      <c r="AH137" s="54"/>
      <c r="AI137" s="55"/>
      <c r="AK137" s="56"/>
    </row>
    <row r="138" spans="1:37" x14ac:dyDescent="0.25">
      <c r="A138" s="164" t="s">
        <v>163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164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</v>
      </c>
      <c r="AH139" s="54"/>
      <c r="AI139" s="55"/>
      <c r="AK139" s="56"/>
    </row>
    <row r="140" spans="1:37" x14ac:dyDescent="0.25">
      <c r="A140" s="164" t="s">
        <v>165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166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167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168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6.6</v>
      </c>
      <c r="AH143" s="54"/>
      <c r="AI143" s="55"/>
      <c r="AK143" s="56"/>
    </row>
    <row r="144" spans="1:37" x14ac:dyDescent="0.25">
      <c r="A144" s="164" t="s">
        <v>169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170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6.4</v>
      </c>
      <c r="AH145" s="54"/>
      <c r="AI145" s="55"/>
      <c r="AK145" s="56"/>
    </row>
    <row r="146" spans="1:37" x14ac:dyDescent="0.25">
      <c r="A146" s="164" t="s">
        <v>171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</v>
      </c>
      <c r="AH146" s="54"/>
      <c r="AI146" s="55"/>
      <c r="AK146" s="56"/>
    </row>
    <row r="147" spans="1:37" x14ac:dyDescent="0.25">
      <c r="A147" s="164" t="s">
        <v>172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5.0999999999999996</v>
      </c>
      <c r="AH147" s="54"/>
      <c r="AI147" s="55"/>
      <c r="AK147" s="56"/>
    </row>
    <row r="148" spans="1:37" x14ac:dyDescent="0.25">
      <c r="A148" s="164" t="s">
        <v>173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</v>
      </c>
      <c r="AH148" s="54"/>
      <c r="AI148" s="55"/>
      <c r="AK148" s="56"/>
    </row>
    <row r="149" spans="1:37" x14ac:dyDescent="0.25">
      <c r="A149" s="163" t="s">
        <v>174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9">
        <v>5</v>
      </c>
      <c r="AH149" s="54"/>
      <c r="AI149" s="55"/>
      <c r="AK149" s="56"/>
    </row>
    <row r="150" spans="1:37" x14ac:dyDescent="0.25">
      <c r="A150" s="164" t="s">
        <v>175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100">
        <v>5</v>
      </c>
      <c r="AH150" s="54"/>
      <c r="AI150" s="55"/>
      <c r="AK150" s="56"/>
    </row>
    <row r="151" spans="1:37" x14ac:dyDescent="0.25">
      <c r="A151" s="164" t="s">
        <v>176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177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178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179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180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4.9930000000000003</v>
      </c>
      <c r="AH155" s="54"/>
      <c r="AI155" s="55"/>
      <c r="AK155" s="56"/>
    </row>
    <row r="156" spans="1:37" x14ac:dyDescent="0.25">
      <c r="A156" s="164" t="s">
        <v>181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4.9800000000000004</v>
      </c>
      <c r="AH156" s="54"/>
      <c r="AI156" s="55"/>
      <c r="AK156" s="56"/>
    </row>
    <row r="157" spans="1:37" x14ac:dyDescent="0.25">
      <c r="A157" s="164" t="s">
        <v>182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4.95</v>
      </c>
      <c r="AH157" s="54"/>
      <c r="AI157" s="55"/>
      <c r="AK157" s="56"/>
    </row>
    <row r="158" spans="1:37" x14ac:dyDescent="0.25">
      <c r="A158" s="164" t="s">
        <v>81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183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4.8</v>
      </c>
      <c r="AH159" s="54"/>
      <c r="AI159" s="55"/>
      <c r="AK159" s="56"/>
    </row>
    <row r="160" spans="1:37" x14ac:dyDescent="0.25">
      <c r="A160" s="164" t="s">
        <v>184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185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186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4.5</v>
      </c>
      <c r="AH162" s="54"/>
      <c r="AI162" s="55"/>
      <c r="AK162" s="56"/>
    </row>
    <row r="163" spans="1:37" x14ac:dyDescent="0.25">
      <c r="A163" s="164" t="s">
        <v>187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188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4.4550000000000001</v>
      </c>
      <c r="AH164" s="54"/>
      <c r="AI164" s="55"/>
      <c r="AK164" s="56"/>
    </row>
    <row r="165" spans="1:37" x14ac:dyDescent="0.25">
      <c r="A165" s="164" t="s">
        <v>189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4.41</v>
      </c>
      <c r="AH165" s="54"/>
      <c r="AI165" s="55"/>
      <c r="AK165" s="56"/>
    </row>
    <row r="166" spans="1:37" x14ac:dyDescent="0.25">
      <c r="A166" s="164" t="s">
        <v>190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4.4000000000000004</v>
      </c>
      <c r="AH166" s="54"/>
      <c r="AI166" s="55"/>
      <c r="AK166" s="56"/>
    </row>
    <row r="167" spans="1:37" x14ac:dyDescent="0.25">
      <c r="A167" s="164" t="s">
        <v>191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4.3600000000000003</v>
      </c>
      <c r="AH167" s="54"/>
      <c r="AI167" s="55"/>
      <c r="AK167" s="56"/>
    </row>
    <row r="168" spans="1:37" x14ac:dyDescent="0.25">
      <c r="A168" s="164" t="s">
        <v>192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4.2</v>
      </c>
      <c r="AH168" s="54"/>
      <c r="AI168" s="55"/>
      <c r="AK168" s="56"/>
    </row>
    <row r="169" spans="1:37" x14ac:dyDescent="0.25">
      <c r="A169" s="164" t="s">
        <v>193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</v>
      </c>
      <c r="AH169" s="54"/>
      <c r="AI169" s="55"/>
      <c r="AK169" s="56"/>
    </row>
    <row r="170" spans="1:37" x14ac:dyDescent="0.25">
      <c r="A170" s="164" t="s">
        <v>194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195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196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197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198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199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200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201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3.75</v>
      </c>
      <c r="AH177" s="54"/>
      <c r="AI177" s="55"/>
      <c r="AK177" s="56"/>
    </row>
    <row r="178" spans="1:37" x14ac:dyDescent="0.25">
      <c r="A178" s="164" t="s">
        <v>202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3.52</v>
      </c>
      <c r="AH178" s="54"/>
      <c r="AI178" s="55"/>
      <c r="AK178" s="56"/>
    </row>
    <row r="179" spans="1:37" x14ac:dyDescent="0.25">
      <c r="A179" s="164" t="s">
        <v>203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3.33</v>
      </c>
      <c r="AH179" s="54"/>
      <c r="AI179" s="55"/>
      <c r="AK179" s="56"/>
    </row>
    <row r="180" spans="1:37" x14ac:dyDescent="0.25">
      <c r="A180" s="164" t="s">
        <v>204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3.2</v>
      </c>
      <c r="AH180" s="54"/>
      <c r="AI180" s="55"/>
      <c r="AK180" s="56"/>
    </row>
    <row r="181" spans="1:37" x14ac:dyDescent="0.25">
      <c r="A181" s="164" t="s">
        <v>205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</v>
      </c>
      <c r="AH181" s="54"/>
      <c r="AI181" s="55"/>
      <c r="AK181" s="56"/>
    </row>
    <row r="182" spans="1:37" x14ac:dyDescent="0.25">
      <c r="A182" s="164" t="s">
        <v>206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207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208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209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210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211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212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213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2.83</v>
      </c>
      <c r="AH189" s="54"/>
      <c r="AI189" s="55"/>
      <c r="AK189" s="56"/>
    </row>
    <row r="190" spans="1:37" x14ac:dyDescent="0.25">
      <c r="A190" s="164" t="s">
        <v>214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2.5</v>
      </c>
      <c r="AH190" s="54"/>
      <c r="AI190" s="55"/>
      <c r="AK190" s="56"/>
    </row>
    <row r="191" spans="1:37" x14ac:dyDescent="0.25">
      <c r="A191" s="164" t="s">
        <v>215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216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2.4</v>
      </c>
      <c r="AH192" s="54"/>
      <c r="AI192" s="55"/>
      <c r="AK192" s="56"/>
    </row>
    <row r="193" spans="1:37" x14ac:dyDescent="0.25">
      <c r="A193" s="164" t="s">
        <v>217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218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2.2000000000000002</v>
      </c>
      <c r="AH194" s="54"/>
      <c r="AI194" s="55"/>
      <c r="AK194" s="56"/>
    </row>
    <row r="195" spans="1:37" x14ac:dyDescent="0.25">
      <c r="A195" s="164" t="s">
        <v>219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</v>
      </c>
      <c r="AH195" s="54"/>
      <c r="AI195" s="55"/>
      <c r="AK195" s="56"/>
    </row>
    <row r="196" spans="1:37" x14ac:dyDescent="0.25">
      <c r="A196" s="164" t="s">
        <v>220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221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222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1.8</v>
      </c>
      <c r="AH198" s="54"/>
      <c r="AI198" s="55"/>
      <c r="AK198" s="56"/>
    </row>
    <row r="199" spans="1:37" x14ac:dyDescent="0.25">
      <c r="A199" s="164" t="s">
        <v>223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224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1.65</v>
      </c>
      <c r="AH200" s="54"/>
      <c r="AI200" s="55"/>
      <c r="AK200" s="56"/>
    </row>
    <row r="201" spans="1:37" x14ac:dyDescent="0.25">
      <c r="A201" s="164" t="s">
        <v>225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1.5</v>
      </c>
      <c r="AH201" s="54"/>
      <c r="AI201" s="55"/>
      <c r="AK201" s="56"/>
    </row>
    <row r="202" spans="1:37" x14ac:dyDescent="0.25">
      <c r="A202" s="164" t="s">
        <v>226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0.998</v>
      </c>
      <c r="AH202" s="54"/>
      <c r="AI202" s="55"/>
      <c r="AK202" s="56"/>
    </row>
    <row r="203" spans="1:37" x14ac:dyDescent="0.25">
      <c r="A203" s="164" t="s">
        <v>227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0.997</v>
      </c>
      <c r="AH203" s="54"/>
      <c r="AI203" s="55"/>
      <c r="AK203" s="56"/>
    </row>
    <row r="204" spans="1:37" x14ac:dyDescent="0.25">
      <c r="A204" s="164" t="s">
        <v>228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229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0.996</v>
      </c>
      <c r="AH205" s="54"/>
      <c r="AI205" s="55"/>
      <c r="AK205" s="56"/>
    </row>
    <row r="206" spans="1:37" x14ac:dyDescent="0.25">
      <c r="A206" s="164" t="s">
        <v>230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231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232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0.995</v>
      </c>
      <c r="AH208" s="54"/>
      <c r="AI208" s="55"/>
      <c r="AK208" s="56"/>
    </row>
    <row r="209" spans="1:37" x14ac:dyDescent="0.25">
      <c r="A209" s="164" t="s">
        <v>233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0.99299999999999999</v>
      </c>
      <c r="AH209" s="54"/>
      <c r="AI209" s="55"/>
      <c r="AK209" s="56"/>
    </row>
    <row r="210" spans="1:37" x14ac:dyDescent="0.25">
      <c r="A210" s="164" t="s">
        <v>234</v>
      </c>
      <c r="B210" s="97"/>
      <c r="C210" s="53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</v>
      </c>
      <c r="AH210" s="54"/>
      <c r="AI210" s="55"/>
      <c r="AK210" s="56"/>
    </row>
    <row r="211" spans="1:37" ht="15.75" thickBot="1" x14ac:dyDescent="0.3">
      <c r="A211" s="164" t="s">
        <v>235</v>
      </c>
      <c r="B211" s="102"/>
      <c r="C211" s="166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0">
        <v>0.97899999999999998</v>
      </c>
      <c r="AH211" s="54"/>
      <c r="AI211" s="55"/>
      <c r="AK211" s="56"/>
    </row>
    <row r="212" spans="1:37" ht="15.75" thickBot="1" x14ac:dyDescent="0.3">
      <c r="A212" s="165" t="s">
        <v>82</v>
      </c>
      <c r="B212" s="167">
        <f>SUM(B107:B211)</f>
        <v>0</v>
      </c>
      <c r="C212" s="103">
        <f t="shared" ref="C212:AG212" si="40">SUM(C107:C211)</f>
        <v>0</v>
      </c>
      <c r="D212" s="103">
        <f t="shared" si="40"/>
        <v>0</v>
      </c>
      <c r="E212" s="103">
        <f t="shared" si="40"/>
        <v>0</v>
      </c>
      <c r="F212" s="103">
        <f t="shared" si="40"/>
        <v>0</v>
      </c>
      <c r="G212" s="103">
        <f t="shared" si="40"/>
        <v>0</v>
      </c>
      <c r="H212" s="103">
        <f t="shared" si="40"/>
        <v>0</v>
      </c>
      <c r="I212" s="103">
        <f t="shared" si="40"/>
        <v>0</v>
      </c>
      <c r="J212" s="103">
        <f t="shared" si="40"/>
        <v>0</v>
      </c>
      <c r="K212" s="103">
        <f t="shared" si="40"/>
        <v>0</v>
      </c>
      <c r="L212" s="103">
        <f t="shared" si="40"/>
        <v>0</v>
      </c>
      <c r="M212" s="103">
        <f t="shared" si="40"/>
        <v>0</v>
      </c>
      <c r="N212" s="103">
        <f t="shared" si="40"/>
        <v>0</v>
      </c>
      <c r="O212" s="103">
        <f t="shared" si="40"/>
        <v>0</v>
      </c>
      <c r="P212" s="103">
        <f t="shared" si="40"/>
        <v>0</v>
      </c>
      <c r="Q212" s="103">
        <f t="shared" si="40"/>
        <v>0</v>
      </c>
      <c r="R212" s="103">
        <f t="shared" si="40"/>
        <v>0</v>
      </c>
      <c r="S212" s="103">
        <f t="shared" si="40"/>
        <v>0</v>
      </c>
      <c r="T212" s="103">
        <f t="shared" si="40"/>
        <v>0</v>
      </c>
      <c r="U212" s="103">
        <f t="shared" si="40"/>
        <v>0</v>
      </c>
      <c r="V212" s="103">
        <f t="shared" si="40"/>
        <v>0</v>
      </c>
      <c r="W212" s="103">
        <f t="shared" si="40"/>
        <v>0</v>
      </c>
      <c r="X212" s="103">
        <f t="shared" si="40"/>
        <v>0</v>
      </c>
      <c r="Y212" s="103">
        <f t="shared" si="40"/>
        <v>0</v>
      </c>
      <c r="Z212" s="103">
        <f t="shared" si="40"/>
        <v>0</v>
      </c>
      <c r="AA212" s="103">
        <f t="shared" si="40"/>
        <v>0</v>
      </c>
      <c r="AB212" s="103">
        <f t="shared" si="40"/>
        <v>0</v>
      </c>
      <c r="AC212" s="103">
        <f t="shared" si="40"/>
        <v>0</v>
      </c>
      <c r="AD212" s="103">
        <f t="shared" si="40"/>
        <v>0</v>
      </c>
      <c r="AE212" s="103">
        <f t="shared" si="40"/>
        <v>0</v>
      </c>
      <c r="AF212" s="168">
        <f t="shared" si="40"/>
        <v>0</v>
      </c>
      <c r="AG212" s="169">
        <f t="shared" si="40"/>
        <v>412.72299999999984</v>
      </c>
      <c r="AH212" s="54"/>
      <c r="AI212" s="55"/>
      <c r="AK212" s="56"/>
    </row>
    <row r="213" spans="1:37" ht="15.75" thickBot="1" x14ac:dyDescent="0.3">
      <c r="A213" s="28" t="s">
        <v>35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149"/>
      <c r="AH213" s="54"/>
      <c r="AI213" s="55"/>
      <c r="AK213" s="56"/>
    </row>
    <row r="214" spans="1:37" x14ac:dyDescent="0.25">
      <c r="A214" s="170" t="s">
        <v>83</v>
      </c>
      <c r="B214" s="101">
        <f t="shared" ref="B214:B219" si="41">AF214</f>
        <v>0</v>
      </c>
      <c r="C214" s="101">
        <v>0.3</v>
      </c>
      <c r="D214" s="101">
        <f t="shared" ref="D214:P219" si="42">C214</f>
        <v>0.3</v>
      </c>
      <c r="E214" s="101">
        <f t="shared" si="42"/>
        <v>0.3</v>
      </c>
      <c r="F214" s="101">
        <f t="shared" si="42"/>
        <v>0.3</v>
      </c>
      <c r="G214" s="101">
        <f t="shared" si="42"/>
        <v>0.3</v>
      </c>
      <c r="H214" s="101">
        <f t="shared" si="42"/>
        <v>0.3</v>
      </c>
      <c r="I214" s="101">
        <f t="shared" si="42"/>
        <v>0.3</v>
      </c>
      <c r="J214" s="101">
        <f t="shared" si="42"/>
        <v>0.3</v>
      </c>
      <c r="K214" s="101">
        <f t="shared" si="42"/>
        <v>0.3</v>
      </c>
      <c r="L214" s="101">
        <f t="shared" si="42"/>
        <v>0.3</v>
      </c>
      <c r="M214" s="101">
        <f t="shared" si="42"/>
        <v>0.3</v>
      </c>
      <c r="N214" s="101">
        <f t="shared" si="42"/>
        <v>0.3</v>
      </c>
      <c r="O214" s="101">
        <f t="shared" si="42"/>
        <v>0.3</v>
      </c>
      <c r="P214" s="101">
        <f t="shared" si="42"/>
        <v>0.3</v>
      </c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55">
        <v>2.4</v>
      </c>
      <c r="AH214" s="54"/>
      <c r="AI214" s="55"/>
      <c r="AK214" s="56"/>
    </row>
    <row r="215" spans="1:37" x14ac:dyDescent="0.25">
      <c r="A215" s="163" t="s">
        <v>84</v>
      </c>
      <c r="B215" s="97">
        <f t="shared" si="41"/>
        <v>0</v>
      </c>
      <c r="C215" s="97">
        <v>0.4</v>
      </c>
      <c r="D215" s="97">
        <f t="shared" si="42"/>
        <v>0.4</v>
      </c>
      <c r="E215" s="97">
        <f t="shared" si="42"/>
        <v>0.4</v>
      </c>
      <c r="F215" s="97">
        <f t="shared" si="42"/>
        <v>0.4</v>
      </c>
      <c r="G215" s="97">
        <f t="shared" si="42"/>
        <v>0.4</v>
      </c>
      <c r="H215" s="97">
        <f t="shared" si="42"/>
        <v>0.4</v>
      </c>
      <c r="I215" s="97">
        <f t="shared" si="42"/>
        <v>0.4</v>
      </c>
      <c r="J215" s="97">
        <f t="shared" si="42"/>
        <v>0.4</v>
      </c>
      <c r="K215" s="97">
        <f t="shared" si="42"/>
        <v>0.4</v>
      </c>
      <c r="L215" s="97">
        <f t="shared" si="42"/>
        <v>0.4</v>
      </c>
      <c r="M215" s="97">
        <f t="shared" si="42"/>
        <v>0.4</v>
      </c>
      <c r="N215" s="97">
        <f t="shared" si="42"/>
        <v>0.4</v>
      </c>
      <c r="O215" s="97">
        <f t="shared" si="42"/>
        <v>0.4</v>
      </c>
      <c r="P215" s="97">
        <f t="shared" si="42"/>
        <v>0.4</v>
      </c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56">
        <v>2</v>
      </c>
      <c r="AH215" s="54"/>
      <c r="AI215" s="55"/>
      <c r="AK215" s="56"/>
    </row>
    <row r="216" spans="1:37" x14ac:dyDescent="0.25">
      <c r="A216" s="163" t="s">
        <v>85</v>
      </c>
      <c r="B216" s="97">
        <f t="shared" si="41"/>
        <v>0</v>
      </c>
      <c r="C216" s="97">
        <v>1.5</v>
      </c>
      <c r="D216" s="97">
        <f t="shared" si="42"/>
        <v>1.5</v>
      </c>
      <c r="E216" s="97">
        <f t="shared" si="42"/>
        <v>1.5</v>
      </c>
      <c r="F216" s="97">
        <f t="shared" si="42"/>
        <v>1.5</v>
      </c>
      <c r="G216" s="97">
        <f t="shared" si="42"/>
        <v>1.5</v>
      </c>
      <c r="H216" s="97">
        <f t="shared" si="42"/>
        <v>1.5</v>
      </c>
      <c r="I216" s="97">
        <f t="shared" si="42"/>
        <v>1.5</v>
      </c>
      <c r="J216" s="97">
        <f t="shared" si="42"/>
        <v>1.5</v>
      </c>
      <c r="K216" s="97">
        <f t="shared" si="42"/>
        <v>1.5</v>
      </c>
      <c r="L216" s="97">
        <f t="shared" si="42"/>
        <v>1.5</v>
      </c>
      <c r="M216" s="97">
        <f t="shared" si="42"/>
        <v>1.5</v>
      </c>
      <c r="N216" s="97">
        <f t="shared" si="42"/>
        <v>1.5</v>
      </c>
      <c r="O216" s="97">
        <f t="shared" si="42"/>
        <v>1.5</v>
      </c>
      <c r="P216" s="97">
        <f t="shared" si="42"/>
        <v>1.5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1.5</v>
      </c>
      <c r="AH216" s="54"/>
      <c r="AI216" s="55"/>
      <c r="AK216" s="56"/>
    </row>
    <row r="217" spans="1:37" x14ac:dyDescent="0.25">
      <c r="A217" s="163" t="s">
        <v>86</v>
      </c>
      <c r="B217" s="97">
        <f t="shared" si="41"/>
        <v>0</v>
      </c>
      <c r="C217" s="97">
        <v>0.3</v>
      </c>
      <c r="D217" s="97">
        <f t="shared" si="42"/>
        <v>0.3</v>
      </c>
      <c r="E217" s="97">
        <f t="shared" si="42"/>
        <v>0.3</v>
      </c>
      <c r="F217" s="97">
        <f t="shared" si="42"/>
        <v>0.3</v>
      </c>
      <c r="G217" s="97">
        <f t="shared" si="42"/>
        <v>0.3</v>
      </c>
      <c r="H217" s="97">
        <f t="shared" si="42"/>
        <v>0.3</v>
      </c>
      <c r="I217" s="97">
        <f t="shared" si="42"/>
        <v>0.3</v>
      </c>
      <c r="J217" s="97">
        <f t="shared" si="42"/>
        <v>0.3</v>
      </c>
      <c r="K217" s="97">
        <f t="shared" si="42"/>
        <v>0.3</v>
      </c>
      <c r="L217" s="97">
        <f t="shared" si="42"/>
        <v>0.3</v>
      </c>
      <c r="M217" s="97">
        <f t="shared" si="42"/>
        <v>0.3</v>
      </c>
      <c r="N217" s="97">
        <f t="shared" si="42"/>
        <v>0.3</v>
      </c>
      <c r="O217" s="97">
        <f t="shared" si="42"/>
        <v>0.3</v>
      </c>
      <c r="P217" s="97">
        <f t="shared" si="42"/>
        <v>0.3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</v>
      </c>
      <c r="AH217" s="54"/>
      <c r="AI217" s="55"/>
      <c r="AK217" s="56"/>
    </row>
    <row r="218" spans="1:37" x14ac:dyDescent="0.25">
      <c r="A218" s="163" t="s">
        <v>87</v>
      </c>
      <c r="B218" s="97">
        <f t="shared" si="41"/>
        <v>0</v>
      </c>
      <c r="C218" s="97">
        <v>0.4</v>
      </c>
      <c r="D218" s="97">
        <f t="shared" si="42"/>
        <v>0.4</v>
      </c>
      <c r="E218" s="97">
        <f t="shared" si="42"/>
        <v>0.4</v>
      </c>
      <c r="F218" s="97">
        <f t="shared" si="42"/>
        <v>0.4</v>
      </c>
      <c r="G218" s="97">
        <f t="shared" si="42"/>
        <v>0.4</v>
      </c>
      <c r="H218" s="97">
        <f t="shared" si="42"/>
        <v>0.4</v>
      </c>
      <c r="I218" s="97">
        <f t="shared" si="42"/>
        <v>0.4</v>
      </c>
      <c r="J218" s="97">
        <f t="shared" si="42"/>
        <v>0.4</v>
      </c>
      <c r="K218" s="97">
        <f t="shared" si="42"/>
        <v>0.4</v>
      </c>
      <c r="L218" s="97">
        <f t="shared" si="42"/>
        <v>0.4</v>
      </c>
      <c r="M218" s="97">
        <f t="shared" si="42"/>
        <v>0.4</v>
      </c>
      <c r="N218" s="97">
        <f t="shared" si="42"/>
        <v>0.4</v>
      </c>
      <c r="O218" s="97">
        <f t="shared" si="42"/>
        <v>0.4</v>
      </c>
      <c r="P218" s="97">
        <f t="shared" si="42"/>
        <v>0.4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ht="15.75" thickBot="1" x14ac:dyDescent="0.3">
      <c r="A219" s="164" t="s">
        <v>88</v>
      </c>
      <c r="B219" s="102">
        <f t="shared" si="41"/>
        <v>0</v>
      </c>
      <c r="C219" s="102">
        <v>0.64</v>
      </c>
      <c r="D219" s="102">
        <f t="shared" si="42"/>
        <v>0.64</v>
      </c>
      <c r="E219" s="102">
        <f t="shared" si="42"/>
        <v>0.64</v>
      </c>
      <c r="F219" s="102">
        <f t="shared" si="42"/>
        <v>0.64</v>
      </c>
      <c r="G219" s="102">
        <f t="shared" si="42"/>
        <v>0.64</v>
      </c>
      <c r="H219" s="102">
        <f t="shared" si="42"/>
        <v>0.64</v>
      </c>
      <c r="I219" s="102">
        <f t="shared" si="42"/>
        <v>0.64</v>
      </c>
      <c r="J219" s="102">
        <f t="shared" si="42"/>
        <v>0.64</v>
      </c>
      <c r="K219" s="102">
        <f t="shared" si="42"/>
        <v>0.64</v>
      </c>
      <c r="L219" s="102">
        <f t="shared" si="42"/>
        <v>0.64</v>
      </c>
      <c r="M219" s="102">
        <f t="shared" si="42"/>
        <v>0.64</v>
      </c>
      <c r="N219" s="102">
        <f t="shared" si="42"/>
        <v>0.64</v>
      </c>
      <c r="O219" s="102">
        <f t="shared" si="42"/>
        <v>0.64</v>
      </c>
      <c r="P219" s="102">
        <f t="shared" si="42"/>
        <v>0.64</v>
      </c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57">
        <v>0.66</v>
      </c>
      <c r="AH219" s="54"/>
      <c r="AI219" s="55"/>
    </row>
    <row r="220" spans="1:37" ht="15.75" thickBot="1" x14ac:dyDescent="0.3">
      <c r="A220" s="173" t="s">
        <v>35</v>
      </c>
      <c r="B220" s="103">
        <f>SUM(B214:B219)</f>
        <v>0</v>
      </c>
      <c r="C220" s="103">
        <f>SUM(C214:C219)</f>
        <v>3.54</v>
      </c>
      <c r="D220" s="103">
        <f t="shared" ref="D220:L220" si="43">SUM(D214:D219)</f>
        <v>3.54</v>
      </c>
      <c r="E220" s="103">
        <f t="shared" si="43"/>
        <v>3.54</v>
      </c>
      <c r="F220" s="103">
        <f t="shared" si="43"/>
        <v>3.54</v>
      </c>
      <c r="G220" s="103">
        <f t="shared" si="43"/>
        <v>3.54</v>
      </c>
      <c r="H220" s="103">
        <f t="shared" si="43"/>
        <v>3.54</v>
      </c>
      <c r="I220" s="103">
        <f t="shared" si="43"/>
        <v>3.54</v>
      </c>
      <c r="J220" s="103">
        <f t="shared" si="43"/>
        <v>3.54</v>
      </c>
      <c r="K220" s="103">
        <f t="shared" si="43"/>
        <v>3.54</v>
      </c>
      <c r="L220" s="103">
        <f t="shared" si="43"/>
        <v>3.54</v>
      </c>
      <c r="M220" s="103">
        <f>SUM(M214:M219)</f>
        <v>3.54</v>
      </c>
      <c r="N220" s="103">
        <f t="shared" ref="N220:S220" si="44">SUM(N214:N219)</f>
        <v>3.54</v>
      </c>
      <c r="O220" s="103">
        <f t="shared" si="44"/>
        <v>3.54</v>
      </c>
      <c r="P220" s="103">
        <f t="shared" si="44"/>
        <v>3.54</v>
      </c>
      <c r="Q220" s="103">
        <f t="shared" si="44"/>
        <v>0</v>
      </c>
      <c r="R220" s="103">
        <f t="shared" si="44"/>
        <v>0</v>
      </c>
      <c r="S220" s="103">
        <f t="shared" si="44"/>
        <v>0</v>
      </c>
      <c r="T220" s="103">
        <f>SUM(T214:T219)</f>
        <v>0</v>
      </c>
      <c r="U220" s="103">
        <f t="shared" ref="U220:AG220" si="45">SUM(U214:U219)</f>
        <v>0</v>
      </c>
      <c r="V220" s="103">
        <f t="shared" si="45"/>
        <v>0</v>
      </c>
      <c r="W220" s="103">
        <f t="shared" si="45"/>
        <v>0</v>
      </c>
      <c r="X220" s="103">
        <f t="shared" si="45"/>
        <v>0</v>
      </c>
      <c r="Y220" s="103">
        <f t="shared" si="45"/>
        <v>0</v>
      </c>
      <c r="Z220" s="103">
        <f t="shared" si="45"/>
        <v>0</v>
      </c>
      <c r="AA220" s="103">
        <f t="shared" si="45"/>
        <v>0</v>
      </c>
      <c r="AB220" s="103">
        <f t="shared" si="45"/>
        <v>0</v>
      </c>
      <c r="AC220" s="103">
        <f t="shared" si="45"/>
        <v>0</v>
      </c>
      <c r="AD220" s="103">
        <f t="shared" si="45"/>
        <v>0</v>
      </c>
      <c r="AE220" s="103">
        <f t="shared" si="45"/>
        <v>0</v>
      </c>
      <c r="AF220" s="103">
        <f t="shared" si="45"/>
        <v>0</v>
      </c>
      <c r="AG220" s="158">
        <f t="shared" si="45"/>
        <v>8.56</v>
      </c>
      <c r="AH220" s="54"/>
      <c r="AI220" s="55"/>
    </row>
    <row r="221" spans="1:37" ht="15.75" thickBot="1" x14ac:dyDescent="0.3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84"/>
      <c r="AH221" s="47"/>
    </row>
    <row r="222" spans="1:37" x14ac:dyDescent="0.25">
      <c r="A222" s="79" t="s">
        <v>89</v>
      </c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5"/>
      <c r="AG222" s="47"/>
      <c r="AH222" s="54"/>
      <c r="AI222" s="55"/>
    </row>
    <row r="223" spans="1:37" x14ac:dyDescent="0.25">
      <c r="A223" s="106" t="s">
        <v>90</v>
      </c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8"/>
      <c r="AG223" s="109"/>
      <c r="AH223" s="54"/>
      <c r="AI223" s="55"/>
    </row>
    <row r="224" spans="1:37" x14ac:dyDescent="0.25">
      <c r="A224" s="81" t="s">
        <v>91</v>
      </c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1"/>
      <c r="AG224" s="109"/>
      <c r="AH224" s="54"/>
      <c r="AI224" s="55"/>
    </row>
    <row r="225" spans="1:50" x14ac:dyDescent="0.25">
      <c r="A225" s="81" t="s">
        <v>92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ht="15.75" thickBot="1" x14ac:dyDescent="0.3">
      <c r="A226" s="112" t="s">
        <v>93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4"/>
      <c r="AG226" s="109"/>
      <c r="AH226" s="54"/>
      <c r="AI226" s="55"/>
    </row>
    <row r="227" spans="1:50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50" x14ac:dyDescent="0.25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50" x14ac:dyDescent="0.25">
      <c r="A229" s="115" t="s">
        <v>94</v>
      </c>
      <c r="B229" s="116">
        <f>MAX(G79:N79)</f>
        <v>1713.64</v>
      </c>
      <c r="C229" s="117">
        <f>INDEX(G9:N9,1,MATCH(MAX(G79:N79),G79:N79,0))</f>
        <v>0.3125</v>
      </c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50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118" t="str">
        <f ca="1">MID(CELL("filename",C7),FIND("]",CELL("filename",C7))+1,600)</f>
        <v>14</v>
      </c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50" x14ac:dyDescent="0.25">
      <c r="A231" s="208" t="s">
        <v>95</v>
      </c>
      <c r="B231" s="208"/>
      <c r="C231" s="47"/>
      <c r="D231" s="118" t="str">
        <f ca="1">"Pie Chart of Daily Peak Demand(Inclusive of Export) of Nepal ("&amp;A4&amp;" "&amp;B4&amp;")"</f>
        <v>Pie Chart of Daily Peak Demand(Inclusive of Export) of Nepal (Nepali Date: 2079/02/14)</v>
      </c>
      <c r="E231" s="47"/>
      <c r="F231" s="47"/>
      <c r="G231" s="118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118" t="str">
        <f ca="1">"Daily Load Curve(Excluding of Export) of Nepal ("&amp;A4&amp;" "&amp;B4&amp;")"</f>
        <v>Daily Load Curve(Excluding of Export) of Nepal (Nepali Date: 2079/02/14)</v>
      </c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50" ht="12.75" customHeight="1" thickBot="1" x14ac:dyDescent="0.3">
      <c r="A232" s="119" t="s">
        <v>7</v>
      </c>
      <c r="B232" s="120"/>
      <c r="C232" s="47"/>
      <c r="D232" s="121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50" ht="15.75" thickTop="1" x14ac:dyDescent="0.25">
      <c r="A233" s="119" t="s">
        <v>96</v>
      </c>
      <c r="B233" s="120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122" t="s">
        <v>97</v>
      </c>
      <c r="T233" s="123">
        <v>0</v>
      </c>
      <c r="U233" s="124">
        <v>4.1666666666666664E-2</v>
      </c>
      <c r="V233" s="125">
        <v>8.3333333333333301E-2</v>
      </c>
      <c r="W233" s="125">
        <v>0.125</v>
      </c>
      <c r="X233" s="125">
        <v>0.16666666666666699</v>
      </c>
      <c r="Y233" s="125">
        <v>0.20833333333333301</v>
      </c>
      <c r="Z233" s="125">
        <v>0.22916666666666666</v>
      </c>
      <c r="AA233" s="125">
        <v>0.25</v>
      </c>
      <c r="AB233" s="125">
        <v>0.27083333333333331</v>
      </c>
      <c r="AC233" s="125">
        <v>0.29166666666666669</v>
      </c>
      <c r="AD233" s="125">
        <v>0.3125</v>
      </c>
      <c r="AE233" s="126">
        <v>0.33333333333333331</v>
      </c>
      <c r="AF233" s="126">
        <v>0.375</v>
      </c>
      <c r="AG233" s="126">
        <v>0.41666666666666702</v>
      </c>
      <c r="AH233" s="126">
        <v>0.45833333333333298</v>
      </c>
      <c r="AI233" s="126">
        <v>0.5</v>
      </c>
      <c r="AJ233" s="126">
        <v>0.54166666666666696</v>
      </c>
      <c r="AK233" s="126">
        <v>0.58333333333333304</v>
      </c>
      <c r="AL233" s="126">
        <v>0.625</v>
      </c>
      <c r="AM233" s="126">
        <v>0.66666666666666696</v>
      </c>
      <c r="AN233" s="126">
        <v>0.70833333333333304</v>
      </c>
      <c r="AO233" s="126">
        <v>0.72916666666666663</v>
      </c>
      <c r="AP233" s="126">
        <v>0.75</v>
      </c>
      <c r="AQ233" s="126">
        <v>0.77083333333333337</v>
      </c>
      <c r="AR233" s="126">
        <v>0.79166666666666663</v>
      </c>
      <c r="AS233" s="126">
        <v>0.8125</v>
      </c>
      <c r="AT233" s="125">
        <v>0.83333333333333337</v>
      </c>
      <c r="AU233" s="125">
        <v>0.85416666666666663</v>
      </c>
      <c r="AV233" s="125">
        <v>0.875</v>
      </c>
      <c r="AW233" s="125">
        <v>0.91666666666666696</v>
      </c>
      <c r="AX233" s="125">
        <v>0.95833333333333304</v>
      </c>
    </row>
    <row r="234" spans="1:50" x14ac:dyDescent="0.25">
      <c r="A234" s="119" t="s">
        <v>98</v>
      </c>
      <c r="B234" s="120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 t="s">
        <v>99</v>
      </c>
      <c r="T234" s="127">
        <f t="shared" ref="T234:AX234" si="46">B79</f>
        <v>1771.44</v>
      </c>
      <c r="U234" s="127">
        <f t="shared" si="46"/>
        <v>1456.14</v>
      </c>
      <c r="V234" s="127">
        <f t="shared" si="46"/>
        <v>1459.94</v>
      </c>
      <c r="W234" s="127">
        <f t="shared" si="46"/>
        <v>1658.64</v>
      </c>
      <c r="X234" s="127">
        <f t="shared" si="46"/>
        <v>1585.6399999999999</v>
      </c>
      <c r="Y234" s="127">
        <f t="shared" si="46"/>
        <v>1588.64</v>
      </c>
      <c r="Z234" s="127">
        <f t="shared" si="46"/>
        <v>1633.64</v>
      </c>
      <c r="AA234" s="127">
        <f t="shared" si="46"/>
        <v>1621.0400000000002</v>
      </c>
      <c r="AB234" s="127">
        <f t="shared" si="46"/>
        <v>1645.54</v>
      </c>
      <c r="AC234" s="127">
        <f t="shared" si="46"/>
        <v>1625.74</v>
      </c>
      <c r="AD234" s="127">
        <f t="shared" si="46"/>
        <v>1713.64</v>
      </c>
      <c r="AE234" s="127">
        <f t="shared" si="46"/>
        <v>1707.34</v>
      </c>
      <c r="AF234" s="127">
        <f t="shared" si="46"/>
        <v>1688.94</v>
      </c>
      <c r="AG234" s="127">
        <f t="shared" si="46"/>
        <v>1693.8400000000001</v>
      </c>
      <c r="AH234" s="127">
        <f t="shared" si="46"/>
        <v>1668.54</v>
      </c>
      <c r="AI234" s="127">
        <f t="shared" si="46"/>
        <v>1627.5400000000002</v>
      </c>
      <c r="AJ234" s="127">
        <f t="shared" si="46"/>
        <v>1618.84</v>
      </c>
      <c r="AK234" s="127">
        <f t="shared" si="46"/>
        <v>1630.6399999999999</v>
      </c>
      <c r="AL234" s="127">
        <f t="shared" si="46"/>
        <v>1631.14</v>
      </c>
      <c r="AM234" s="127">
        <f t="shared" si="46"/>
        <v>1611.44</v>
      </c>
      <c r="AN234" s="127">
        <f t="shared" si="46"/>
        <v>1611.44</v>
      </c>
      <c r="AO234" s="127">
        <f t="shared" si="46"/>
        <v>1577.14</v>
      </c>
      <c r="AP234" s="127">
        <f t="shared" si="46"/>
        <v>1582.54</v>
      </c>
      <c r="AQ234" s="127">
        <f t="shared" si="46"/>
        <v>1608.64</v>
      </c>
      <c r="AR234" s="127">
        <f t="shared" si="46"/>
        <v>1668.5400000000002</v>
      </c>
      <c r="AS234" s="127">
        <f t="shared" si="46"/>
        <v>1732.44</v>
      </c>
      <c r="AT234" s="127">
        <f t="shared" si="46"/>
        <v>1790.2400000000002</v>
      </c>
      <c r="AU234" s="127">
        <f t="shared" si="46"/>
        <v>1822.54</v>
      </c>
      <c r="AV234" s="127">
        <f t="shared" si="46"/>
        <v>1765.24</v>
      </c>
      <c r="AW234" s="127">
        <f t="shared" si="46"/>
        <v>1731.2400000000002</v>
      </c>
      <c r="AX234" s="127">
        <f t="shared" si="46"/>
        <v>1740.0400000000002</v>
      </c>
    </row>
    <row r="235" spans="1:50" x14ac:dyDescent="0.25">
      <c r="A235" s="119" t="s">
        <v>100</v>
      </c>
      <c r="B235" s="120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</row>
    <row r="236" spans="1:50" x14ac:dyDescent="0.25">
      <c r="A236" s="119" t="s">
        <v>101</v>
      </c>
      <c r="B236" s="120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</row>
    <row r="237" spans="1:50" x14ac:dyDescent="0.25">
      <c r="A237" s="119" t="s">
        <v>102</v>
      </c>
      <c r="B237" s="120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50" x14ac:dyDescent="0.25">
      <c r="A238" s="119" t="s">
        <v>103</v>
      </c>
      <c r="B238" s="128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50" x14ac:dyDescent="0.25">
      <c r="A239" s="119" t="s">
        <v>104</v>
      </c>
      <c r="B239" s="120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50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1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1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1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1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1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</row>
    <row r="246" spans="1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J246"/>
    </row>
    <row r="247" spans="1:36" x14ac:dyDescent="0.25"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J247"/>
    </row>
    <row r="248" spans="1:36" x14ac:dyDescent="0.25"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J248"/>
    </row>
    <row r="249" spans="1:36" x14ac:dyDescent="0.25"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J249"/>
    </row>
    <row r="250" spans="1:36" x14ac:dyDescent="0.25"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J250"/>
    </row>
    <row r="251" spans="1:36" x14ac:dyDescent="0.25"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J251"/>
    </row>
    <row r="252" spans="1:36" x14ac:dyDescent="0.25"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J252"/>
    </row>
    <row r="253" spans="1:36" x14ac:dyDescent="0.25"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J253"/>
    </row>
    <row r="254" spans="1:36" x14ac:dyDescent="0.25"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J254"/>
    </row>
    <row r="255" spans="1:36" x14ac:dyDescent="0.25">
      <c r="A255" s="129" t="s">
        <v>89</v>
      </c>
      <c r="B255" s="130">
        <f t="shared" ref="B255:AE255" si="47">C219</f>
        <v>0.64</v>
      </c>
      <c r="C255" s="130">
        <f t="shared" si="47"/>
        <v>0.64</v>
      </c>
      <c r="D255" s="130">
        <f t="shared" si="47"/>
        <v>0.64</v>
      </c>
      <c r="E255" s="130">
        <f t="shared" si="47"/>
        <v>0.64</v>
      </c>
      <c r="F255" s="130">
        <f t="shared" si="47"/>
        <v>0.64</v>
      </c>
      <c r="G255" s="130">
        <f t="shared" si="47"/>
        <v>0.64</v>
      </c>
      <c r="H255" s="130">
        <f t="shared" si="47"/>
        <v>0.64</v>
      </c>
      <c r="I255" s="130">
        <f t="shared" si="47"/>
        <v>0.64</v>
      </c>
      <c r="J255" s="130">
        <f t="shared" si="47"/>
        <v>0.64</v>
      </c>
      <c r="K255" s="130">
        <f t="shared" si="47"/>
        <v>0.64</v>
      </c>
      <c r="L255" s="130">
        <f t="shared" si="47"/>
        <v>0.64</v>
      </c>
      <c r="M255" s="130">
        <f t="shared" si="47"/>
        <v>0.64</v>
      </c>
      <c r="N255" s="130">
        <f t="shared" si="47"/>
        <v>0.64</v>
      </c>
      <c r="O255" s="130">
        <f t="shared" si="47"/>
        <v>0.64</v>
      </c>
      <c r="P255" s="130">
        <f t="shared" si="47"/>
        <v>0</v>
      </c>
      <c r="Q255" s="130">
        <f t="shared" si="47"/>
        <v>0</v>
      </c>
      <c r="R255" s="130">
        <f t="shared" si="47"/>
        <v>0</v>
      </c>
      <c r="S255" s="130">
        <f t="shared" si="47"/>
        <v>0</v>
      </c>
      <c r="T255" s="130">
        <f t="shared" si="47"/>
        <v>0</v>
      </c>
      <c r="U255" s="130">
        <f t="shared" si="47"/>
        <v>0</v>
      </c>
      <c r="V255" s="130">
        <f t="shared" si="47"/>
        <v>0</v>
      </c>
      <c r="W255" s="130">
        <f t="shared" si="47"/>
        <v>0</v>
      </c>
      <c r="X255" s="130">
        <f t="shared" si="47"/>
        <v>0</v>
      </c>
      <c r="Y255" s="130">
        <f t="shared" si="47"/>
        <v>0</v>
      </c>
      <c r="Z255" s="130">
        <f t="shared" si="47"/>
        <v>0</v>
      </c>
      <c r="AA255" s="130">
        <f t="shared" si="47"/>
        <v>0</v>
      </c>
      <c r="AB255" s="130">
        <f t="shared" si="47"/>
        <v>0</v>
      </c>
      <c r="AC255" s="130">
        <f t="shared" si="47"/>
        <v>0</v>
      </c>
      <c r="AD255" s="130">
        <f t="shared" si="47"/>
        <v>0</v>
      </c>
      <c r="AE255" s="130">
        <f t="shared" si="47"/>
        <v>0</v>
      </c>
      <c r="AF255" s="130">
        <f>B219</f>
        <v>0</v>
      </c>
      <c r="AG255" s="47"/>
      <c r="AH255" s="47"/>
      <c r="AJ255"/>
    </row>
    <row r="256" spans="1:36" x14ac:dyDescent="0.25">
      <c r="A256" s="88" t="str">
        <f>A223</f>
        <v>KGA</v>
      </c>
      <c r="B256" s="88" t="str">
        <f>IF(B223&lt;100,"",B223-520)</f>
        <v/>
      </c>
      <c r="C256" s="88" t="str">
        <f t="shared" ref="C256:AF256" si="48">IF(C223&lt;100,"",C223-520)</f>
        <v/>
      </c>
      <c r="D256" s="88" t="str">
        <f t="shared" si="48"/>
        <v/>
      </c>
      <c r="E256" s="88" t="str">
        <f t="shared" si="48"/>
        <v/>
      </c>
      <c r="F256" s="88" t="str">
        <f t="shared" si="48"/>
        <v/>
      </c>
      <c r="G256" s="88" t="str">
        <f t="shared" si="48"/>
        <v/>
      </c>
      <c r="H256" s="88" t="str">
        <f t="shared" si="48"/>
        <v/>
      </c>
      <c r="I256" s="88" t="str">
        <f t="shared" si="48"/>
        <v/>
      </c>
      <c r="J256" s="88" t="str">
        <f t="shared" si="48"/>
        <v/>
      </c>
      <c r="K256" s="88" t="str">
        <f t="shared" si="48"/>
        <v/>
      </c>
      <c r="L256" s="88" t="str">
        <f t="shared" si="48"/>
        <v/>
      </c>
      <c r="M256" s="88" t="str">
        <f t="shared" si="48"/>
        <v/>
      </c>
      <c r="N256" s="88" t="str">
        <f t="shared" si="48"/>
        <v/>
      </c>
      <c r="O256" s="88" t="str">
        <f t="shared" si="48"/>
        <v/>
      </c>
      <c r="P256" s="88" t="str">
        <f t="shared" si="48"/>
        <v/>
      </c>
      <c r="Q256" s="88" t="str">
        <f t="shared" si="48"/>
        <v/>
      </c>
      <c r="R256" s="88" t="str">
        <f t="shared" si="48"/>
        <v/>
      </c>
      <c r="S256" s="88" t="str">
        <f t="shared" si="48"/>
        <v/>
      </c>
      <c r="T256" s="88" t="str">
        <f t="shared" si="48"/>
        <v/>
      </c>
      <c r="U256" s="88" t="str">
        <f t="shared" si="48"/>
        <v/>
      </c>
      <c r="V256" s="88" t="str">
        <f t="shared" si="48"/>
        <v/>
      </c>
      <c r="W256" s="88" t="str">
        <f t="shared" si="48"/>
        <v/>
      </c>
      <c r="X256" s="88" t="str">
        <f t="shared" si="48"/>
        <v/>
      </c>
      <c r="Y256" s="88" t="str">
        <f t="shared" si="48"/>
        <v/>
      </c>
      <c r="Z256" s="88" t="str">
        <f t="shared" si="48"/>
        <v/>
      </c>
      <c r="AA256" s="88" t="str">
        <f t="shared" si="48"/>
        <v/>
      </c>
      <c r="AB256" s="88" t="str">
        <f t="shared" si="48"/>
        <v/>
      </c>
      <c r="AC256" s="88" t="str">
        <f t="shared" si="48"/>
        <v/>
      </c>
      <c r="AD256" s="88" t="str">
        <f t="shared" si="48"/>
        <v/>
      </c>
      <c r="AE256" s="88" t="str">
        <f t="shared" si="48"/>
        <v/>
      </c>
      <c r="AF256" s="88" t="str">
        <f t="shared" si="48"/>
        <v/>
      </c>
      <c r="AG256" s="47"/>
      <c r="AH256" s="47"/>
      <c r="AJ256"/>
    </row>
    <row r="257" spans="1:36" x14ac:dyDescent="0.25">
      <c r="A257" s="88" t="str">
        <f>A224</f>
        <v>MMRS</v>
      </c>
      <c r="B257" s="88" t="str">
        <f t="shared" ref="B257:AF257" si="49">IF(B224&lt;100,"",B224-620)</f>
        <v/>
      </c>
      <c r="C257" s="88" t="str">
        <f t="shared" si="49"/>
        <v/>
      </c>
      <c r="D257" s="88" t="str">
        <f t="shared" si="49"/>
        <v/>
      </c>
      <c r="E257" s="88" t="str">
        <f t="shared" si="49"/>
        <v/>
      </c>
      <c r="F257" s="88" t="str">
        <f t="shared" si="49"/>
        <v/>
      </c>
      <c r="G257" s="88" t="str">
        <f t="shared" si="49"/>
        <v/>
      </c>
      <c r="H257" s="88" t="str">
        <f t="shared" si="49"/>
        <v/>
      </c>
      <c r="I257" s="88" t="str">
        <f t="shared" si="49"/>
        <v/>
      </c>
      <c r="J257" s="88" t="str">
        <f t="shared" si="49"/>
        <v/>
      </c>
      <c r="K257" s="88" t="str">
        <f t="shared" si="49"/>
        <v/>
      </c>
      <c r="L257" s="88" t="str">
        <f t="shared" si="49"/>
        <v/>
      </c>
      <c r="M257" s="88" t="str">
        <f t="shared" si="49"/>
        <v/>
      </c>
      <c r="N257" s="88" t="str">
        <f t="shared" si="49"/>
        <v/>
      </c>
      <c r="O257" s="88" t="str">
        <f t="shared" si="49"/>
        <v/>
      </c>
      <c r="P257" s="88" t="str">
        <f t="shared" si="49"/>
        <v/>
      </c>
      <c r="Q257" s="88" t="str">
        <f t="shared" si="49"/>
        <v/>
      </c>
      <c r="R257" s="88" t="str">
        <f t="shared" si="49"/>
        <v/>
      </c>
      <c r="S257" s="88" t="str">
        <f t="shared" si="49"/>
        <v/>
      </c>
      <c r="T257" s="88" t="str">
        <f t="shared" si="49"/>
        <v/>
      </c>
      <c r="U257" s="88" t="str">
        <f t="shared" si="49"/>
        <v/>
      </c>
      <c r="V257" s="88" t="str">
        <f t="shared" si="49"/>
        <v/>
      </c>
      <c r="W257" s="88" t="str">
        <f t="shared" si="49"/>
        <v/>
      </c>
      <c r="X257" s="88" t="str">
        <f t="shared" si="49"/>
        <v/>
      </c>
      <c r="Y257" s="88" t="str">
        <f t="shared" si="49"/>
        <v/>
      </c>
      <c r="Z257" s="88" t="str">
        <f t="shared" si="49"/>
        <v/>
      </c>
      <c r="AA257" s="88" t="str">
        <f t="shared" si="49"/>
        <v/>
      </c>
      <c r="AB257" s="88" t="str">
        <f t="shared" si="49"/>
        <v/>
      </c>
      <c r="AC257" s="88" t="str">
        <f t="shared" si="49"/>
        <v/>
      </c>
      <c r="AD257" s="88" t="str">
        <f t="shared" si="49"/>
        <v/>
      </c>
      <c r="AE257" s="88" t="str">
        <f t="shared" si="49"/>
        <v/>
      </c>
      <c r="AF257" s="88" t="str">
        <f t="shared" si="49"/>
        <v/>
      </c>
      <c r="AG257" s="47"/>
      <c r="AH257" s="47"/>
      <c r="AJ257"/>
    </row>
    <row r="258" spans="1:36" x14ac:dyDescent="0.25">
      <c r="A258" s="88" t="str">
        <f>A225</f>
        <v>MRS</v>
      </c>
      <c r="B258" s="88" t="str">
        <f t="shared" ref="B258:AF258" si="50">IF(B225&lt;100,"",B225-330)</f>
        <v/>
      </c>
      <c r="C258" s="88" t="str">
        <f t="shared" si="50"/>
        <v/>
      </c>
      <c r="D258" s="88" t="str">
        <f t="shared" si="50"/>
        <v/>
      </c>
      <c r="E258" s="88" t="str">
        <f t="shared" si="50"/>
        <v/>
      </c>
      <c r="F258" s="88" t="str">
        <f t="shared" si="50"/>
        <v/>
      </c>
      <c r="G258" s="88" t="str">
        <f t="shared" si="50"/>
        <v/>
      </c>
      <c r="H258" s="88" t="str">
        <f t="shared" si="50"/>
        <v/>
      </c>
      <c r="I258" s="88" t="str">
        <f t="shared" si="50"/>
        <v/>
      </c>
      <c r="J258" s="88" t="str">
        <f t="shared" si="50"/>
        <v/>
      </c>
      <c r="K258" s="88" t="str">
        <f t="shared" si="50"/>
        <v/>
      </c>
      <c r="L258" s="88" t="str">
        <f t="shared" si="50"/>
        <v/>
      </c>
      <c r="M258" s="88" t="str">
        <f t="shared" si="50"/>
        <v/>
      </c>
      <c r="N258" s="88" t="str">
        <f t="shared" si="50"/>
        <v/>
      </c>
      <c r="O258" s="88" t="str">
        <f t="shared" si="50"/>
        <v/>
      </c>
      <c r="P258" s="88" t="str">
        <f t="shared" si="50"/>
        <v/>
      </c>
      <c r="Q258" s="88" t="str">
        <f t="shared" si="50"/>
        <v/>
      </c>
      <c r="R258" s="88" t="str">
        <f t="shared" si="50"/>
        <v/>
      </c>
      <c r="S258" s="88" t="str">
        <f t="shared" si="50"/>
        <v/>
      </c>
      <c r="T258" s="88" t="str">
        <f t="shared" si="50"/>
        <v/>
      </c>
      <c r="U258" s="88" t="str">
        <f t="shared" si="50"/>
        <v/>
      </c>
      <c r="V258" s="88" t="str">
        <f t="shared" si="50"/>
        <v/>
      </c>
      <c r="W258" s="88" t="str">
        <f t="shared" si="50"/>
        <v/>
      </c>
      <c r="X258" s="88" t="str">
        <f t="shared" si="50"/>
        <v/>
      </c>
      <c r="Y258" s="88" t="str">
        <f t="shared" si="50"/>
        <v/>
      </c>
      <c r="Z258" s="88" t="str">
        <f t="shared" si="50"/>
        <v/>
      </c>
      <c r="AA258" s="88" t="str">
        <f t="shared" si="50"/>
        <v/>
      </c>
      <c r="AB258" s="88" t="str">
        <f t="shared" si="50"/>
        <v/>
      </c>
      <c r="AC258" s="88" t="str">
        <f t="shared" si="50"/>
        <v/>
      </c>
      <c r="AD258" s="88" t="str">
        <f t="shared" si="50"/>
        <v/>
      </c>
      <c r="AE258" s="88" t="str">
        <f t="shared" si="50"/>
        <v/>
      </c>
      <c r="AF258" s="88" t="str">
        <f t="shared" si="50"/>
        <v/>
      </c>
      <c r="AG258" s="47"/>
      <c r="AH258" s="47"/>
      <c r="AJ258"/>
    </row>
    <row r="259" spans="1:36" x14ac:dyDescent="0.25">
      <c r="A259" s="88" t="str">
        <f>A226</f>
        <v>KL 1</v>
      </c>
      <c r="B259" s="88" t="str">
        <f>IF(B226&lt;100,"",B226-1500)</f>
        <v/>
      </c>
      <c r="C259" s="88" t="str">
        <f t="shared" ref="C259:AF259" si="51">IF(C226&lt;100,"",C226-1500)</f>
        <v/>
      </c>
      <c r="D259" s="88" t="str">
        <f t="shared" si="51"/>
        <v/>
      </c>
      <c r="E259" s="88" t="str">
        <f t="shared" si="51"/>
        <v/>
      </c>
      <c r="F259" s="88" t="str">
        <f t="shared" si="51"/>
        <v/>
      </c>
      <c r="G259" s="88" t="str">
        <f t="shared" si="51"/>
        <v/>
      </c>
      <c r="H259" s="88" t="str">
        <f t="shared" si="51"/>
        <v/>
      </c>
      <c r="I259" s="88" t="str">
        <f t="shared" si="51"/>
        <v/>
      </c>
      <c r="J259" s="88" t="str">
        <f t="shared" si="51"/>
        <v/>
      </c>
      <c r="K259" s="88" t="str">
        <f t="shared" si="51"/>
        <v/>
      </c>
      <c r="L259" s="88" t="str">
        <f t="shared" si="51"/>
        <v/>
      </c>
      <c r="M259" s="88" t="str">
        <f t="shared" si="51"/>
        <v/>
      </c>
      <c r="N259" s="88" t="str">
        <f t="shared" si="51"/>
        <v/>
      </c>
      <c r="O259" s="88" t="str">
        <f t="shared" si="51"/>
        <v/>
      </c>
      <c r="P259" s="88" t="str">
        <f t="shared" si="51"/>
        <v/>
      </c>
      <c r="Q259" s="88" t="str">
        <f t="shared" si="51"/>
        <v/>
      </c>
      <c r="R259" s="88" t="str">
        <f t="shared" si="51"/>
        <v/>
      </c>
      <c r="S259" s="88" t="str">
        <f t="shared" si="51"/>
        <v/>
      </c>
      <c r="T259" s="88" t="str">
        <f t="shared" si="51"/>
        <v/>
      </c>
      <c r="U259" s="88" t="str">
        <f t="shared" si="51"/>
        <v/>
      </c>
      <c r="V259" s="88" t="str">
        <f t="shared" si="51"/>
        <v/>
      </c>
      <c r="W259" s="88" t="str">
        <f t="shared" si="51"/>
        <v/>
      </c>
      <c r="X259" s="88" t="str">
        <f t="shared" si="51"/>
        <v/>
      </c>
      <c r="Y259" s="88" t="str">
        <f t="shared" si="51"/>
        <v/>
      </c>
      <c r="Z259" s="88" t="str">
        <f t="shared" si="51"/>
        <v/>
      </c>
      <c r="AA259" s="88" t="str">
        <f t="shared" si="51"/>
        <v/>
      </c>
      <c r="AB259" s="88" t="str">
        <f t="shared" si="51"/>
        <v/>
      </c>
      <c r="AC259" s="88" t="str">
        <f t="shared" si="51"/>
        <v/>
      </c>
      <c r="AD259" s="88" t="str">
        <f t="shared" si="51"/>
        <v/>
      </c>
      <c r="AE259" s="88" t="str">
        <f t="shared" si="51"/>
        <v/>
      </c>
      <c r="AF259" s="88" t="str">
        <f t="shared" si="51"/>
        <v/>
      </c>
      <c r="AG259" s="47"/>
      <c r="AH259" s="47"/>
      <c r="AJ259"/>
    </row>
    <row r="260" spans="1:36" x14ac:dyDescent="0.25"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J260"/>
    </row>
    <row r="261" spans="1:36" x14ac:dyDescent="0.25"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J261"/>
    </row>
    <row r="262" spans="1:36" x14ac:dyDescent="0.25"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J262"/>
    </row>
    <row r="263" spans="1:36" x14ac:dyDescent="0.25"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J263"/>
    </row>
    <row r="264" spans="1:36" x14ac:dyDescent="0.25"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J264"/>
    </row>
    <row r="265" spans="1:36" x14ac:dyDescent="0.25"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J265"/>
    </row>
    <row r="266" spans="1:36" x14ac:dyDescent="0.25"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J266"/>
    </row>
    <row r="490" spans="36:38" x14ac:dyDescent="0.25">
      <c r="AK490" s="1"/>
    </row>
    <row r="491" spans="36:38" x14ac:dyDescent="0.25">
      <c r="AK491" s="1"/>
      <c r="AL491" s="1"/>
    </row>
    <row r="492" spans="36:38" x14ac:dyDescent="0.25">
      <c r="AJ492"/>
    </row>
  </sheetData>
  <mergeCells count="48">
    <mergeCell ref="A231:B23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2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D214:AF220 B214:B220 B212:AF212 U233:AF233 C99:AF105 B9:AF10 U11:AF11">
    <cfRule type="expression" dxfId="4218" priority="318">
      <formula>B$9&gt;=20/24</formula>
    </cfRule>
    <cfRule type="expression" dxfId="4217" priority="319">
      <formula>AND(B$9&gt;=14/24,B$9&lt;20/24)</formula>
    </cfRule>
    <cfRule type="expression" dxfId="4216" priority="320">
      <formula>AND(B$9&gt;=8/24,B$9&lt;14/24)</formula>
    </cfRule>
    <cfRule type="expression" dxfId="4215" priority="321">
      <formula>B$9&lt;8/24</formula>
    </cfRule>
  </conditionalFormatting>
  <conditionalFormatting sqref="AL4:AL6">
    <cfRule type="iconSet" priority="317">
      <iconSet iconSet="3TrafficLights2" reverse="1">
        <cfvo type="percent" val="0"/>
        <cfvo type="num" val="1"/>
        <cfvo type="num" val="1"/>
      </iconSet>
    </cfRule>
  </conditionalFormatting>
  <conditionalFormatting sqref="AB37:AF37">
    <cfRule type="expression" dxfId="4214" priority="313">
      <formula>AB$9&gt;=20/24</formula>
    </cfRule>
    <cfRule type="expression" dxfId="4213" priority="314">
      <formula>AND(AB$9&gt;=14/24,AB$9&lt;20/24)</formula>
    </cfRule>
    <cfRule type="expression" dxfId="4212" priority="315">
      <formula>AND(AB$9&gt;=8/24,AB$9&lt;14/24)</formula>
    </cfRule>
    <cfRule type="expression" dxfId="4211" priority="316">
      <formula>AB$9&lt;8/24</formula>
    </cfRule>
  </conditionalFormatting>
  <conditionalFormatting sqref="AG55 D11:L12 M11:N11 M16:P16 Q14:U16 O11:U13 AB37:AF37 Q35:AF35 V11:AF16">
    <cfRule type="expression" dxfId="4210" priority="312">
      <formula>D11&gt;$AG11</formula>
    </cfRule>
  </conditionalFormatting>
  <conditionalFormatting sqref="A89:A102 A11:A14 A49:A76 A85:A87 A190:A220 A16:A30 A36:A47 A106:A177 A32:A33 A81:A83 A78:A79">
    <cfRule type="expression" dxfId="4209" priority="311">
      <formula>$AH11=0</formula>
    </cfRule>
  </conditionalFormatting>
  <conditionalFormatting sqref="A103">
    <cfRule type="expression" dxfId="4208" priority="310">
      <formula>$AH103=0</formula>
    </cfRule>
  </conditionalFormatting>
  <conditionalFormatting sqref="AL33">
    <cfRule type="iconSet" priority="309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4207" priority="308">
      <formula>$AH35=0</formula>
    </cfRule>
  </conditionalFormatting>
  <conditionalFormatting sqref="A88">
    <cfRule type="expression" dxfId="4206" priority="307">
      <formula>$AH88=0</formula>
    </cfRule>
  </conditionalFormatting>
  <conditionalFormatting sqref="A15">
    <cfRule type="expression" dxfId="4205" priority="306">
      <formula>$AH15=0</formula>
    </cfRule>
  </conditionalFormatting>
  <conditionalFormatting sqref="A184:A189">
    <cfRule type="expression" dxfId="4204" priority="305">
      <formula>$AH184=0</formula>
    </cfRule>
  </conditionalFormatting>
  <conditionalFormatting sqref="A178:A183">
    <cfRule type="expression" dxfId="4203" priority="304">
      <formula>$AH178=0</formula>
    </cfRule>
  </conditionalFormatting>
  <conditionalFormatting sqref="A48">
    <cfRule type="expression" dxfId="4202" priority="303">
      <formula>$AH48=0</formula>
    </cfRule>
  </conditionalFormatting>
  <conditionalFormatting sqref="A84">
    <cfRule type="expression" dxfId="4201" priority="302">
      <formula>$AH84=0</formula>
    </cfRule>
  </conditionalFormatting>
  <conditionalFormatting sqref="C89:AF89">
    <cfRule type="expression" dxfId="4200" priority="298">
      <formula>C$9&gt;=20/24</formula>
    </cfRule>
    <cfRule type="expression" dxfId="4199" priority="299">
      <formula>AND(C$9&gt;=14/24,C$9&lt;20/24)</formula>
    </cfRule>
    <cfRule type="expression" dxfId="4198" priority="300">
      <formula>AND(C$9&gt;=8/24,C$9&lt;14/24)</formula>
    </cfRule>
    <cfRule type="expression" dxfId="4197" priority="301">
      <formula>C$9&lt;8/24</formula>
    </cfRule>
  </conditionalFormatting>
  <conditionalFormatting sqref="AL34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196" priority="324">
      <formula>C$9&gt;=20/24</formula>
    </cfRule>
    <cfRule type="expression" dxfId="4195" priority="325">
      <formula>AND(C$9&gt;=14/24,C$9&lt;20/24)</formula>
    </cfRule>
    <cfRule type="expression" dxfId="4194" priority="326">
      <formula>AND(C$9&gt;=8/24,C$9&lt;14/24)</formula>
    </cfRule>
    <cfRule type="expression" dxfId="4193" priority="327">
      <formula>C$9&lt;8/24</formula>
    </cfRule>
  </conditionalFormatting>
  <conditionalFormatting sqref="A221">
    <cfRule type="expression" dxfId="4192" priority="328">
      <formula>$AH221=0</formula>
    </cfRule>
  </conditionalFormatting>
  <conditionalFormatting sqref="AG233">
    <cfRule type="expression" dxfId="4191" priority="329">
      <formula>B$9&gt;=20/24</formula>
    </cfRule>
    <cfRule type="expression" dxfId="4190" priority="330">
      <formula>AND(B$9&gt;=14/24,B$9&lt;20/24)</formula>
    </cfRule>
    <cfRule type="expression" dxfId="4189" priority="331">
      <formula>AND(B$9&gt;=8/24,B$9&lt;14/24)</formula>
    </cfRule>
    <cfRule type="expression" dxfId="4188" priority="332">
      <formula>B$9&lt;8/24</formula>
    </cfRule>
  </conditionalFormatting>
  <conditionalFormatting sqref="S8">
    <cfRule type="expression" dxfId="4187" priority="293">
      <formula>U$9&gt;=20/24</formula>
    </cfRule>
    <cfRule type="expression" dxfId="4186" priority="294">
      <formula>AND(U$9&gt;=14/24,U$9&lt;20/24)</formula>
    </cfRule>
    <cfRule type="expression" dxfId="4185" priority="295">
      <formula>AND(U$9&gt;=8/24,U$9&lt;14/24)</formula>
    </cfRule>
    <cfRule type="expression" dxfId="4184" priority="296">
      <formula>U$9&lt;8/24</formula>
    </cfRule>
  </conditionalFormatting>
  <conditionalFormatting sqref="AB8">
    <cfRule type="expression" dxfId="4183" priority="289">
      <formula>AD$9&gt;=20/24</formula>
    </cfRule>
    <cfRule type="expression" dxfId="4182" priority="290">
      <formula>AND(AD$9&gt;=14/24,AD$9&lt;20/24)</formula>
    </cfRule>
    <cfRule type="expression" dxfId="4181" priority="291">
      <formula>AND(AD$9&gt;=8/24,AD$9&lt;14/24)</formula>
    </cfRule>
    <cfRule type="expression" dxfId="4180" priority="292">
      <formula>AD$9&lt;8/24</formula>
    </cfRule>
  </conditionalFormatting>
  <conditionalFormatting sqref="AH233:AX233">
    <cfRule type="expression" dxfId="4179" priority="333">
      <formula>AG$9&gt;=20/24</formula>
    </cfRule>
    <cfRule type="expression" dxfId="4178" priority="334">
      <formula>AND(AG$9&gt;=14/24,AG$9&lt;20/24)</formula>
    </cfRule>
    <cfRule type="expression" dxfId="4177" priority="335">
      <formula>AND(AG$9&gt;=8/24,AG$9&lt;14/24)</formula>
    </cfRule>
    <cfRule type="expression" dxfId="4176" priority="336">
      <formula>AG$9&lt;8/24</formula>
    </cfRule>
  </conditionalFormatting>
  <conditionalFormatting sqref="T233">
    <cfRule type="expression" dxfId="4175" priority="337">
      <formula>AX$9&gt;=20/24</formula>
    </cfRule>
    <cfRule type="expression" dxfId="4174" priority="338">
      <formula>AND(AX$9&gt;=14/24,AX$9&lt;20/24)</formula>
    </cfRule>
    <cfRule type="expression" dxfId="4173" priority="339">
      <formula>AND(AX$9&gt;=8/24,AX$9&lt;14/24)</formula>
    </cfRule>
    <cfRule type="expression" dxfId="4172" priority="340">
      <formula>AX$9&lt;8/24</formula>
    </cfRule>
  </conditionalFormatting>
  <conditionalFormatting sqref="A104:A105">
    <cfRule type="expression" dxfId="4171" priority="288">
      <formula>$AH104=0</formula>
    </cfRule>
  </conditionalFormatting>
  <conditionalFormatting sqref="F44:L45 T44:AF45 C61:AF61">
    <cfRule type="expression" dxfId="4170" priority="284">
      <formula>C$9&gt;=20/24</formula>
    </cfRule>
    <cfRule type="expression" dxfId="4169" priority="285">
      <formula>AND(C$9&gt;=14/24,C$9&lt;20/24)</formula>
    </cfRule>
    <cfRule type="expression" dxfId="4168" priority="286">
      <formula>AND(C$9&gt;=8/24,C$9&lt;14/24)</formula>
    </cfRule>
    <cfRule type="expression" dxfId="4167" priority="287">
      <formula>C$9&lt;8/24</formula>
    </cfRule>
  </conditionalFormatting>
  <conditionalFormatting sqref="F43:L43 T43:AF43">
    <cfRule type="expression" dxfId="4166" priority="280">
      <formula>F$9&gt;=20/24</formula>
    </cfRule>
    <cfRule type="expression" dxfId="4165" priority="281">
      <formula>AND(F$9&gt;=14/24,F$9&lt;20/24)</formula>
    </cfRule>
    <cfRule type="expression" dxfId="4164" priority="282">
      <formula>AND(F$9&gt;=8/24,F$9&lt;14/24)</formula>
    </cfRule>
    <cfRule type="expression" dxfId="4163" priority="283">
      <formula>F$9&lt;8/24</formula>
    </cfRule>
  </conditionalFormatting>
  <conditionalFormatting sqref="F43:L45 T43:AF45">
    <cfRule type="expression" dxfId="4162" priority="279">
      <formula>F43&gt;$AG43</formula>
    </cfRule>
  </conditionalFormatting>
  <conditionalFormatting sqref="C86:AF86 C62:T63 O29:P29 C64:R67 C71:R71 S64:T71 C90:AF96 M36:AA37 C57:AF59 C73:AF76 Q32:AF32 Q28:AF30 M24:AF26 AB36:AF36 M18:AF22 M16:AF16 M11:AF14 U62:AF71">
    <cfRule type="expression" dxfId="4161" priority="275">
      <formula>C$9&gt;=20/24</formula>
    </cfRule>
    <cfRule type="expression" dxfId="4160" priority="276">
      <formula>AND(C$9&gt;=14/24,C$9&lt;20/24)</formula>
    </cfRule>
    <cfRule type="expression" dxfId="4159" priority="277">
      <formula>AND(C$9&gt;=8/24,C$9&lt;14/24)</formula>
    </cfRule>
    <cfRule type="expression" dxfId="4158" priority="278">
      <formula>C$9&lt;8/24</formula>
    </cfRule>
  </conditionalFormatting>
  <conditionalFormatting sqref="Q33:AF33">
    <cfRule type="expression" dxfId="4157" priority="271">
      <formula>Q$9&gt;=20/24</formula>
    </cfRule>
    <cfRule type="expression" dxfId="4156" priority="272">
      <formula>AND(Q$9&gt;=14/24,Q$9&lt;20/24)</formula>
    </cfRule>
    <cfRule type="expression" dxfId="4155" priority="273">
      <formula>AND(Q$9&gt;=8/24,Q$9&lt;14/24)</formula>
    </cfRule>
    <cfRule type="expression" dxfId="4154" priority="274">
      <formula>Q$9&lt;8/24</formula>
    </cfRule>
  </conditionalFormatting>
  <conditionalFormatting sqref="F46:I46 C55:AF55 E37:R37 G47:I48 J46:L48 M48 M11:N15 O14:P15 O29:P29 M24:P26 M36:R36 S36:AA37 C57:AF59 Q32:AF33 Q24:AF30 AB36:AF36 M18:AF22 O11:AF11">
    <cfRule type="expression" dxfId="4153" priority="270">
      <formula>C11&gt;$AG11</formula>
    </cfRule>
  </conditionalFormatting>
  <conditionalFormatting sqref="Q35:AF35">
    <cfRule type="expression" dxfId="4152" priority="266">
      <formula>Q$9&gt;=20/24</formula>
    </cfRule>
    <cfRule type="expression" dxfId="4151" priority="267">
      <formula>AND(Q$9&gt;=14/24,Q$9&lt;20/24)</formula>
    </cfRule>
    <cfRule type="expression" dxfId="4150" priority="268">
      <formula>AND(Q$9&gt;=8/24,Q$9&lt;14/24)</formula>
    </cfRule>
    <cfRule type="expression" dxfId="4149" priority="269">
      <formula>Q$9&lt;8/24</formula>
    </cfRule>
  </conditionalFormatting>
  <conditionalFormatting sqref="M15:AF15">
    <cfRule type="expression" dxfId="4148" priority="262">
      <formula>M$9&gt;=20/24</formula>
    </cfRule>
    <cfRule type="expression" dxfId="4147" priority="263">
      <formula>AND(M$9&gt;=14/24,M$9&lt;20/24)</formula>
    </cfRule>
    <cfRule type="expression" dxfId="4146" priority="264">
      <formula>AND(M$9&gt;=8/24,M$9&lt;14/24)</formula>
    </cfRule>
    <cfRule type="expression" dxfId="4145" priority="265">
      <formula>M$9&lt;8/24</formula>
    </cfRule>
  </conditionalFormatting>
  <conditionalFormatting sqref="Q34:AF34">
    <cfRule type="expression" dxfId="4144" priority="258">
      <formula>Q$9&gt;=20/24</formula>
    </cfRule>
    <cfRule type="expression" dxfId="4143" priority="259">
      <formula>AND(Q$9&gt;=14/24,Q$9&lt;20/24)</formula>
    </cfRule>
    <cfRule type="expression" dxfId="4142" priority="260">
      <formula>AND(Q$9&gt;=8/24,Q$9&lt;14/24)</formula>
    </cfRule>
    <cfRule type="expression" dxfId="4141" priority="261">
      <formula>Q$9&lt;8/24</formula>
    </cfRule>
  </conditionalFormatting>
  <conditionalFormatting sqref="Q34:AF34">
    <cfRule type="expression" dxfId="4140" priority="257">
      <formula>Q34&gt;$AG34</formula>
    </cfRule>
  </conditionalFormatting>
  <conditionalFormatting sqref="M43:Q47 N48:Q54 R43:S54 T46:AF54">
    <cfRule type="expression" dxfId="4139" priority="244">
      <formula>M$9&gt;=20/24</formula>
    </cfRule>
    <cfRule type="expression" dxfId="4138" priority="245">
      <formula>AND(M$9&gt;=14/24,M$9&lt;20/24)</formula>
    </cfRule>
    <cfRule type="expression" dxfId="4137" priority="246">
      <formula>AND(M$9&gt;=8/24,M$9&lt;14/24)</formula>
    </cfRule>
    <cfRule type="expression" dxfId="4136" priority="247">
      <formula>M$9&lt;8/24</formula>
    </cfRule>
  </conditionalFormatting>
  <conditionalFormatting sqref="M43:Q47 N48:Q54 R43:S54 T46:AF54">
    <cfRule type="expression" dxfId="4135" priority="243">
      <formula>M43&gt;$AG43</formula>
    </cfRule>
  </conditionalFormatting>
  <conditionalFormatting sqref="Q27:AF27">
    <cfRule type="expression" dxfId="4134" priority="239">
      <formula>Q$9&gt;=20/24</formula>
    </cfRule>
    <cfRule type="expression" dxfId="4133" priority="240">
      <formula>AND(Q$9&gt;=14/24,Q$9&lt;20/24)</formula>
    </cfRule>
    <cfRule type="expression" dxfId="4132" priority="241">
      <formula>AND(Q$9&gt;=8/24,Q$9&lt;14/24)</formula>
    </cfRule>
    <cfRule type="expression" dxfId="4131" priority="242">
      <formula>Q$9&lt;8/24</formula>
    </cfRule>
  </conditionalFormatting>
  <conditionalFormatting sqref="D11:L12 M23:AF23 M17:AF17">
    <cfRule type="expression" dxfId="4130" priority="235">
      <formula>D$9&gt;=20/24</formula>
    </cfRule>
    <cfRule type="expression" dxfId="4129" priority="236">
      <formula>AND(D$9&gt;=14/24,D$9&lt;20/24)</formula>
    </cfRule>
    <cfRule type="expression" dxfId="4128" priority="237">
      <formula>AND(D$9&gt;=8/24,D$9&lt;14/24)</formula>
    </cfRule>
    <cfRule type="expression" dxfId="4127" priority="238">
      <formula>D$9&lt;8/24</formula>
    </cfRule>
  </conditionalFormatting>
  <conditionalFormatting sqref="M23:AF23 M17:AF17">
    <cfRule type="expression" dxfId="4126" priority="230">
      <formula>M17&gt;$AG17</formula>
    </cfRule>
  </conditionalFormatting>
  <conditionalFormatting sqref="C44:E45">
    <cfRule type="expression" dxfId="4125" priority="213">
      <formula>C$9&gt;=20/24</formula>
    </cfRule>
    <cfRule type="expression" dxfId="4124" priority="214">
      <formula>AND(C$9&gt;=14/24,C$9&lt;20/24)</formula>
    </cfRule>
    <cfRule type="expression" dxfId="4123" priority="215">
      <formula>AND(C$9&gt;=8/24,C$9&lt;14/24)</formula>
    </cfRule>
    <cfRule type="expression" dxfId="4122" priority="216">
      <formula>C$9&lt;8/24</formula>
    </cfRule>
  </conditionalFormatting>
  <conditionalFormatting sqref="C43:E43">
    <cfRule type="expression" dxfId="4121" priority="209">
      <formula>C$9&gt;=20/24</formula>
    </cfRule>
    <cfRule type="expression" dxfId="4120" priority="210">
      <formula>AND(C$9&gt;=14/24,C$9&lt;20/24)</formula>
    </cfRule>
    <cfRule type="expression" dxfId="4119" priority="211">
      <formula>AND(C$9&gt;=8/24,C$9&lt;14/24)</formula>
    </cfRule>
    <cfRule type="expression" dxfId="4118" priority="212">
      <formula>C$9&lt;8/24</formula>
    </cfRule>
  </conditionalFormatting>
  <conditionalFormatting sqref="C43:E45">
    <cfRule type="expression" dxfId="4117" priority="208">
      <formula>C43&gt;$AG43</formula>
    </cfRule>
  </conditionalFormatting>
  <conditionalFormatting sqref="C68:R70">
    <cfRule type="expression" dxfId="4116" priority="204">
      <formula>C$9&gt;=20/24</formula>
    </cfRule>
    <cfRule type="expression" dxfId="4115" priority="205">
      <formula>AND(C$9&gt;=14/24,C$9&lt;20/24)</formula>
    </cfRule>
    <cfRule type="expression" dxfId="4114" priority="206">
      <formula>AND(C$9&gt;=8/24,C$9&lt;14/24)</formula>
    </cfRule>
    <cfRule type="expression" dxfId="4113" priority="207">
      <formula>C$9&lt;8/24</formula>
    </cfRule>
  </conditionalFormatting>
  <conditionalFormatting sqref="C46:E47 F47">
    <cfRule type="expression" dxfId="4112" priority="203">
      <formula>C46&gt;$AG46</formula>
    </cfRule>
  </conditionalFormatting>
  <conditionalFormatting sqref="C48:F54 G49:M54">
    <cfRule type="expression" dxfId="4111" priority="199">
      <formula>C$9&gt;=20/24</formula>
    </cfRule>
    <cfRule type="expression" dxfId="4110" priority="200">
      <formula>AND(C$9&gt;=14/24,C$9&lt;20/24)</formula>
    </cfRule>
    <cfRule type="expression" dxfId="4109" priority="201">
      <formula>AND(C$9&gt;=8/24,C$9&lt;14/24)</formula>
    </cfRule>
    <cfRule type="expression" dxfId="4108" priority="202">
      <formula>C$9&lt;8/24</formula>
    </cfRule>
  </conditionalFormatting>
  <conditionalFormatting sqref="C48:F54 G49:M54">
    <cfRule type="expression" dxfId="4107" priority="198">
      <formula>C48&gt;$AG48</formula>
    </cfRule>
  </conditionalFormatting>
  <conditionalFormatting sqref="C78:AF78 C87:AF87">
    <cfRule type="expression" dxfId="4106" priority="185">
      <formula>C$9&gt;=20/24</formula>
    </cfRule>
    <cfRule type="expression" dxfId="4105" priority="186">
      <formula>AND(C$9&gt;=14/24,C$9&lt;20/24)</formula>
    </cfRule>
    <cfRule type="expression" dxfId="4104" priority="187">
      <formula>AND(C$9&gt;=8/24,C$9&lt;14/24)</formula>
    </cfRule>
    <cfRule type="expression" dxfId="4103" priority="188">
      <formula>C$9&lt;8/24</formula>
    </cfRule>
  </conditionalFormatting>
  <conditionalFormatting sqref="C79:AF79 C60:AG60 C77:AG77 C88:AF88">
    <cfRule type="expression" dxfId="4102" priority="163">
      <formula>C$9&gt;=20/24</formula>
    </cfRule>
    <cfRule type="expression" dxfId="4101" priority="164">
      <formula>AND(C$9&gt;=14/24,C$9&lt;20/24)</formula>
    </cfRule>
    <cfRule type="expression" dxfId="4100" priority="165">
      <formula>AND(C$9&gt;=8/24,C$9&lt;14/24)</formula>
    </cfRule>
    <cfRule type="expression" dxfId="4099" priority="166">
      <formula>C$9&lt;8/24</formula>
    </cfRule>
  </conditionalFormatting>
  <conditionalFormatting sqref="C38:AG38 C56:AG56 C60:AG60">
    <cfRule type="expression" dxfId="4098" priority="158">
      <formula>C38&gt;$AG38</formula>
    </cfRule>
  </conditionalFormatting>
  <conditionalFormatting sqref="A34">
    <cfRule type="expression" dxfId="4097" priority="130">
      <formula>$AH34=0</formula>
    </cfRule>
  </conditionalFormatting>
  <conditionalFormatting sqref="C72:AF72">
    <cfRule type="expression" dxfId="4096" priority="126">
      <formula>C$9&gt;=20/24</formula>
    </cfRule>
    <cfRule type="expression" dxfId="4095" priority="127">
      <formula>AND(C$9&gt;=14/24,C$9&lt;20/24)</formula>
    </cfRule>
    <cfRule type="expression" dxfId="4094" priority="128">
      <formula>AND(C$9&gt;=8/24,C$9&lt;14/24)</formula>
    </cfRule>
    <cfRule type="expression" dxfId="4093" priority="129">
      <formula>C$9&lt;8/24</formula>
    </cfRule>
  </conditionalFormatting>
  <conditionalFormatting sqref="C81:AF85">
    <cfRule type="expression" dxfId="4092" priority="122">
      <formula>C$9&gt;=20/24</formula>
    </cfRule>
    <cfRule type="expression" dxfId="4091" priority="123">
      <formula>AND(C$9&gt;=14/24,C$9&lt;20/24)</formula>
    </cfRule>
    <cfRule type="expression" dxfId="4090" priority="124">
      <formula>AND(C$9&gt;=8/24,C$9&lt;14/24)</formula>
    </cfRule>
    <cfRule type="expression" dxfId="4089" priority="125">
      <formula>C$9&lt;8/24</formula>
    </cfRule>
  </conditionalFormatting>
  <conditionalFormatting sqref="AL35 AL7:AL30 AL32">
    <cfRule type="iconSet" priority="341">
      <iconSet iconSet="3TrafficLights2" reverse="1">
        <cfvo type="percent" val="0"/>
        <cfvo type="num" val="1"/>
        <cfvo type="num" val="1"/>
      </iconSet>
    </cfRule>
  </conditionalFormatting>
  <conditionalFormatting sqref="C39:AF41">
    <cfRule type="expression" dxfId="4088" priority="118">
      <formula>C$9&gt;=20/24</formula>
    </cfRule>
    <cfRule type="expression" dxfId="4087" priority="119">
      <formula>AND(C$9&gt;=14/24,C$9&lt;20/24)</formula>
    </cfRule>
    <cfRule type="expression" dxfId="4086" priority="120">
      <formula>AND(C$9&gt;=8/24,C$9&lt;14/24)</formula>
    </cfRule>
    <cfRule type="expression" dxfId="4085" priority="121">
      <formula>C$9&lt;8/24</formula>
    </cfRule>
  </conditionalFormatting>
  <conditionalFormatting sqref="C39:AF41">
    <cfRule type="expression" dxfId="4084" priority="117">
      <formula>C39&gt;$AG39</formula>
    </cfRule>
  </conditionalFormatting>
  <conditionalFormatting sqref="C42:AG42">
    <cfRule type="expression" dxfId="4083" priority="113">
      <formula>C$9&gt;=20/24</formula>
    </cfRule>
    <cfRule type="expression" dxfId="4082" priority="114">
      <formula>AND(C$9&gt;=14/24,C$9&lt;20/24)</formula>
    </cfRule>
    <cfRule type="expression" dxfId="4081" priority="115">
      <formula>AND(C$9&gt;=8/24,C$9&lt;14/24)</formula>
    </cfRule>
    <cfRule type="expression" dxfId="4080" priority="116">
      <formula>C$9&lt;8/24</formula>
    </cfRule>
  </conditionalFormatting>
  <conditionalFormatting sqref="C42:AG42">
    <cfRule type="expression" dxfId="4079" priority="112">
      <formula>C42&gt;$AG42</formula>
    </cfRule>
  </conditionalFormatting>
  <conditionalFormatting sqref="C97:AF97">
    <cfRule type="expression" dxfId="4078" priority="108">
      <formula>C$9&gt;=20/24</formula>
    </cfRule>
    <cfRule type="expression" dxfId="4077" priority="109">
      <formula>AND(C$9&gt;=14/24,C$9&lt;20/24)</formula>
    </cfRule>
    <cfRule type="expression" dxfId="4076" priority="110">
      <formula>AND(C$9&gt;=8/24,C$9&lt;14/24)</formula>
    </cfRule>
    <cfRule type="expression" dxfId="4075" priority="111">
      <formula>C$9&lt;8/24</formula>
    </cfRule>
  </conditionalFormatting>
  <conditionalFormatting sqref="AL31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4074" priority="97">
      <formula>$AH31=0</formula>
    </cfRule>
  </conditionalFormatting>
  <conditionalFormatting sqref="A80">
    <cfRule type="expression" dxfId="4073" priority="95">
      <formula>$AH80=0</formula>
    </cfRule>
  </conditionalFormatting>
  <conditionalFormatting sqref="A77">
    <cfRule type="expression" dxfId="4072" priority="96">
      <formula>$AH77=0</formula>
    </cfRule>
  </conditionalFormatting>
  <conditionalFormatting sqref="B99:B105 B11:C11">
    <cfRule type="expression" dxfId="4071" priority="91">
      <formula>B$9&gt;=20/24</formula>
    </cfRule>
    <cfRule type="expression" dxfId="4070" priority="92">
      <formula>AND(B$9&gt;=14/24,B$9&lt;20/24)</formula>
    </cfRule>
    <cfRule type="expression" dxfId="4069" priority="93">
      <formula>AND(B$9&gt;=8/24,B$9&lt;14/24)</formula>
    </cfRule>
    <cfRule type="expression" dxfId="4068" priority="94">
      <formula>B$9&lt;8/24</formula>
    </cfRule>
  </conditionalFormatting>
  <conditionalFormatting sqref="B37:D37">
    <cfRule type="expression" dxfId="4067" priority="87">
      <formula>B$9&gt;=20/24</formula>
    </cfRule>
    <cfRule type="expression" dxfId="4066" priority="88">
      <formula>AND(B$9&gt;=14/24,B$9&lt;20/24)</formula>
    </cfRule>
    <cfRule type="expression" dxfId="4065" priority="89">
      <formula>AND(B$9&gt;=8/24,B$9&lt;14/24)</formula>
    </cfRule>
    <cfRule type="expression" dxfId="4064" priority="90">
      <formula>B$9&lt;8/24</formula>
    </cfRule>
  </conditionalFormatting>
  <conditionalFormatting sqref="B11:C16 B37:D37 D13:L16 B35:P35">
    <cfRule type="expression" dxfId="4063" priority="86">
      <formula>B11&gt;$AG11</formula>
    </cfRule>
  </conditionalFormatting>
  <conditionalFormatting sqref="B89">
    <cfRule type="expression" dxfId="4062" priority="82">
      <formula>B$9&gt;=20/24</formula>
    </cfRule>
    <cfRule type="expression" dxfId="4061" priority="83">
      <formula>AND(B$9&gt;=14/24,B$9&lt;20/24)</formula>
    </cfRule>
    <cfRule type="expression" dxfId="4060" priority="84">
      <formula>AND(B$9&gt;=8/24,B$9&lt;14/24)</formula>
    </cfRule>
    <cfRule type="expression" dxfId="4059" priority="85">
      <formula>B$9&lt;8/24</formula>
    </cfRule>
  </conditionalFormatting>
  <conditionalFormatting sqref="B61 B44:B45 B36:L36">
    <cfRule type="expression" dxfId="4058" priority="78">
      <formula>B$9&gt;=20/24</formula>
    </cfRule>
    <cfRule type="expression" dxfId="4057" priority="79">
      <formula>AND(B$9&gt;=14/24,B$9&lt;20/24)</formula>
    </cfRule>
    <cfRule type="expression" dxfId="4056" priority="80">
      <formula>AND(B$9&gt;=8/24,B$9&lt;14/24)</formula>
    </cfRule>
    <cfRule type="expression" dxfId="4055" priority="81">
      <formula>B$9&lt;8/24</formula>
    </cfRule>
  </conditionalFormatting>
  <conditionalFormatting sqref="B43">
    <cfRule type="expression" dxfId="4054" priority="74">
      <formula>B$9&gt;=20/24</formula>
    </cfRule>
    <cfRule type="expression" dxfId="4053" priority="75">
      <formula>AND(B$9&gt;=14/24,B$9&lt;20/24)</formula>
    </cfRule>
    <cfRule type="expression" dxfId="4052" priority="76">
      <formula>AND(B$9&gt;=8/24,B$9&lt;14/24)</formula>
    </cfRule>
    <cfRule type="expression" dxfId="4051" priority="77">
      <formula>B$9&lt;8/24</formula>
    </cfRule>
  </conditionalFormatting>
  <conditionalFormatting sqref="B43:B45 B36:L36">
    <cfRule type="expression" dxfId="4050" priority="73">
      <formula>B36&gt;$AG36</formula>
    </cfRule>
  </conditionalFormatting>
  <conditionalFormatting sqref="B86 B90:B96 B57:B59 B62:B71 B73:B76 B12:C14 B16:L16 B18:L22 B24:L26 D13:L14 B28:N30 O28:P28 B32:P32 O30:P30">
    <cfRule type="expression" dxfId="4049" priority="69">
      <formula>B$9&gt;=20/24</formula>
    </cfRule>
    <cfRule type="expression" dxfId="4048" priority="70">
      <formula>AND(B$9&gt;=14/24,B$9&lt;20/24)</formula>
    </cfRule>
    <cfRule type="expression" dxfId="4047" priority="71">
      <formula>AND(B$9&gt;=8/24,B$9&lt;14/24)</formula>
    </cfRule>
    <cfRule type="expression" dxfId="4046" priority="72">
      <formula>B$9&lt;8/24</formula>
    </cfRule>
  </conditionalFormatting>
  <conditionalFormatting sqref="B33:P33">
    <cfRule type="expression" dxfId="4045" priority="65">
      <formula>B$9&gt;=20/24</formula>
    </cfRule>
    <cfRule type="expression" dxfId="4044" priority="66">
      <formula>AND(B$9&gt;=14/24,B$9&lt;20/24)</formula>
    </cfRule>
    <cfRule type="expression" dxfId="4043" priority="67">
      <formula>AND(B$9&gt;=8/24,B$9&lt;14/24)</formula>
    </cfRule>
    <cfRule type="expression" dxfId="4042" priority="68">
      <formula>B$9&lt;8/24</formula>
    </cfRule>
  </conditionalFormatting>
  <conditionalFormatting sqref="B46:B47 B55 B57:B59 B18:L22 B24:L30 M27:N30 O27:P28 O30:P30 B32:P33">
    <cfRule type="expression" dxfId="4041" priority="64">
      <formula>B18&gt;$AG18</formula>
    </cfRule>
  </conditionalFormatting>
  <conditionalFormatting sqref="B35:P35">
    <cfRule type="expression" dxfId="4040" priority="60">
      <formula>B$9&gt;=20/24</formula>
    </cfRule>
    <cfRule type="expression" dxfId="4039" priority="61">
      <formula>AND(B$9&gt;=14/24,B$9&lt;20/24)</formula>
    </cfRule>
    <cfRule type="expression" dxfId="4038" priority="62">
      <formula>AND(B$9&gt;=8/24,B$9&lt;14/24)</formula>
    </cfRule>
    <cfRule type="expression" dxfId="4037" priority="63">
      <formula>B$9&lt;8/24</formula>
    </cfRule>
  </conditionalFormatting>
  <conditionalFormatting sqref="B15:L15">
    <cfRule type="expression" dxfId="4036" priority="56">
      <formula>B$9&gt;=20/24</formula>
    </cfRule>
    <cfRule type="expression" dxfId="4035" priority="57">
      <formula>AND(B$9&gt;=14/24,B$9&lt;20/24)</formula>
    </cfRule>
    <cfRule type="expression" dxfId="4034" priority="58">
      <formula>AND(B$9&gt;=8/24,B$9&lt;14/24)</formula>
    </cfRule>
    <cfRule type="expression" dxfId="4033" priority="59">
      <formula>B$9&lt;8/24</formula>
    </cfRule>
  </conditionalFormatting>
  <conditionalFormatting sqref="B34:P34">
    <cfRule type="expression" dxfId="4032" priority="52">
      <formula>B$9&gt;=20/24</formula>
    </cfRule>
    <cfRule type="expression" dxfId="4031" priority="53">
      <formula>AND(B$9&gt;=14/24,B$9&lt;20/24)</formula>
    </cfRule>
    <cfRule type="expression" dxfId="4030" priority="54">
      <formula>AND(B$9&gt;=8/24,B$9&lt;14/24)</formula>
    </cfRule>
    <cfRule type="expression" dxfId="4029" priority="55">
      <formula>B$9&lt;8/24</formula>
    </cfRule>
  </conditionalFormatting>
  <conditionalFormatting sqref="B34:P34">
    <cfRule type="expression" dxfId="4028" priority="51">
      <formula>B34&gt;$AG34</formula>
    </cfRule>
  </conditionalFormatting>
  <conditionalFormatting sqref="B48:B54">
    <cfRule type="expression" dxfId="4027" priority="47">
      <formula>B$9&gt;=20/24</formula>
    </cfRule>
    <cfRule type="expression" dxfId="4026" priority="48">
      <formula>AND(B$9&gt;=14/24,B$9&lt;20/24)</formula>
    </cfRule>
    <cfRule type="expression" dxfId="4025" priority="49">
      <formula>AND(B$9&gt;=8/24,B$9&lt;14/24)</formula>
    </cfRule>
    <cfRule type="expression" dxfId="4024" priority="50">
      <formula>B$9&lt;8/24</formula>
    </cfRule>
  </conditionalFormatting>
  <conditionalFormatting sqref="B48:B54">
    <cfRule type="expression" dxfId="4023" priority="46">
      <formula>B48&gt;$AG48</formula>
    </cfRule>
  </conditionalFormatting>
  <conditionalFormatting sqref="B27:P27">
    <cfRule type="expression" dxfId="4022" priority="42">
      <formula>B$9&gt;=20/24</formula>
    </cfRule>
    <cfRule type="expression" dxfId="4021" priority="43">
      <formula>AND(B$9&gt;=14/24,B$9&lt;20/24)</formula>
    </cfRule>
    <cfRule type="expression" dxfId="4020" priority="44">
      <formula>AND(B$9&gt;=8/24,B$9&lt;14/24)</formula>
    </cfRule>
    <cfRule type="expression" dxfId="4019" priority="45">
      <formula>B$9&lt;8/24</formula>
    </cfRule>
  </conditionalFormatting>
  <conditionalFormatting sqref="B17:L17 B23:L23">
    <cfRule type="expression" dxfId="4018" priority="38">
      <formula>B$9&gt;=20/24</formula>
    </cfRule>
    <cfRule type="expression" dxfId="4017" priority="39">
      <formula>AND(B$9&gt;=14/24,B$9&lt;20/24)</formula>
    </cfRule>
    <cfRule type="expression" dxfId="4016" priority="40">
      <formula>AND(B$9&gt;=8/24,B$9&lt;14/24)</formula>
    </cfRule>
    <cfRule type="expression" dxfId="4015" priority="41">
      <formula>B$9&lt;8/24</formula>
    </cfRule>
  </conditionalFormatting>
  <conditionalFormatting sqref="B17:L17 B23:L23">
    <cfRule type="expression" dxfId="4014" priority="37">
      <formula>B17&gt;$AG17</formula>
    </cfRule>
  </conditionalFormatting>
  <conditionalFormatting sqref="B78 B87">
    <cfRule type="expression" dxfId="4013" priority="33">
      <formula>B$9&gt;=20/24</formula>
    </cfRule>
    <cfRule type="expression" dxfId="4012" priority="34">
      <formula>AND(B$9&gt;=14/24,B$9&lt;20/24)</formula>
    </cfRule>
    <cfRule type="expression" dxfId="4011" priority="35">
      <formula>AND(B$9&gt;=8/24,B$9&lt;14/24)</formula>
    </cfRule>
    <cfRule type="expression" dxfId="4010" priority="36">
      <formula>B$9&lt;8/24</formula>
    </cfRule>
  </conditionalFormatting>
  <conditionalFormatting sqref="B79 B60 B77 B88">
    <cfRule type="expression" dxfId="4009" priority="29">
      <formula>B$9&gt;=20/24</formula>
    </cfRule>
    <cfRule type="expression" dxfId="4008" priority="30">
      <formula>AND(B$9&gt;=14/24,B$9&lt;20/24)</formula>
    </cfRule>
    <cfRule type="expression" dxfId="4007" priority="31">
      <formula>AND(B$9&gt;=8/24,B$9&lt;14/24)</formula>
    </cfRule>
    <cfRule type="expression" dxfId="4006" priority="32">
      <formula>B$9&lt;8/24</formula>
    </cfRule>
  </conditionalFormatting>
  <conditionalFormatting sqref="B38 B56 B60">
    <cfRule type="expression" dxfId="4005" priority="28">
      <formula>B38&gt;$AG38</formula>
    </cfRule>
  </conditionalFormatting>
  <conditionalFormatting sqref="B72">
    <cfRule type="expression" dxfId="4004" priority="24">
      <formula>B$9&gt;=20/24</formula>
    </cfRule>
    <cfRule type="expression" dxfId="4003" priority="25">
      <formula>AND(B$9&gt;=14/24,B$9&lt;20/24)</formula>
    </cfRule>
    <cfRule type="expression" dxfId="4002" priority="26">
      <formula>AND(B$9&gt;=8/24,B$9&lt;14/24)</formula>
    </cfRule>
    <cfRule type="expression" dxfId="4001" priority="27">
      <formula>B$9&lt;8/24</formula>
    </cfRule>
  </conditionalFormatting>
  <conditionalFormatting sqref="B81:B85">
    <cfRule type="expression" dxfId="4000" priority="20">
      <formula>B$9&gt;=20/24</formula>
    </cfRule>
    <cfRule type="expression" dxfId="3999" priority="21">
      <formula>AND(B$9&gt;=14/24,B$9&lt;20/24)</formula>
    </cfRule>
    <cfRule type="expression" dxfId="3998" priority="22">
      <formula>AND(B$9&gt;=8/24,B$9&lt;14/24)</formula>
    </cfRule>
    <cfRule type="expression" dxfId="3997" priority="23">
      <formula>B$9&lt;8/24</formula>
    </cfRule>
  </conditionalFormatting>
  <conditionalFormatting sqref="B39:B41">
    <cfRule type="expression" dxfId="3996" priority="16">
      <formula>B$9&gt;=20/24</formula>
    </cfRule>
    <cfRule type="expression" dxfId="3995" priority="17">
      <formula>AND(B$9&gt;=14/24,B$9&lt;20/24)</formula>
    </cfRule>
    <cfRule type="expression" dxfId="3994" priority="18">
      <formula>AND(B$9&gt;=8/24,B$9&lt;14/24)</formula>
    </cfRule>
    <cfRule type="expression" dxfId="3993" priority="19">
      <formula>B$9&lt;8/24</formula>
    </cfRule>
  </conditionalFormatting>
  <conditionalFormatting sqref="B39:B41">
    <cfRule type="expression" dxfId="3992" priority="15">
      <formula>B39&gt;$AG39</formula>
    </cfRule>
  </conditionalFormatting>
  <conditionalFormatting sqref="B42">
    <cfRule type="expression" dxfId="3991" priority="11">
      <formula>B$9&gt;=20/24</formula>
    </cfRule>
    <cfRule type="expression" dxfId="3990" priority="12">
      <formula>AND(B$9&gt;=14/24,B$9&lt;20/24)</formula>
    </cfRule>
    <cfRule type="expression" dxfId="3989" priority="13">
      <formula>AND(B$9&gt;=8/24,B$9&lt;14/24)</formula>
    </cfRule>
    <cfRule type="expression" dxfId="3988" priority="14">
      <formula>B$9&lt;8/24</formula>
    </cfRule>
  </conditionalFormatting>
  <conditionalFormatting sqref="B42">
    <cfRule type="expression" dxfId="3987" priority="10">
      <formula>B42&gt;$AG42</formula>
    </cfRule>
  </conditionalFormatting>
  <conditionalFormatting sqref="B97">
    <cfRule type="expression" dxfId="3986" priority="6">
      <formula>B$9&gt;=20/24</formula>
    </cfRule>
    <cfRule type="expression" dxfId="3985" priority="7">
      <formula>AND(B$9&gt;=14/24,B$9&lt;20/24)</formula>
    </cfRule>
    <cfRule type="expression" dxfId="3984" priority="8">
      <formula>AND(B$9&gt;=8/24,B$9&lt;14/24)</formula>
    </cfRule>
    <cfRule type="expression" dxfId="3983" priority="9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9" id="{6A65653E-589E-4740-890D-8874CB702712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0" id="{08843AF6-A655-4D7D-B90B-E952836BDBF0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1" id="{1A804317-D185-4794-A672-E27736024E4D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02" id="{1D0DD921-0F9F-492E-83D7-97A96F55B509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98" id="{9E40857F-A994-4BC3-9D1F-2D583B9B8AB5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2"/>
  <sheetViews>
    <sheetView zoomScale="90" zoomScaleNormal="90" workbookViewId="0">
      <pane xSplit="1" ySplit="10" topLeftCell="B89" activePane="bottomRight" state="frozen"/>
      <selection activeCell="AF88" sqref="AF88"/>
      <selection pane="topRight" activeCell="AF88" sqref="AF88"/>
      <selection pane="bottomLeft" activeCell="AF88" sqref="AF88"/>
      <selection pane="bottomRight" activeCell="A105" sqref="A105:XFD105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2079/02/15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("&amp;ROUND(B237,0)&amp;" MW)"&amp;"    IPP   = "&amp;ROUND(B232,0)&amp;" MW     NEA RoR = "&amp;ROUND(B233,0)&amp;" MWImport   = "&amp;ROUND(B235,0)&amp;" MW      KL1+KL2+K3 = "&amp;ROUND(B234,0) &amp;" MW    EXPORT = "&amp;ROUND(B236,0)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0</v>
      </c>
      <c r="C5" s="32">
        <f t="shared" si="0"/>
        <v>0</v>
      </c>
      <c r="D5" s="32">
        <f t="shared" si="0"/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13.9</v>
      </c>
      <c r="O5" s="32">
        <f t="shared" si="0"/>
        <v>24.2</v>
      </c>
      <c r="P5" s="32">
        <f t="shared" si="0"/>
        <v>9.3000000000000007</v>
      </c>
      <c r="Q5" s="32">
        <f t="shared" si="0"/>
        <v>2.4</v>
      </c>
      <c r="R5" s="32">
        <f t="shared" si="0"/>
        <v>6</v>
      </c>
      <c r="S5" s="32">
        <f t="shared" si="0"/>
        <v>3</v>
      </c>
      <c r="T5" s="32">
        <f t="shared" si="0"/>
        <v>2.1</v>
      </c>
      <c r="U5" s="32">
        <f t="shared" si="0"/>
        <v>21.2</v>
      </c>
      <c r="V5" s="32">
        <f t="shared" si="0"/>
        <v>15</v>
      </c>
      <c r="W5" s="32">
        <f t="shared" si="0"/>
        <v>16</v>
      </c>
      <c r="X5" s="32">
        <f t="shared" si="0"/>
        <v>16</v>
      </c>
      <c r="Y5" s="32">
        <f t="shared" si="0"/>
        <v>28</v>
      </c>
      <c r="Z5" s="32">
        <f t="shared" si="0"/>
        <v>39</v>
      </c>
      <c r="AA5" s="32">
        <f t="shared" si="0"/>
        <v>52.5</v>
      </c>
      <c r="AB5" s="32">
        <f t="shared" si="0"/>
        <v>51</v>
      </c>
      <c r="AC5" s="32">
        <f t="shared" si="0"/>
        <v>54.7</v>
      </c>
      <c r="AD5" s="32">
        <f t="shared" si="0"/>
        <v>31</v>
      </c>
      <c r="AE5" s="32">
        <f t="shared" si="0"/>
        <v>6.2</v>
      </c>
      <c r="AF5" s="32">
        <f>B72</f>
        <v>16.3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"&amp;ROUND(B237,0)&amp;"MW at "&amp;TRUNC(B238*24,0)&amp;":"&amp;ROUND((B238*24-TRUNC(B238*24,0))*60,0)&amp;"hr at "&amp;ROUND(B239,1)&amp;"Hz     "&amp;A229&amp;" "&amp;ROUND(B229,0)&amp;"MW at "&amp;TRUNC(C229*24,0)&amp;":"&amp;ROUND((C229*24-TRUNC(C229*24,0))*6,0)&amp;"0hr"</f>
        <v>Evening Peak 0MW at 0:0hr at 0Hz     Morning Peak 1739MW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Load=1518</v>
      </c>
      <c r="B7" s="37">
        <f>B79</f>
        <v>1760.3400000000001</v>
      </c>
      <c r="C7" s="37">
        <f t="shared" ref="C7:AF7" si="1">C79</f>
        <v>1706.64</v>
      </c>
      <c r="D7" s="37">
        <f t="shared" si="1"/>
        <v>1691.14</v>
      </c>
      <c r="E7" s="37">
        <f t="shared" si="1"/>
        <v>1655.14</v>
      </c>
      <c r="F7" s="37">
        <f t="shared" si="1"/>
        <v>1639.3400000000001</v>
      </c>
      <c r="G7" s="37">
        <f t="shared" si="1"/>
        <v>1638.0400000000002</v>
      </c>
      <c r="H7" s="37">
        <f t="shared" si="1"/>
        <v>1518.0400000000002</v>
      </c>
      <c r="I7" s="37">
        <f t="shared" si="1"/>
        <v>1606.64</v>
      </c>
      <c r="J7" s="37">
        <f t="shared" si="1"/>
        <v>1610.64</v>
      </c>
      <c r="K7" s="37">
        <f t="shared" si="1"/>
        <v>1644.5400000000002</v>
      </c>
      <c r="L7" s="37">
        <f t="shared" si="1"/>
        <v>1689.64</v>
      </c>
      <c r="M7" s="37">
        <f t="shared" si="1"/>
        <v>1739.0400000000002</v>
      </c>
      <c r="N7" s="37">
        <f t="shared" si="1"/>
        <v>1688.7400000000002</v>
      </c>
      <c r="O7" s="37">
        <f t="shared" si="1"/>
        <v>1708.0400000000002</v>
      </c>
      <c r="P7" s="37">
        <f t="shared" si="1"/>
        <v>1687.8400000000001</v>
      </c>
      <c r="Q7" s="37">
        <f t="shared" si="1"/>
        <v>1679.74</v>
      </c>
      <c r="R7" s="37">
        <f t="shared" si="1"/>
        <v>1626.8400000000001</v>
      </c>
      <c r="S7" s="37">
        <f t="shared" si="1"/>
        <v>1636.14</v>
      </c>
      <c r="T7" s="37">
        <f t="shared" si="1"/>
        <v>1676.94</v>
      </c>
      <c r="U7" s="37">
        <f t="shared" si="1"/>
        <v>1676.04</v>
      </c>
      <c r="V7" s="37">
        <f t="shared" si="1"/>
        <v>1695.14</v>
      </c>
      <c r="W7" s="37">
        <f t="shared" si="1"/>
        <v>1639.24</v>
      </c>
      <c r="X7" s="37">
        <f t="shared" si="1"/>
        <v>1640.24</v>
      </c>
      <c r="Y7" s="37">
        <f t="shared" si="1"/>
        <v>1666.94</v>
      </c>
      <c r="Z7" s="37">
        <f t="shared" si="1"/>
        <v>1769.14</v>
      </c>
      <c r="AA7" s="37">
        <f t="shared" si="1"/>
        <v>1850.3400000000001</v>
      </c>
      <c r="AB7" s="37">
        <f t="shared" si="1"/>
        <v>1873.94</v>
      </c>
      <c r="AC7" s="37">
        <f t="shared" si="1"/>
        <v>1860.34</v>
      </c>
      <c r="AD7" s="37">
        <f t="shared" si="1"/>
        <v>1825.44</v>
      </c>
      <c r="AE7" s="37">
        <f t="shared" si="1"/>
        <v>1775.74</v>
      </c>
      <c r="AF7" s="37">
        <f t="shared" si="1"/>
        <v>1683.74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179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0">
        <v>53.6</v>
      </c>
      <c r="C11" s="50">
        <v>53.6</v>
      </c>
      <c r="D11" s="50">
        <v>53.6</v>
      </c>
      <c r="E11" s="50">
        <v>53.6</v>
      </c>
      <c r="F11" s="50">
        <v>53.6</v>
      </c>
      <c r="G11" s="50">
        <v>53.6</v>
      </c>
      <c r="H11" s="50">
        <v>53.6</v>
      </c>
      <c r="I11" s="50">
        <v>53.6</v>
      </c>
      <c r="J11" s="50">
        <v>53.6</v>
      </c>
      <c r="K11" s="50">
        <v>53.6</v>
      </c>
      <c r="L11" s="50">
        <v>53.6</v>
      </c>
      <c r="M11" s="50">
        <v>53.6</v>
      </c>
      <c r="N11" s="50">
        <v>53.6</v>
      </c>
      <c r="O11" s="50">
        <v>53.6</v>
      </c>
      <c r="P11" s="50">
        <v>53.6</v>
      </c>
      <c r="Q11" s="50">
        <v>53.6</v>
      </c>
      <c r="R11" s="50">
        <v>53.6</v>
      </c>
      <c r="S11" s="50">
        <v>53.6</v>
      </c>
      <c r="T11" s="50">
        <v>53.6</v>
      </c>
      <c r="U11" s="50">
        <v>53.6</v>
      </c>
      <c r="V11" s="50">
        <v>53.6</v>
      </c>
      <c r="W11" s="50">
        <v>53.6</v>
      </c>
      <c r="X11" s="50">
        <v>53.6</v>
      </c>
      <c r="Y11" s="50">
        <v>53.6</v>
      </c>
      <c r="Z11" s="50">
        <v>53.6</v>
      </c>
      <c r="AA11" s="50">
        <v>53.6</v>
      </c>
      <c r="AB11" s="52">
        <v>53.6</v>
      </c>
      <c r="AC11" s="52">
        <v>53.6</v>
      </c>
      <c r="AD11" s="52">
        <v>53.6</v>
      </c>
      <c r="AE11" s="52">
        <v>53.6</v>
      </c>
      <c r="AF11" s="52">
        <v>53.6</v>
      </c>
      <c r="AG11" s="133">
        <v>52.4</v>
      </c>
      <c r="AH11" s="54">
        <f>MAX(B11:AF11)</f>
        <v>53.6</v>
      </c>
      <c r="AI11" s="55">
        <f>MIN(B11:AF11)</f>
        <v>53.6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50.3</v>
      </c>
      <c r="C12" s="50">
        <v>50.3</v>
      </c>
      <c r="D12" s="50">
        <v>50.3</v>
      </c>
      <c r="E12" s="50">
        <v>50.3</v>
      </c>
      <c r="F12" s="50">
        <v>50.3</v>
      </c>
      <c r="G12" s="50">
        <v>50.3</v>
      </c>
      <c r="H12" s="50">
        <v>50.3</v>
      </c>
      <c r="I12" s="50">
        <v>50.3</v>
      </c>
      <c r="J12" s="50">
        <v>50.3</v>
      </c>
      <c r="K12" s="50">
        <v>50.3</v>
      </c>
      <c r="L12" s="50">
        <v>50.3</v>
      </c>
      <c r="M12" s="50">
        <v>50.7</v>
      </c>
      <c r="N12" s="50">
        <v>50.7</v>
      </c>
      <c r="O12" s="50">
        <v>50.7</v>
      </c>
      <c r="P12" s="50">
        <v>50.7</v>
      </c>
      <c r="Q12" s="50">
        <v>50.5</v>
      </c>
      <c r="R12" s="50">
        <v>50.2</v>
      </c>
      <c r="S12" s="50">
        <v>50.2</v>
      </c>
      <c r="T12" s="50">
        <v>50.2</v>
      </c>
      <c r="U12" s="50">
        <v>50.2</v>
      </c>
      <c r="V12" s="50">
        <v>50.2</v>
      </c>
      <c r="W12" s="50">
        <v>50.2</v>
      </c>
      <c r="X12" s="50">
        <v>50.2</v>
      </c>
      <c r="Y12" s="50">
        <v>50.2</v>
      </c>
      <c r="Z12" s="50">
        <v>50.2</v>
      </c>
      <c r="AA12" s="50">
        <v>50.2</v>
      </c>
      <c r="AB12" s="50">
        <v>50.2</v>
      </c>
      <c r="AC12" s="50">
        <v>50.2</v>
      </c>
      <c r="AD12" s="50">
        <v>50.2</v>
      </c>
      <c r="AE12" s="50">
        <v>50.2</v>
      </c>
      <c r="AF12" s="50">
        <v>50.2</v>
      </c>
      <c r="AG12" s="134">
        <v>50</v>
      </c>
      <c r="AH12" s="54">
        <f t="shared" ref="AH12:AH79" si="2">MAX(B12:AF12)</f>
        <v>50.7</v>
      </c>
      <c r="AI12" s="55">
        <f t="shared" ref="AI12:AI79" si="3">MIN(B12:AF12)</f>
        <v>50.2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45.7</v>
      </c>
      <c r="C13" s="50">
        <v>45.7</v>
      </c>
      <c r="D13" s="50">
        <v>45.7</v>
      </c>
      <c r="E13" s="50">
        <v>45.7</v>
      </c>
      <c r="F13" s="50">
        <v>45.7</v>
      </c>
      <c r="G13" s="50">
        <v>45.7</v>
      </c>
      <c r="H13" s="50">
        <v>45.7</v>
      </c>
      <c r="I13" s="50">
        <v>45.7</v>
      </c>
      <c r="J13" s="50">
        <v>45.7</v>
      </c>
      <c r="K13" s="50">
        <v>45.7</v>
      </c>
      <c r="L13" s="50">
        <v>45.7</v>
      </c>
      <c r="M13" s="50">
        <v>45.9</v>
      </c>
      <c r="N13" s="50">
        <v>45.9</v>
      </c>
      <c r="O13" s="50">
        <v>45.9</v>
      </c>
      <c r="P13" s="50">
        <v>45.9</v>
      </c>
      <c r="Q13" s="50">
        <v>45.8</v>
      </c>
      <c r="R13" s="50">
        <v>46.1</v>
      </c>
      <c r="S13" s="50">
        <v>46.1</v>
      </c>
      <c r="T13" s="50">
        <v>46.1</v>
      </c>
      <c r="U13" s="50">
        <v>46.1</v>
      </c>
      <c r="V13" s="50">
        <v>46.1</v>
      </c>
      <c r="W13" s="50">
        <v>46.1</v>
      </c>
      <c r="X13" s="50">
        <v>46.1</v>
      </c>
      <c r="Y13" s="50">
        <v>46.1</v>
      </c>
      <c r="Z13" s="50">
        <v>46.1</v>
      </c>
      <c r="AA13" s="50">
        <v>46.1</v>
      </c>
      <c r="AB13" s="50">
        <v>46.1</v>
      </c>
      <c r="AC13" s="50">
        <v>46.1</v>
      </c>
      <c r="AD13" s="50">
        <v>46.1</v>
      </c>
      <c r="AE13" s="50">
        <v>46.1</v>
      </c>
      <c r="AF13" s="50">
        <v>46.1</v>
      </c>
      <c r="AG13" s="134">
        <v>45</v>
      </c>
      <c r="AH13" s="54">
        <f t="shared" si="2"/>
        <v>46.1</v>
      </c>
      <c r="AI13" s="55">
        <f t="shared" si="3"/>
        <v>45.7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26</v>
      </c>
      <c r="C14" s="50">
        <v>26</v>
      </c>
      <c r="D14" s="50">
        <v>26</v>
      </c>
      <c r="E14" s="50">
        <v>26</v>
      </c>
      <c r="F14" s="50">
        <v>26</v>
      </c>
      <c r="G14" s="50">
        <v>26</v>
      </c>
      <c r="H14" s="50">
        <v>26</v>
      </c>
      <c r="I14" s="50">
        <v>26</v>
      </c>
      <c r="J14" s="50">
        <v>26</v>
      </c>
      <c r="K14" s="50">
        <v>26</v>
      </c>
      <c r="L14" s="50">
        <v>26</v>
      </c>
      <c r="M14" s="50">
        <v>26</v>
      </c>
      <c r="N14" s="50">
        <v>26</v>
      </c>
      <c r="O14" s="50">
        <v>26</v>
      </c>
      <c r="P14" s="50">
        <v>26</v>
      </c>
      <c r="Q14" s="50">
        <v>26</v>
      </c>
      <c r="R14" s="50">
        <v>26</v>
      </c>
      <c r="S14" s="50">
        <v>26</v>
      </c>
      <c r="T14" s="50">
        <v>26</v>
      </c>
      <c r="U14" s="50">
        <v>26</v>
      </c>
      <c r="V14" s="50">
        <v>26</v>
      </c>
      <c r="W14" s="50">
        <v>26</v>
      </c>
      <c r="X14" s="50">
        <v>26</v>
      </c>
      <c r="Y14" s="50">
        <v>26</v>
      </c>
      <c r="Z14" s="50">
        <v>26</v>
      </c>
      <c r="AA14" s="50">
        <v>35</v>
      </c>
      <c r="AB14" s="50">
        <v>35</v>
      </c>
      <c r="AC14" s="50">
        <v>35</v>
      </c>
      <c r="AD14" s="50">
        <v>35</v>
      </c>
      <c r="AE14" s="50">
        <v>26</v>
      </c>
      <c r="AF14" s="50">
        <v>26</v>
      </c>
      <c r="AG14" s="134">
        <v>42</v>
      </c>
      <c r="AH14" s="54">
        <f t="shared" si="2"/>
        <v>35</v>
      </c>
      <c r="AI14" s="55">
        <f t="shared" si="3"/>
        <v>26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0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30</v>
      </c>
      <c r="AA15" s="50">
        <v>30</v>
      </c>
      <c r="AB15" s="50">
        <v>30</v>
      </c>
      <c r="AC15" s="50">
        <v>30</v>
      </c>
      <c r="AD15" s="50">
        <v>30</v>
      </c>
      <c r="AE15" s="50">
        <v>30</v>
      </c>
      <c r="AF15" s="50">
        <v>0</v>
      </c>
      <c r="AG15" s="135">
        <v>30</v>
      </c>
      <c r="AH15" s="54">
        <f t="shared" si="2"/>
        <v>30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25.3</v>
      </c>
      <c r="C16" s="50">
        <v>25.3</v>
      </c>
      <c r="D16" s="50">
        <v>25.3</v>
      </c>
      <c r="E16" s="50">
        <v>25.3</v>
      </c>
      <c r="F16" s="50">
        <v>25.1</v>
      </c>
      <c r="G16" s="50">
        <v>25.1</v>
      </c>
      <c r="H16" s="50">
        <v>25.1</v>
      </c>
      <c r="I16" s="50">
        <v>13.1</v>
      </c>
      <c r="J16" s="50">
        <v>17.100000000000001</v>
      </c>
      <c r="K16" s="50">
        <v>25.8</v>
      </c>
      <c r="L16" s="50">
        <v>25.8</v>
      </c>
      <c r="M16" s="50">
        <v>25.8</v>
      </c>
      <c r="N16" s="50">
        <v>25.8</v>
      </c>
      <c r="O16" s="50">
        <v>25.8</v>
      </c>
      <c r="P16" s="50">
        <v>25.8</v>
      </c>
      <c r="Q16" s="50">
        <v>25.4</v>
      </c>
      <c r="R16" s="50">
        <v>25.3</v>
      </c>
      <c r="S16" s="50">
        <v>25.3</v>
      </c>
      <c r="T16" s="50">
        <v>25.3</v>
      </c>
      <c r="U16" s="50">
        <v>25.3</v>
      </c>
      <c r="V16" s="50">
        <v>25.3</v>
      </c>
      <c r="W16" s="50">
        <v>25.3</v>
      </c>
      <c r="X16" s="50">
        <v>25.3</v>
      </c>
      <c r="Y16" s="50">
        <v>25.3</v>
      </c>
      <c r="Z16" s="50">
        <v>25.3</v>
      </c>
      <c r="AA16" s="50">
        <v>25.3</v>
      </c>
      <c r="AB16" s="50">
        <v>25.3</v>
      </c>
      <c r="AC16" s="50">
        <v>25.3</v>
      </c>
      <c r="AD16" s="50">
        <v>25.3</v>
      </c>
      <c r="AE16" s="50">
        <v>25.3</v>
      </c>
      <c r="AF16" s="50">
        <v>25.3</v>
      </c>
      <c r="AG16" s="134">
        <v>25</v>
      </c>
      <c r="AH16" s="54">
        <f t="shared" si="2"/>
        <v>25.8</v>
      </c>
      <c r="AI16" s="55">
        <f t="shared" si="3"/>
        <v>13.1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25</v>
      </c>
      <c r="D18" s="50">
        <v>25</v>
      </c>
      <c r="E18" s="50">
        <v>25</v>
      </c>
      <c r="F18" s="50">
        <v>25</v>
      </c>
      <c r="G18" s="50">
        <v>25</v>
      </c>
      <c r="H18" s="50">
        <v>25</v>
      </c>
      <c r="I18" s="50">
        <v>25</v>
      </c>
      <c r="J18" s="50">
        <v>25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25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25</v>
      </c>
      <c r="C19" s="50">
        <v>25</v>
      </c>
      <c r="D19" s="50">
        <v>25</v>
      </c>
      <c r="E19" s="50">
        <v>25</v>
      </c>
      <c r="F19" s="50">
        <v>25</v>
      </c>
      <c r="G19" s="50">
        <v>25</v>
      </c>
      <c r="H19" s="50">
        <v>25</v>
      </c>
      <c r="I19" s="50">
        <v>25</v>
      </c>
      <c r="J19" s="50">
        <v>25</v>
      </c>
      <c r="K19" s="50">
        <v>25</v>
      </c>
      <c r="L19" s="50">
        <v>25</v>
      </c>
      <c r="M19" s="50">
        <v>25</v>
      </c>
      <c r="N19" s="50">
        <v>25</v>
      </c>
      <c r="O19" s="50">
        <v>25</v>
      </c>
      <c r="P19" s="50">
        <v>32</v>
      </c>
      <c r="Q19" s="50">
        <v>33.200000000000003</v>
      </c>
      <c r="R19" s="50">
        <v>25.1</v>
      </c>
      <c r="S19" s="50">
        <v>25.1</v>
      </c>
      <c r="T19" s="50">
        <v>25.1</v>
      </c>
      <c r="U19" s="50">
        <v>25.1</v>
      </c>
      <c r="V19" s="50">
        <v>25.1</v>
      </c>
      <c r="W19" s="50">
        <v>25.1</v>
      </c>
      <c r="X19" s="50">
        <v>25.1</v>
      </c>
      <c r="Y19" s="50">
        <v>25.1</v>
      </c>
      <c r="Z19" s="50">
        <v>33.299999999999997</v>
      </c>
      <c r="AA19" s="50">
        <v>33.299999999999997</v>
      </c>
      <c r="AB19" s="50">
        <v>33.299999999999997</v>
      </c>
      <c r="AC19" s="50">
        <v>33.299999999999997</v>
      </c>
      <c r="AD19" s="50">
        <v>33.299999999999997</v>
      </c>
      <c r="AE19" s="50">
        <v>33.299999999999997</v>
      </c>
      <c r="AF19" s="50">
        <v>24</v>
      </c>
      <c r="AG19" s="134">
        <v>24.2</v>
      </c>
      <c r="AH19" s="54">
        <f t="shared" si="2"/>
        <v>33.299999999999997</v>
      </c>
      <c r="AI19" s="55">
        <f t="shared" si="3"/>
        <v>24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24</v>
      </c>
      <c r="C20" s="50">
        <v>24</v>
      </c>
      <c r="D20" s="50">
        <v>24</v>
      </c>
      <c r="E20" s="50">
        <v>24</v>
      </c>
      <c r="F20" s="50">
        <v>24</v>
      </c>
      <c r="G20" s="50">
        <v>24</v>
      </c>
      <c r="H20" s="50">
        <v>24</v>
      </c>
      <c r="I20" s="50">
        <v>24</v>
      </c>
      <c r="J20" s="50">
        <v>24</v>
      </c>
      <c r="K20" s="50">
        <v>24</v>
      </c>
      <c r="L20" s="50">
        <v>24</v>
      </c>
      <c r="M20" s="50">
        <v>24</v>
      </c>
      <c r="N20" s="50">
        <v>24</v>
      </c>
      <c r="O20" s="50">
        <v>24</v>
      </c>
      <c r="P20" s="50">
        <v>24</v>
      </c>
      <c r="Q20" s="50">
        <v>24.1</v>
      </c>
      <c r="R20" s="50">
        <v>24.3</v>
      </c>
      <c r="S20" s="50">
        <v>24.3</v>
      </c>
      <c r="T20" s="50">
        <v>24.3</v>
      </c>
      <c r="U20" s="50">
        <v>24.3</v>
      </c>
      <c r="V20" s="50">
        <v>24.3</v>
      </c>
      <c r="W20" s="50">
        <v>24.3</v>
      </c>
      <c r="X20" s="50">
        <v>24.3</v>
      </c>
      <c r="Y20" s="50">
        <v>24.3</v>
      </c>
      <c r="Z20" s="50">
        <v>24.3</v>
      </c>
      <c r="AA20" s="50">
        <v>24.3</v>
      </c>
      <c r="AB20" s="50">
        <v>24.3</v>
      </c>
      <c r="AC20" s="50">
        <v>24.3</v>
      </c>
      <c r="AD20" s="50">
        <v>24.3</v>
      </c>
      <c r="AE20" s="50">
        <v>24.3</v>
      </c>
      <c r="AF20" s="50">
        <v>24.3</v>
      </c>
      <c r="AG20" s="134">
        <v>23.5</v>
      </c>
      <c r="AH20" s="54">
        <f t="shared" si="2"/>
        <v>24.3</v>
      </c>
      <c r="AI20" s="55">
        <f t="shared" si="3"/>
        <v>24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20.6</v>
      </c>
      <c r="C21" s="50">
        <v>20.6</v>
      </c>
      <c r="D21" s="50">
        <v>20.6</v>
      </c>
      <c r="E21" s="50">
        <v>20.6</v>
      </c>
      <c r="F21" s="50">
        <v>20.6</v>
      </c>
      <c r="G21" s="50">
        <v>20.6</v>
      </c>
      <c r="H21" s="50">
        <v>20.6</v>
      </c>
      <c r="I21" s="50">
        <v>20.6</v>
      </c>
      <c r="J21" s="50">
        <v>20.6</v>
      </c>
      <c r="K21" s="50">
        <v>20.6</v>
      </c>
      <c r="L21" s="50">
        <v>20.6</v>
      </c>
      <c r="M21" s="50">
        <v>11</v>
      </c>
      <c r="N21" s="50">
        <v>11</v>
      </c>
      <c r="O21" s="50">
        <v>11</v>
      </c>
      <c r="P21" s="50">
        <v>11</v>
      </c>
      <c r="Q21" s="50">
        <v>11</v>
      </c>
      <c r="R21" s="50">
        <v>11</v>
      </c>
      <c r="S21" s="50">
        <v>11</v>
      </c>
      <c r="T21" s="50">
        <v>11</v>
      </c>
      <c r="U21" s="50">
        <v>11</v>
      </c>
      <c r="V21" s="50">
        <v>11</v>
      </c>
      <c r="W21" s="50">
        <v>11</v>
      </c>
      <c r="X21" s="50">
        <v>11</v>
      </c>
      <c r="Y21" s="50">
        <v>11</v>
      </c>
      <c r="Z21" s="50">
        <v>11</v>
      </c>
      <c r="AA21" s="50">
        <v>11</v>
      </c>
      <c r="AB21" s="50">
        <v>11</v>
      </c>
      <c r="AC21" s="50">
        <v>11</v>
      </c>
      <c r="AD21" s="50">
        <v>11</v>
      </c>
      <c r="AE21" s="50">
        <v>11</v>
      </c>
      <c r="AF21" s="50">
        <v>11</v>
      </c>
      <c r="AG21" s="134">
        <v>22.2</v>
      </c>
      <c r="AH21" s="54">
        <f t="shared" si="2"/>
        <v>20.6</v>
      </c>
      <c r="AI21" s="55">
        <f t="shared" si="3"/>
        <v>11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134">
        <v>22.1</v>
      </c>
      <c r="AH22" s="54">
        <f t="shared" si="2"/>
        <v>22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22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22</v>
      </c>
      <c r="AI24" s="55">
        <f t="shared" si="3"/>
        <v>22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0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20</v>
      </c>
      <c r="AB25" s="50">
        <v>20</v>
      </c>
      <c r="AC25" s="50">
        <v>10</v>
      </c>
      <c r="AD25" s="50">
        <v>10</v>
      </c>
      <c r="AE25" s="50">
        <v>5</v>
      </c>
      <c r="AF25" s="50">
        <v>0</v>
      </c>
      <c r="AG25" s="134">
        <v>20</v>
      </c>
      <c r="AH25" s="54">
        <f t="shared" si="2"/>
        <v>20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14.9</v>
      </c>
      <c r="C26" s="50">
        <v>14.9</v>
      </c>
      <c r="D26" s="50">
        <v>14.9</v>
      </c>
      <c r="E26" s="50">
        <v>14.9</v>
      </c>
      <c r="F26" s="50">
        <v>14.9</v>
      </c>
      <c r="G26" s="50">
        <v>14.9</v>
      </c>
      <c r="H26" s="50">
        <v>14.9</v>
      </c>
      <c r="I26" s="50">
        <v>14.9</v>
      </c>
      <c r="J26" s="50">
        <v>14.9</v>
      </c>
      <c r="K26" s="50">
        <v>14.9</v>
      </c>
      <c r="L26" s="50">
        <v>14.9</v>
      </c>
      <c r="M26" s="50">
        <v>14.9</v>
      </c>
      <c r="N26" s="50">
        <v>14.9</v>
      </c>
      <c r="O26" s="50">
        <v>14.9</v>
      </c>
      <c r="P26" s="50">
        <v>14.9</v>
      </c>
      <c r="Q26" s="50">
        <v>14.9</v>
      </c>
      <c r="R26" s="50">
        <v>14.9</v>
      </c>
      <c r="S26" s="50">
        <v>14.9</v>
      </c>
      <c r="T26" s="50">
        <v>14.9</v>
      </c>
      <c r="U26" s="50">
        <v>14.9</v>
      </c>
      <c r="V26" s="50">
        <v>14.9</v>
      </c>
      <c r="W26" s="50">
        <v>14.9</v>
      </c>
      <c r="X26" s="50">
        <v>14.9</v>
      </c>
      <c r="Y26" s="50">
        <v>14.9</v>
      </c>
      <c r="Z26" s="50">
        <v>14.9</v>
      </c>
      <c r="AA26" s="50">
        <v>14.9</v>
      </c>
      <c r="AB26" s="50">
        <v>14.9</v>
      </c>
      <c r="AC26" s="50">
        <v>14.9</v>
      </c>
      <c r="AD26" s="50">
        <v>14.9</v>
      </c>
      <c r="AE26" s="50">
        <v>14.9</v>
      </c>
      <c r="AF26" s="50">
        <v>14.9</v>
      </c>
      <c r="AG26" s="134">
        <v>14.9</v>
      </c>
      <c r="AH26" s="54">
        <f t="shared" si="2"/>
        <v>14.9</v>
      </c>
      <c r="AI26" s="55">
        <f t="shared" si="3"/>
        <v>14.9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10</v>
      </c>
      <c r="C27" s="50">
        <v>10</v>
      </c>
      <c r="D27" s="50">
        <v>10</v>
      </c>
      <c r="E27" s="50">
        <v>10</v>
      </c>
      <c r="F27" s="50">
        <v>10</v>
      </c>
      <c r="G27" s="50">
        <v>10</v>
      </c>
      <c r="H27" s="50">
        <v>10</v>
      </c>
      <c r="I27" s="50">
        <v>10</v>
      </c>
      <c r="J27" s="50">
        <v>10</v>
      </c>
      <c r="K27" s="50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134">
        <v>13.6</v>
      </c>
      <c r="AH27" s="54">
        <f t="shared" si="2"/>
        <v>10</v>
      </c>
      <c r="AI27" s="55">
        <f t="shared" si="3"/>
        <v>10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13</v>
      </c>
      <c r="C28" s="50">
        <v>13</v>
      </c>
      <c r="D28" s="50">
        <v>13</v>
      </c>
      <c r="E28" s="50">
        <v>13</v>
      </c>
      <c r="F28" s="50">
        <v>13</v>
      </c>
      <c r="G28" s="50">
        <v>13</v>
      </c>
      <c r="H28" s="50">
        <v>13</v>
      </c>
      <c r="I28" s="50">
        <v>13</v>
      </c>
      <c r="J28" s="50">
        <v>13</v>
      </c>
      <c r="K28" s="50">
        <v>13</v>
      </c>
      <c r="L28" s="50">
        <v>13</v>
      </c>
      <c r="M28" s="50">
        <v>13</v>
      </c>
      <c r="N28" s="50">
        <v>13</v>
      </c>
      <c r="O28" s="50">
        <v>13</v>
      </c>
      <c r="P28" s="50">
        <v>13</v>
      </c>
      <c r="Q28" s="50">
        <v>13</v>
      </c>
      <c r="R28" s="50">
        <v>13</v>
      </c>
      <c r="S28" s="50">
        <v>13</v>
      </c>
      <c r="T28" s="50">
        <v>13</v>
      </c>
      <c r="U28" s="50">
        <v>13</v>
      </c>
      <c r="V28" s="50">
        <v>13</v>
      </c>
      <c r="W28" s="50">
        <v>13</v>
      </c>
      <c r="X28" s="50">
        <v>13</v>
      </c>
      <c r="Y28" s="50">
        <v>13</v>
      </c>
      <c r="Z28" s="50">
        <v>13</v>
      </c>
      <c r="AA28" s="50">
        <v>13</v>
      </c>
      <c r="AB28" s="50">
        <v>13</v>
      </c>
      <c r="AC28" s="50">
        <v>13</v>
      </c>
      <c r="AD28" s="50">
        <v>13</v>
      </c>
      <c r="AE28" s="50">
        <v>13</v>
      </c>
      <c r="AF28" s="50">
        <v>13</v>
      </c>
      <c r="AG28" s="134">
        <v>13</v>
      </c>
      <c r="AH28" s="54">
        <f t="shared" si="2"/>
        <v>13</v>
      </c>
      <c r="AI28" s="55">
        <f t="shared" si="3"/>
        <v>13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12</v>
      </c>
      <c r="C29" s="50">
        <v>12</v>
      </c>
      <c r="D29" s="50">
        <v>12</v>
      </c>
      <c r="E29" s="50">
        <v>12</v>
      </c>
      <c r="F29" s="50">
        <v>12</v>
      </c>
      <c r="G29" s="50">
        <v>12</v>
      </c>
      <c r="H29" s="50">
        <v>12</v>
      </c>
      <c r="I29" s="50">
        <v>12</v>
      </c>
      <c r="J29" s="50">
        <v>12</v>
      </c>
      <c r="K29" s="50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134">
        <v>12</v>
      </c>
      <c r="AH29" s="54">
        <f t="shared" si="2"/>
        <v>12</v>
      </c>
      <c r="AI29" s="55">
        <f t="shared" si="3"/>
        <v>12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7</v>
      </c>
      <c r="C30" s="50">
        <v>7</v>
      </c>
      <c r="D30" s="50">
        <v>7</v>
      </c>
      <c r="E30" s="50">
        <v>7</v>
      </c>
      <c r="F30" s="50">
        <v>7</v>
      </c>
      <c r="G30" s="50">
        <v>7</v>
      </c>
      <c r="H30" s="50">
        <v>7</v>
      </c>
      <c r="I30" s="50">
        <v>7</v>
      </c>
      <c r="J30" s="50">
        <v>7</v>
      </c>
      <c r="K30" s="50">
        <v>7</v>
      </c>
      <c r="L30" s="50">
        <v>7</v>
      </c>
      <c r="M30" s="50">
        <v>7</v>
      </c>
      <c r="N30" s="50">
        <v>7</v>
      </c>
      <c r="O30" s="50">
        <v>7</v>
      </c>
      <c r="P30" s="50">
        <v>7</v>
      </c>
      <c r="Q30" s="50">
        <v>7</v>
      </c>
      <c r="R30" s="50">
        <v>7</v>
      </c>
      <c r="S30" s="50">
        <v>7</v>
      </c>
      <c r="T30" s="50">
        <v>7</v>
      </c>
      <c r="U30" s="50">
        <v>7</v>
      </c>
      <c r="V30" s="50">
        <v>7</v>
      </c>
      <c r="W30" s="50">
        <v>7</v>
      </c>
      <c r="X30" s="50">
        <v>7</v>
      </c>
      <c r="Y30" s="50">
        <v>7</v>
      </c>
      <c r="Z30" s="50">
        <v>7</v>
      </c>
      <c r="AA30" s="50">
        <v>7</v>
      </c>
      <c r="AB30" s="50">
        <v>7</v>
      </c>
      <c r="AC30" s="50">
        <v>7</v>
      </c>
      <c r="AD30" s="50">
        <v>7</v>
      </c>
      <c r="AE30" s="50">
        <v>7</v>
      </c>
      <c r="AF30" s="50">
        <v>7</v>
      </c>
      <c r="AG30" s="134">
        <v>12</v>
      </c>
      <c r="AH30" s="54">
        <f t="shared" si="2"/>
        <v>7</v>
      </c>
      <c r="AI30" s="55">
        <f t="shared" si="3"/>
        <v>7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9</v>
      </c>
      <c r="C31" s="50">
        <v>9</v>
      </c>
      <c r="D31" s="50">
        <v>9</v>
      </c>
      <c r="E31" s="50">
        <v>9</v>
      </c>
      <c r="F31" s="50">
        <v>9</v>
      </c>
      <c r="G31" s="50">
        <v>9</v>
      </c>
      <c r="H31" s="50">
        <v>9</v>
      </c>
      <c r="I31" s="50">
        <v>9</v>
      </c>
      <c r="J31" s="50">
        <v>9</v>
      </c>
      <c r="K31" s="50">
        <v>9</v>
      </c>
      <c r="L31" s="50">
        <v>9</v>
      </c>
      <c r="M31" s="50">
        <v>9</v>
      </c>
      <c r="N31" s="50">
        <v>9</v>
      </c>
      <c r="O31" s="50">
        <v>9</v>
      </c>
      <c r="P31" s="50">
        <v>9</v>
      </c>
      <c r="Q31" s="50">
        <v>9</v>
      </c>
      <c r="R31" s="50">
        <v>9</v>
      </c>
      <c r="S31" s="50">
        <v>9</v>
      </c>
      <c r="T31" s="50">
        <v>9</v>
      </c>
      <c r="U31" s="50">
        <v>9</v>
      </c>
      <c r="V31" s="50">
        <v>9</v>
      </c>
      <c r="W31" s="50">
        <v>9</v>
      </c>
      <c r="X31" s="50">
        <v>9</v>
      </c>
      <c r="Y31" s="50">
        <v>9</v>
      </c>
      <c r="Z31" s="50">
        <v>9</v>
      </c>
      <c r="AA31" s="50">
        <v>9</v>
      </c>
      <c r="AB31" s="50">
        <v>9</v>
      </c>
      <c r="AC31" s="50">
        <v>9</v>
      </c>
      <c r="AD31" s="50">
        <v>9</v>
      </c>
      <c r="AE31" s="50">
        <v>9</v>
      </c>
      <c r="AF31" s="50">
        <v>9</v>
      </c>
      <c r="AG31" s="178">
        <v>22</v>
      </c>
      <c r="AH31" s="54">
        <f>MAX(B31:AF31)</f>
        <v>9</v>
      </c>
      <c r="AI31" s="55">
        <f>MIN(B31:AF31)</f>
        <v>9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12</v>
      </c>
      <c r="C32" s="50">
        <v>12</v>
      </c>
      <c r="D32" s="50">
        <v>12</v>
      </c>
      <c r="E32" s="50">
        <v>12</v>
      </c>
      <c r="F32" s="50">
        <v>12</v>
      </c>
      <c r="G32" s="50">
        <v>12</v>
      </c>
      <c r="H32" s="50">
        <v>12</v>
      </c>
      <c r="I32" s="50">
        <v>6</v>
      </c>
      <c r="J32" s="50">
        <v>6</v>
      </c>
      <c r="K32" s="50">
        <v>6</v>
      </c>
      <c r="L32" s="50">
        <v>6</v>
      </c>
      <c r="M32" s="50">
        <v>6</v>
      </c>
      <c r="N32" s="50">
        <v>6</v>
      </c>
      <c r="O32" s="50">
        <v>6</v>
      </c>
      <c r="P32" s="50">
        <v>6</v>
      </c>
      <c r="Q32" s="50">
        <v>6</v>
      </c>
      <c r="R32" s="50">
        <v>6</v>
      </c>
      <c r="S32" s="50">
        <v>6</v>
      </c>
      <c r="T32" s="50">
        <v>6</v>
      </c>
      <c r="U32" s="50">
        <v>6</v>
      </c>
      <c r="V32" s="50">
        <v>6</v>
      </c>
      <c r="W32" s="50">
        <v>6</v>
      </c>
      <c r="X32" s="50">
        <v>6</v>
      </c>
      <c r="Y32" s="50">
        <v>6</v>
      </c>
      <c r="Z32" s="50">
        <v>6</v>
      </c>
      <c r="AA32" s="50">
        <v>6</v>
      </c>
      <c r="AB32" s="50">
        <v>6</v>
      </c>
      <c r="AC32" s="50">
        <v>6</v>
      </c>
      <c r="AD32" s="50">
        <v>6</v>
      </c>
      <c r="AE32" s="50">
        <v>6</v>
      </c>
      <c r="AF32" s="50">
        <v>6</v>
      </c>
      <c r="AG32" s="135">
        <v>11.88</v>
      </c>
      <c r="AH32" s="54">
        <f t="shared" si="2"/>
        <v>12</v>
      </c>
      <c r="AI32" s="55">
        <f t="shared" si="3"/>
        <v>6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11</v>
      </c>
      <c r="D33" s="50">
        <v>11</v>
      </c>
      <c r="E33" s="50">
        <v>11</v>
      </c>
      <c r="F33" s="50">
        <v>11</v>
      </c>
      <c r="G33" s="50">
        <v>11</v>
      </c>
      <c r="H33" s="50">
        <v>11</v>
      </c>
      <c r="I33" s="50">
        <v>11</v>
      </c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11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10</v>
      </c>
      <c r="C34" s="50">
        <v>10</v>
      </c>
      <c r="D34" s="50">
        <v>10</v>
      </c>
      <c r="E34" s="50">
        <v>10</v>
      </c>
      <c r="F34" s="50">
        <v>10</v>
      </c>
      <c r="G34" s="50">
        <v>10</v>
      </c>
      <c r="H34" s="50">
        <v>10</v>
      </c>
      <c r="I34" s="50">
        <v>10</v>
      </c>
      <c r="J34" s="50">
        <v>10</v>
      </c>
      <c r="K34" s="50">
        <v>10</v>
      </c>
      <c r="L34" s="50">
        <v>10</v>
      </c>
      <c r="M34" s="50">
        <v>10</v>
      </c>
      <c r="N34" s="50">
        <v>10</v>
      </c>
      <c r="O34" s="50">
        <v>10</v>
      </c>
      <c r="P34" s="50">
        <v>10</v>
      </c>
      <c r="Q34" s="50">
        <v>10</v>
      </c>
      <c r="R34" s="50">
        <v>10</v>
      </c>
      <c r="S34" s="50">
        <v>10</v>
      </c>
      <c r="T34" s="50">
        <v>10</v>
      </c>
      <c r="U34" s="50">
        <v>10</v>
      </c>
      <c r="V34" s="50">
        <v>10</v>
      </c>
      <c r="W34" s="50">
        <v>10</v>
      </c>
      <c r="X34" s="50">
        <v>10</v>
      </c>
      <c r="Y34" s="50">
        <v>10</v>
      </c>
      <c r="Z34" s="50">
        <v>10</v>
      </c>
      <c r="AA34" s="50">
        <v>10</v>
      </c>
      <c r="AB34" s="50">
        <v>10</v>
      </c>
      <c r="AC34" s="50">
        <v>10</v>
      </c>
      <c r="AD34" s="50">
        <v>10</v>
      </c>
      <c r="AE34" s="50">
        <v>10</v>
      </c>
      <c r="AF34" s="50">
        <v>10</v>
      </c>
      <c r="AG34" s="136">
        <v>10</v>
      </c>
      <c r="AH34" s="54">
        <f t="shared" si="2"/>
        <v>10</v>
      </c>
      <c r="AI34" s="55">
        <f t="shared" si="3"/>
        <v>10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136">
        <v>10</v>
      </c>
      <c r="AH35" s="54">
        <f t="shared" si="2"/>
        <v>2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303</v>
      </c>
      <c r="C36" s="62">
        <v>303</v>
      </c>
      <c r="D36" s="62">
        <v>303</v>
      </c>
      <c r="E36" s="62">
        <v>303</v>
      </c>
      <c r="F36" s="62">
        <v>303</v>
      </c>
      <c r="G36" s="62">
        <v>303</v>
      </c>
      <c r="H36" s="62">
        <v>303</v>
      </c>
      <c r="I36" s="62">
        <v>250</v>
      </c>
      <c r="J36" s="62">
        <v>250</v>
      </c>
      <c r="K36" s="62">
        <v>250</v>
      </c>
      <c r="L36" s="62">
        <v>250</v>
      </c>
      <c r="M36" s="62">
        <v>300</v>
      </c>
      <c r="N36" s="62">
        <v>300</v>
      </c>
      <c r="O36" s="62">
        <v>300</v>
      </c>
      <c r="P36" s="62">
        <v>300</v>
      </c>
      <c r="Q36" s="62">
        <v>300</v>
      </c>
      <c r="R36" s="62">
        <v>300</v>
      </c>
      <c r="S36" s="62">
        <v>300</v>
      </c>
      <c r="T36" s="62">
        <v>300</v>
      </c>
      <c r="U36" s="62">
        <v>300</v>
      </c>
      <c r="V36" s="62">
        <v>300</v>
      </c>
      <c r="W36" s="62">
        <v>300</v>
      </c>
      <c r="X36" s="62">
        <v>300</v>
      </c>
      <c r="Y36" s="62">
        <v>300</v>
      </c>
      <c r="Z36" s="62">
        <v>300</v>
      </c>
      <c r="AA36" s="62">
        <v>300</v>
      </c>
      <c r="AB36" s="62">
        <v>300</v>
      </c>
      <c r="AC36" s="62">
        <v>300</v>
      </c>
      <c r="AD36" s="62">
        <v>300</v>
      </c>
      <c r="AE36" s="62">
        <v>300</v>
      </c>
      <c r="AF36" s="62">
        <v>300</v>
      </c>
      <c r="AG36" s="136">
        <v>85</v>
      </c>
      <c r="AH36" s="54">
        <f t="shared" si="2"/>
        <v>303</v>
      </c>
      <c r="AI36" s="55">
        <f t="shared" si="3"/>
        <v>250</v>
      </c>
      <c r="AK36" s="56"/>
    </row>
    <row r="37" spans="1:88" ht="15.75" thickBot="1" x14ac:dyDescent="0.3">
      <c r="A37" s="63" t="s">
        <v>21</v>
      </c>
      <c r="B37" s="64">
        <v>158.89999999999998</v>
      </c>
      <c r="C37" s="62">
        <f>65.2+97.2</f>
        <v>162.4</v>
      </c>
      <c r="D37" s="62">
        <f>65.3+98</f>
        <v>163.30000000000001</v>
      </c>
      <c r="E37" s="62">
        <f>65.2+97.9</f>
        <v>163.10000000000002</v>
      </c>
      <c r="F37" s="62">
        <f>64.8+98.7</f>
        <v>163.5</v>
      </c>
      <c r="G37" s="62">
        <f>64.7+98.5</f>
        <v>163.19999999999999</v>
      </c>
      <c r="H37" s="62">
        <f>64.7+98.5</f>
        <v>163.19999999999999</v>
      </c>
      <c r="I37" s="62">
        <f>64.7+98.5</f>
        <v>163.19999999999999</v>
      </c>
      <c r="J37" s="62">
        <f>64.1+97.9</f>
        <v>162</v>
      </c>
      <c r="K37" s="62">
        <f>64.1+97.9</f>
        <v>162</v>
      </c>
      <c r="L37" s="62">
        <f>64+98</f>
        <v>162</v>
      </c>
      <c r="M37" s="62">
        <f>63.5+97.5</f>
        <v>161</v>
      </c>
      <c r="N37" s="62">
        <f>62.4+98.1</f>
        <v>160.5</v>
      </c>
      <c r="O37" s="62">
        <f>62.7+97.2</f>
        <v>159.9</v>
      </c>
      <c r="P37" s="62">
        <f>63.7+97.6</f>
        <v>161.30000000000001</v>
      </c>
      <c r="Q37" s="62">
        <f>98+64.4</f>
        <v>162.4</v>
      </c>
      <c r="R37" s="62">
        <f>97.7+64.2</f>
        <v>161.9</v>
      </c>
      <c r="S37" s="62">
        <f>97.7+64.2</f>
        <v>161.9</v>
      </c>
      <c r="T37" s="62">
        <f>97.7+64.2</f>
        <v>161.9</v>
      </c>
      <c r="U37" s="62">
        <f>97.7+64.2</f>
        <v>161.9</v>
      </c>
      <c r="V37" s="62">
        <f>73+98</f>
        <v>171</v>
      </c>
      <c r="W37" s="62">
        <f>73+98</f>
        <v>171</v>
      </c>
      <c r="X37" s="62">
        <f>73+98</f>
        <v>171</v>
      </c>
      <c r="Y37" s="62">
        <f>71+90</f>
        <v>161</v>
      </c>
      <c r="Z37" s="62">
        <f>71+90</f>
        <v>161</v>
      </c>
      <c r="AA37" s="62">
        <f>71+90</f>
        <v>161</v>
      </c>
      <c r="AB37" s="64">
        <v>161</v>
      </c>
      <c r="AC37" s="64">
        <f>71.4+78.6</f>
        <v>150</v>
      </c>
      <c r="AD37" s="64">
        <v>161</v>
      </c>
      <c r="AE37" s="64">
        <v>161</v>
      </c>
      <c r="AF37" s="64">
        <v>161</v>
      </c>
      <c r="AG37" s="136">
        <v>240</v>
      </c>
      <c r="AH37" s="54">
        <f t="shared" si="2"/>
        <v>171</v>
      </c>
      <c r="AI37" s="55">
        <f t="shared" si="3"/>
        <v>150</v>
      </c>
      <c r="AK37" s="56"/>
    </row>
    <row r="38" spans="1:88" ht="15.75" thickBot="1" x14ac:dyDescent="0.3">
      <c r="A38" s="131" t="s">
        <v>22</v>
      </c>
      <c r="B38" s="66">
        <f t="shared" ref="B38:AG38" si="4">SUM(B11:B36)</f>
        <v>788.40000000000009</v>
      </c>
      <c r="C38" s="66">
        <f t="shared" si="4"/>
        <v>788.40000000000009</v>
      </c>
      <c r="D38" s="66">
        <f t="shared" si="4"/>
        <v>788.40000000000009</v>
      </c>
      <c r="E38" s="66">
        <f t="shared" si="4"/>
        <v>788.40000000000009</v>
      </c>
      <c r="F38" s="66">
        <f t="shared" si="4"/>
        <v>788.2</v>
      </c>
      <c r="G38" s="66">
        <f t="shared" si="4"/>
        <v>788.2</v>
      </c>
      <c r="H38" s="66">
        <f t="shared" si="4"/>
        <v>788.2</v>
      </c>
      <c r="I38" s="66">
        <f t="shared" si="4"/>
        <v>717.2</v>
      </c>
      <c r="J38" s="66">
        <f t="shared" si="4"/>
        <v>721.2</v>
      </c>
      <c r="K38" s="66">
        <f t="shared" si="4"/>
        <v>729.90000000000009</v>
      </c>
      <c r="L38" s="66">
        <f t="shared" si="4"/>
        <v>729.90000000000009</v>
      </c>
      <c r="M38" s="66">
        <f t="shared" si="4"/>
        <v>772.9</v>
      </c>
      <c r="N38" s="66">
        <f t="shared" si="4"/>
        <v>772.9</v>
      </c>
      <c r="O38" s="66">
        <f t="shared" si="4"/>
        <v>772.9</v>
      </c>
      <c r="P38" s="66">
        <f t="shared" si="4"/>
        <v>779.9</v>
      </c>
      <c r="Q38" s="66">
        <f t="shared" si="4"/>
        <v>780.5</v>
      </c>
      <c r="R38" s="66">
        <f t="shared" si="4"/>
        <v>772.5</v>
      </c>
      <c r="S38" s="66">
        <f t="shared" si="4"/>
        <v>772.5</v>
      </c>
      <c r="T38" s="66">
        <f t="shared" si="4"/>
        <v>772.5</v>
      </c>
      <c r="U38" s="66">
        <f t="shared" si="4"/>
        <v>772.5</v>
      </c>
      <c r="V38" s="66">
        <f t="shared" si="4"/>
        <v>772.5</v>
      </c>
      <c r="W38" s="66">
        <f t="shared" si="4"/>
        <v>770.5</v>
      </c>
      <c r="X38" s="66">
        <f t="shared" si="4"/>
        <v>770.5</v>
      </c>
      <c r="Y38" s="66">
        <f t="shared" si="4"/>
        <v>770.5</v>
      </c>
      <c r="Z38" s="66">
        <f t="shared" si="4"/>
        <v>808.7</v>
      </c>
      <c r="AA38" s="66">
        <f t="shared" si="4"/>
        <v>837.7</v>
      </c>
      <c r="AB38" s="66">
        <f t="shared" si="4"/>
        <v>837.7</v>
      </c>
      <c r="AC38" s="66">
        <f t="shared" si="4"/>
        <v>827.7</v>
      </c>
      <c r="AD38" s="66">
        <f t="shared" si="4"/>
        <v>827.7</v>
      </c>
      <c r="AE38" s="66">
        <f t="shared" si="4"/>
        <v>813.7</v>
      </c>
      <c r="AF38" s="66">
        <f t="shared" si="4"/>
        <v>769.40000000000009</v>
      </c>
      <c r="AG38" s="143">
        <f t="shared" si="4"/>
        <v>665.78</v>
      </c>
      <c r="AH38" s="54">
        <f t="shared" si="2"/>
        <v>837.7</v>
      </c>
      <c r="AI38" s="55">
        <f t="shared" si="3"/>
        <v>717.2</v>
      </c>
      <c r="AK38" s="56"/>
    </row>
    <row r="39" spans="1:88" x14ac:dyDescent="0.25">
      <c r="A39" s="159" t="s">
        <v>130</v>
      </c>
      <c r="B39" s="50">
        <v>456</v>
      </c>
      <c r="C39" s="50">
        <v>456</v>
      </c>
      <c r="D39" s="50">
        <v>456</v>
      </c>
      <c r="E39" s="50">
        <v>456</v>
      </c>
      <c r="F39" s="50">
        <v>456</v>
      </c>
      <c r="G39" s="50">
        <v>456</v>
      </c>
      <c r="H39" s="50">
        <v>336</v>
      </c>
      <c r="I39" s="50">
        <v>456</v>
      </c>
      <c r="J39" s="50">
        <v>456</v>
      </c>
      <c r="K39" s="50">
        <v>456</v>
      </c>
      <c r="L39" s="50">
        <v>456</v>
      </c>
      <c r="M39" s="50">
        <v>456</v>
      </c>
      <c r="N39" s="50">
        <v>456</v>
      </c>
      <c r="O39" s="50">
        <v>456</v>
      </c>
      <c r="P39" s="50">
        <v>456</v>
      </c>
      <c r="Q39" s="50">
        <v>456</v>
      </c>
      <c r="R39" s="50">
        <v>426</v>
      </c>
      <c r="S39" s="50">
        <v>426</v>
      </c>
      <c r="T39" s="50">
        <v>456</v>
      </c>
      <c r="U39" s="50">
        <v>456</v>
      </c>
      <c r="V39" s="50">
        <v>456</v>
      </c>
      <c r="W39" s="50">
        <v>456</v>
      </c>
      <c r="X39" s="50">
        <v>456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456</v>
      </c>
      <c r="AF39" s="50">
        <v>456</v>
      </c>
      <c r="AG39" s="135">
        <v>456</v>
      </c>
      <c r="AH39" s="54">
        <f t="shared" si="2"/>
        <v>456</v>
      </c>
      <c r="AI39" s="55">
        <f t="shared" si="3"/>
        <v>336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f>SUM(B39:B41)</f>
        <v>538</v>
      </c>
      <c r="C42" s="66">
        <f t="shared" ref="C42:AG42" si="5">SUM(C39:C41)</f>
        <v>538</v>
      </c>
      <c r="D42" s="66">
        <f t="shared" si="5"/>
        <v>538</v>
      </c>
      <c r="E42" s="66">
        <f t="shared" si="5"/>
        <v>538</v>
      </c>
      <c r="F42" s="66">
        <f t="shared" si="5"/>
        <v>538</v>
      </c>
      <c r="G42" s="66">
        <f t="shared" si="5"/>
        <v>538</v>
      </c>
      <c r="H42" s="66">
        <f t="shared" si="5"/>
        <v>418</v>
      </c>
      <c r="I42" s="66">
        <f t="shared" si="5"/>
        <v>538</v>
      </c>
      <c r="J42" s="66">
        <f t="shared" si="5"/>
        <v>538</v>
      </c>
      <c r="K42" s="66">
        <f t="shared" si="5"/>
        <v>538</v>
      </c>
      <c r="L42" s="66">
        <f t="shared" si="5"/>
        <v>538</v>
      </c>
      <c r="M42" s="66">
        <f t="shared" si="5"/>
        <v>538</v>
      </c>
      <c r="N42" s="66">
        <f t="shared" si="5"/>
        <v>538</v>
      </c>
      <c r="O42" s="66">
        <f t="shared" si="5"/>
        <v>538</v>
      </c>
      <c r="P42" s="66">
        <f t="shared" si="5"/>
        <v>538</v>
      </c>
      <c r="Q42" s="66">
        <f t="shared" si="5"/>
        <v>538</v>
      </c>
      <c r="R42" s="66">
        <f t="shared" si="5"/>
        <v>508</v>
      </c>
      <c r="S42" s="66">
        <f t="shared" si="5"/>
        <v>508</v>
      </c>
      <c r="T42" s="66">
        <f t="shared" si="5"/>
        <v>538</v>
      </c>
      <c r="U42" s="66">
        <f t="shared" si="5"/>
        <v>538</v>
      </c>
      <c r="V42" s="66">
        <f t="shared" si="5"/>
        <v>538</v>
      </c>
      <c r="W42" s="66">
        <f t="shared" si="5"/>
        <v>538</v>
      </c>
      <c r="X42" s="66">
        <f t="shared" si="5"/>
        <v>538</v>
      </c>
      <c r="Y42" s="66">
        <f t="shared" si="5"/>
        <v>538</v>
      </c>
      <c r="Z42" s="66">
        <f t="shared" si="5"/>
        <v>538</v>
      </c>
      <c r="AA42" s="66">
        <f t="shared" si="5"/>
        <v>538</v>
      </c>
      <c r="AB42" s="66">
        <f t="shared" si="5"/>
        <v>538</v>
      </c>
      <c r="AC42" s="66">
        <f t="shared" si="5"/>
        <v>538</v>
      </c>
      <c r="AD42" s="66">
        <f t="shared" si="5"/>
        <v>538</v>
      </c>
      <c r="AE42" s="66">
        <f t="shared" si="5"/>
        <v>538</v>
      </c>
      <c r="AF42" s="66">
        <f t="shared" si="5"/>
        <v>538</v>
      </c>
      <c r="AG42" s="143">
        <f t="shared" si="5"/>
        <v>538.1</v>
      </c>
      <c r="AH42" s="54">
        <f t="shared" si="2"/>
        <v>538</v>
      </c>
      <c r="AI42" s="55">
        <f t="shared" si="3"/>
        <v>418</v>
      </c>
      <c r="AK42" s="56"/>
    </row>
    <row r="43" spans="1:88" x14ac:dyDescent="0.25">
      <c r="A43" s="57" t="s">
        <v>23</v>
      </c>
      <c r="B43" s="50">
        <v>140.1</v>
      </c>
      <c r="C43" s="50">
        <v>121.1</v>
      </c>
      <c r="D43" s="50">
        <v>104</v>
      </c>
      <c r="E43" s="50">
        <v>103.4</v>
      </c>
      <c r="F43" s="50">
        <v>103.4</v>
      </c>
      <c r="G43" s="50">
        <v>103.4</v>
      </c>
      <c r="H43" s="50">
        <v>103.4</v>
      </c>
      <c r="I43" s="50">
        <v>140</v>
      </c>
      <c r="J43" s="50">
        <v>140</v>
      </c>
      <c r="K43" s="50">
        <v>140</v>
      </c>
      <c r="L43" s="50">
        <v>140</v>
      </c>
      <c r="M43" s="50">
        <v>140</v>
      </c>
      <c r="N43" s="50">
        <v>127.3</v>
      </c>
      <c r="O43" s="50">
        <v>127.1</v>
      </c>
      <c r="P43" s="50">
        <v>140</v>
      </c>
      <c r="Q43" s="50">
        <v>139.1</v>
      </c>
      <c r="R43" s="50">
        <v>131.69999999999999</v>
      </c>
      <c r="S43" s="50">
        <v>136</v>
      </c>
      <c r="T43" s="50">
        <v>140</v>
      </c>
      <c r="U43" s="50">
        <v>140</v>
      </c>
      <c r="V43" s="50">
        <v>140</v>
      </c>
      <c r="W43" s="50">
        <v>120</v>
      </c>
      <c r="X43" s="50">
        <v>120</v>
      </c>
      <c r="Y43" s="50">
        <v>121</v>
      </c>
      <c r="Z43" s="50">
        <v>141</v>
      </c>
      <c r="AA43" s="50">
        <v>141.80000000000001</v>
      </c>
      <c r="AB43" s="50">
        <v>141.80000000000001</v>
      </c>
      <c r="AC43" s="50">
        <v>141.4</v>
      </c>
      <c r="AD43" s="50">
        <v>141.4</v>
      </c>
      <c r="AE43" s="50">
        <v>141.4</v>
      </c>
      <c r="AF43" s="50">
        <v>139.80000000000001</v>
      </c>
      <c r="AG43" s="135">
        <v>144</v>
      </c>
      <c r="AH43" s="54">
        <f t="shared" si="2"/>
        <v>141.80000000000001</v>
      </c>
      <c r="AI43" s="55">
        <f t="shared" si="3"/>
        <v>103.4</v>
      </c>
      <c r="AK43" s="56"/>
    </row>
    <row r="44" spans="1:88" x14ac:dyDescent="0.25">
      <c r="A44" s="60" t="s">
        <v>24</v>
      </c>
      <c r="B44" s="48">
        <v>70</v>
      </c>
      <c r="C44" s="48">
        <v>60.5</v>
      </c>
      <c r="D44" s="48">
        <v>56.2</v>
      </c>
      <c r="E44" s="48">
        <v>50.8</v>
      </c>
      <c r="F44" s="48">
        <v>35.200000000000003</v>
      </c>
      <c r="G44" s="48">
        <v>35.200000000000003</v>
      </c>
      <c r="H44" s="48">
        <v>35.200000000000003</v>
      </c>
      <c r="I44" s="48">
        <v>35.200000000000003</v>
      </c>
      <c r="J44" s="48">
        <v>35.200000000000003</v>
      </c>
      <c r="K44" s="48">
        <v>36</v>
      </c>
      <c r="L44" s="48">
        <v>70.2</v>
      </c>
      <c r="M44" s="50">
        <v>70.2</v>
      </c>
      <c r="N44" s="50">
        <v>58.9</v>
      </c>
      <c r="O44" s="50">
        <v>59.5</v>
      </c>
      <c r="P44" s="50">
        <v>70.599999999999994</v>
      </c>
      <c r="Q44" s="50">
        <v>59.1</v>
      </c>
      <c r="R44" s="50">
        <v>60.9</v>
      </c>
      <c r="S44" s="48">
        <v>62.2</v>
      </c>
      <c r="T44" s="48">
        <v>71.8</v>
      </c>
      <c r="U44" s="48">
        <v>71.8</v>
      </c>
      <c r="V44" s="48">
        <v>71.8</v>
      </c>
      <c r="W44" s="48">
        <v>59.5</v>
      </c>
      <c r="X44" s="48">
        <v>59.5</v>
      </c>
      <c r="Y44" s="48">
        <v>51</v>
      </c>
      <c r="Z44" s="48">
        <v>72</v>
      </c>
      <c r="AA44" s="48">
        <v>72.5</v>
      </c>
      <c r="AB44" s="48">
        <v>72.5</v>
      </c>
      <c r="AC44" s="48">
        <v>72</v>
      </c>
      <c r="AD44" s="48">
        <v>72</v>
      </c>
      <c r="AE44" s="48">
        <v>72</v>
      </c>
      <c r="AF44" s="48">
        <v>55.6</v>
      </c>
      <c r="AG44" s="136">
        <v>70</v>
      </c>
      <c r="AH44" s="54">
        <f t="shared" si="2"/>
        <v>72.5</v>
      </c>
      <c r="AI44" s="55">
        <f t="shared" si="3"/>
        <v>35.200000000000003</v>
      </c>
      <c r="AK44" s="56"/>
    </row>
    <row r="45" spans="1:88" x14ac:dyDescent="0.25">
      <c r="A45" s="60" t="s">
        <v>25</v>
      </c>
      <c r="B45" s="48">
        <v>63</v>
      </c>
      <c r="C45" s="48">
        <v>54.8</v>
      </c>
      <c r="D45" s="48">
        <v>54.8</v>
      </c>
      <c r="E45" s="48">
        <v>54</v>
      </c>
      <c r="F45" s="48">
        <v>54</v>
      </c>
      <c r="G45" s="48">
        <v>54.7</v>
      </c>
      <c r="H45" s="48">
        <v>54.7</v>
      </c>
      <c r="I45" s="48">
        <v>54.7</v>
      </c>
      <c r="J45" s="48">
        <v>54.7</v>
      </c>
      <c r="K45" s="48">
        <v>60</v>
      </c>
      <c r="L45" s="48">
        <v>63</v>
      </c>
      <c r="M45" s="50">
        <v>63</v>
      </c>
      <c r="N45" s="50">
        <v>53.1</v>
      </c>
      <c r="O45" s="50">
        <v>63.9</v>
      </c>
      <c r="P45" s="50">
        <v>62.8</v>
      </c>
      <c r="Q45" s="50">
        <v>70</v>
      </c>
      <c r="R45" s="50">
        <v>55.5</v>
      </c>
      <c r="S45" s="48">
        <v>55.6</v>
      </c>
      <c r="T45" s="48">
        <v>63.2</v>
      </c>
      <c r="U45" s="48">
        <v>63.2</v>
      </c>
      <c r="V45" s="48">
        <v>63.2</v>
      </c>
      <c r="W45" s="48">
        <v>47.8</v>
      </c>
      <c r="X45" s="48">
        <v>47.8</v>
      </c>
      <c r="Y45" s="48">
        <v>52</v>
      </c>
      <c r="Z45" s="48">
        <v>63</v>
      </c>
      <c r="AA45" s="48">
        <v>62.7</v>
      </c>
      <c r="AB45" s="48">
        <v>62.7</v>
      </c>
      <c r="AC45" s="48">
        <v>62.7</v>
      </c>
      <c r="AD45" s="48">
        <v>62.7</v>
      </c>
      <c r="AE45" s="48">
        <v>62.7</v>
      </c>
      <c r="AF45" s="48">
        <v>57.8</v>
      </c>
      <c r="AG45" s="136">
        <v>69</v>
      </c>
      <c r="AH45" s="54">
        <f t="shared" si="2"/>
        <v>70</v>
      </c>
      <c r="AI45" s="55">
        <f t="shared" si="3"/>
        <v>47.8</v>
      </c>
      <c r="AK45" s="56"/>
    </row>
    <row r="46" spans="1:88" x14ac:dyDescent="0.25">
      <c r="A46" s="60" t="s">
        <v>26</v>
      </c>
      <c r="B46" s="62">
        <v>60</v>
      </c>
      <c r="C46" s="62">
        <v>60</v>
      </c>
      <c r="D46" s="62">
        <v>60</v>
      </c>
      <c r="E46" s="62">
        <v>39.799999999999997</v>
      </c>
      <c r="F46" s="62">
        <v>39.799999999999997</v>
      </c>
      <c r="G46" s="62">
        <v>39.799999999999997</v>
      </c>
      <c r="H46" s="62">
        <v>39.799999999999997</v>
      </c>
      <c r="I46" s="62">
        <v>39.799999999999997</v>
      </c>
      <c r="J46" s="62">
        <v>39.799999999999997</v>
      </c>
      <c r="K46" s="62">
        <v>53.9</v>
      </c>
      <c r="L46" s="62">
        <v>61.4</v>
      </c>
      <c r="M46" s="50">
        <v>60.4</v>
      </c>
      <c r="N46" s="50">
        <v>40</v>
      </c>
      <c r="O46" s="50">
        <v>60.4</v>
      </c>
      <c r="P46" s="50">
        <v>0</v>
      </c>
      <c r="Q46" s="50">
        <v>0</v>
      </c>
      <c r="R46" s="50">
        <v>0</v>
      </c>
      <c r="S46" s="50">
        <v>0</v>
      </c>
      <c r="T46" s="50">
        <v>0</v>
      </c>
      <c r="U46" s="50">
        <v>0</v>
      </c>
      <c r="V46" s="50">
        <v>0</v>
      </c>
      <c r="W46" s="50">
        <v>0</v>
      </c>
      <c r="X46" s="50">
        <v>0</v>
      </c>
      <c r="Y46" s="50">
        <v>30</v>
      </c>
      <c r="Z46" s="50">
        <v>30</v>
      </c>
      <c r="AA46" s="50">
        <v>30</v>
      </c>
      <c r="AB46" s="62">
        <v>30</v>
      </c>
      <c r="AC46" s="62">
        <v>28.5</v>
      </c>
      <c r="AD46" s="62">
        <v>28.5</v>
      </c>
      <c r="AE46" s="62">
        <v>28.5</v>
      </c>
      <c r="AF46" s="62">
        <v>28.5</v>
      </c>
      <c r="AG46" s="136">
        <v>60</v>
      </c>
      <c r="AH46" s="54">
        <f t="shared" si="2"/>
        <v>61.4</v>
      </c>
      <c r="AI46" s="55">
        <f t="shared" si="3"/>
        <v>0</v>
      </c>
      <c r="AK46" s="56"/>
    </row>
    <row r="47" spans="1:88" x14ac:dyDescent="0.25">
      <c r="A47" s="60" t="s">
        <v>27</v>
      </c>
      <c r="B47" s="62">
        <v>20</v>
      </c>
      <c r="C47" s="62">
        <v>26.1</v>
      </c>
      <c r="D47" s="62">
        <v>26.1</v>
      </c>
      <c r="E47" s="62">
        <v>24</v>
      </c>
      <c r="F47" s="62">
        <v>24</v>
      </c>
      <c r="G47" s="62">
        <v>22</v>
      </c>
      <c r="H47" s="62">
        <v>22</v>
      </c>
      <c r="I47" s="62">
        <v>25</v>
      </c>
      <c r="J47" s="62">
        <v>25</v>
      </c>
      <c r="K47" s="62">
        <v>30</v>
      </c>
      <c r="L47" s="62">
        <v>30</v>
      </c>
      <c r="M47" s="50">
        <v>28.6</v>
      </c>
      <c r="N47" s="50">
        <v>28.6</v>
      </c>
      <c r="O47" s="50">
        <v>0</v>
      </c>
      <c r="P47" s="50">
        <v>0</v>
      </c>
      <c r="Q47" s="50">
        <v>15.1</v>
      </c>
      <c r="R47" s="50">
        <v>21.7</v>
      </c>
      <c r="S47" s="50">
        <v>21.7</v>
      </c>
      <c r="T47" s="50">
        <v>22.4</v>
      </c>
      <c r="U47" s="50">
        <v>22.4</v>
      </c>
      <c r="V47" s="50">
        <v>22.4</v>
      </c>
      <c r="W47" s="50">
        <v>22.4</v>
      </c>
      <c r="X47" s="50">
        <v>22.4</v>
      </c>
      <c r="Y47" s="50">
        <v>22.4</v>
      </c>
      <c r="Z47" s="50">
        <v>22.4</v>
      </c>
      <c r="AA47" s="50">
        <v>22.4</v>
      </c>
      <c r="AB47" s="62">
        <v>22.4</v>
      </c>
      <c r="AC47" s="62">
        <v>22.4</v>
      </c>
      <c r="AD47" s="62">
        <v>22.4</v>
      </c>
      <c r="AE47" s="62">
        <v>22.4</v>
      </c>
      <c r="AF47" s="62">
        <v>22.4</v>
      </c>
      <c r="AG47" s="136">
        <v>30</v>
      </c>
      <c r="AH47" s="54">
        <f t="shared" si="2"/>
        <v>30</v>
      </c>
      <c r="AI47" s="55">
        <f t="shared" si="3"/>
        <v>0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62">
        <v>0</v>
      </c>
      <c r="M48" s="50">
        <v>4</v>
      </c>
      <c r="N48" s="50">
        <v>8</v>
      </c>
      <c r="O48" s="50">
        <v>8</v>
      </c>
      <c r="P48" s="50">
        <v>8</v>
      </c>
      <c r="Q48" s="50">
        <v>8</v>
      </c>
      <c r="R48" s="50">
        <v>8</v>
      </c>
      <c r="S48" s="50">
        <v>8</v>
      </c>
      <c r="T48" s="50">
        <v>8</v>
      </c>
      <c r="U48" s="50">
        <v>8</v>
      </c>
      <c r="V48" s="50">
        <v>8</v>
      </c>
      <c r="W48" s="50">
        <v>8</v>
      </c>
      <c r="X48" s="50">
        <v>8</v>
      </c>
      <c r="Y48" s="50">
        <v>8</v>
      </c>
      <c r="Z48" s="50">
        <v>8</v>
      </c>
      <c r="AA48" s="50">
        <v>8</v>
      </c>
      <c r="AB48" s="48">
        <v>8</v>
      </c>
      <c r="AC48" s="48">
        <v>8</v>
      </c>
      <c r="AD48" s="48">
        <v>8</v>
      </c>
      <c r="AE48" s="48">
        <v>8</v>
      </c>
      <c r="AF48" s="48">
        <v>8</v>
      </c>
      <c r="AG48" s="136">
        <v>25</v>
      </c>
      <c r="AH48" s="54">
        <f t="shared" si="2"/>
        <v>8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17</v>
      </c>
      <c r="C49" s="48">
        <v>17</v>
      </c>
      <c r="D49" s="48">
        <v>17</v>
      </c>
      <c r="E49" s="48">
        <v>10.1</v>
      </c>
      <c r="F49" s="48">
        <v>10.1</v>
      </c>
      <c r="G49" s="48">
        <v>10.1</v>
      </c>
      <c r="H49" s="48">
        <v>10.1</v>
      </c>
      <c r="I49" s="48">
        <v>10.1</v>
      </c>
      <c r="J49" s="48">
        <v>10.1</v>
      </c>
      <c r="K49" s="48">
        <v>10.1</v>
      </c>
      <c r="L49" s="48">
        <v>15.1</v>
      </c>
      <c r="M49" s="50">
        <v>17</v>
      </c>
      <c r="N49" s="50">
        <v>17</v>
      </c>
      <c r="O49" s="50">
        <v>17</v>
      </c>
      <c r="P49" s="50">
        <v>17</v>
      </c>
      <c r="Q49" s="50">
        <v>14.5</v>
      </c>
      <c r="R49" s="50">
        <v>17</v>
      </c>
      <c r="S49" s="50">
        <v>17</v>
      </c>
      <c r="T49" s="50">
        <v>17</v>
      </c>
      <c r="U49" s="50">
        <v>17</v>
      </c>
      <c r="V49" s="50">
        <v>17</v>
      </c>
      <c r="W49" s="50">
        <v>17</v>
      </c>
      <c r="X49" s="50">
        <v>17</v>
      </c>
      <c r="Y49" s="50">
        <v>17</v>
      </c>
      <c r="Z49" s="50">
        <v>17</v>
      </c>
      <c r="AA49" s="50">
        <v>17</v>
      </c>
      <c r="AB49" s="48">
        <v>17</v>
      </c>
      <c r="AC49" s="48">
        <v>17</v>
      </c>
      <c r="AD49" s="48">
        <v>17</v>
      </c>
      <c r="AE49" s="48">
        <v>17</v>
      </c>
      <c r="AF49" s="48">
        <v>17</v>
      </c>
      <c r="AG49" s="136">
        <v>24</v>
      </c>
      <c r="AH49" s="54">
        <f t="shared" si="2"/>
        <v>17</v>
      </c>
      <c r="AI49" s="55">
        <f t="shared" si="3"/>
        <v>10.1</v>
      </c>
      <c r="AK49" s="56"/>
    </row>
    <row r="50" spans="1:41" x14ac:dyDescent="0.25">
      <c r="A50" s="60" t="s">
        <v>30</v>
      </c>
      <c r="B50" s="48">
        <v>2.5</v>
      </c>
      <c r="C50" s="48">
        <v>2.5</v>
      </c>
      <c r="D50" s="48">
        <v>2.5</v>
      </c>
      <c r="E50" s="48">
        <v>2.5</v>
      </c>
      <c r="F50" s="48">
        <v>2.5</v>
      </c>
      <c r="G50" s="48">
        <v>2.5</v>
      </c>
      <c r="H50" s="48">
        <v>2.5</v>
      </c>
      <c r="I50" s="48">
        <v>2.5</v>
      </c>
      <c r="J50" s="48">
        <v>2.5</v>
      </c>
      <c r="K50" s="48">
        <v>2.5</v>
      </c>
      <c r="L50" s="48">
        <v>2.5</v>
      </c>
      <c r="M50" s="50">
        <v>2.5</v>
      </c>
      <c r="N50" s="50">
        <v>2.5</v>
      </c>
      <c r="O50" s="50">
        <v>2.5</v>
      </c>
      <c r="P50" s="50">
        <v>2.5</v>
      </c>
      <c r="Q50" s="50">
        <v>2.5</v>
      </c>
      <c r="R50" s="50">
        <v>2.5</v>
      </c>
      <c r="S50" s="50">
        <v>2.5</v>
      </c>
      <c r="T50" s="50">
        <v>2.5</v>
      </c>
      <c r="U50" s="50">
        <v>2.5</v>
      </c>
      <c r="V50" s="50">
        <v>2.5</v>
      </c>
      <c r="W50" s="50">
        <v>2.5</v>
      </c>
      <c r="X50" s="50">
        <v>2.5</v>
      </c>
      <c r="Y50" s="50">
        <v>2.5</v>
      </c>
      <c r="Z50" s="50">
        <v>2.5</v>
      </c>
      <c r="AA50" s="50">
        <v>2.5</v>
      </c>
      <c r="AB50" s="48">
        <v>2.5</v>
      </c>
      <c r="AC50" s="48">
        <v>2.5</v>
      </c>
      <c r="AD50" s="48">
        <v>2.5</v>
      </c>
      <c r="AE50" s="48">
        <v>2.5</v>
      </c>
      <c r="AF50" s="48">
        <v>2.5</v>
      </c>
      <c r="AG50" s="136">
        <v>15</v>
      </c>
      <c r="AH50" s="54">
        <f t="shared" si="2"/>
        <v>2.5</v>
      </c>
      <c r="AI50" s="55">
        <f t="shared" si="3"/>
        <v>2.5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13.8</v>
      </c>
      <c r="C51" s="48">
        <v>13.8</v>
      </c>
      <c r="D51" s="48">
        <v>13.8</v>
      </c>
      <c r="E51" s="48">
        <v>13.8</v>
      </c>
      <c r="F51" s="48">
        <v>13.8</v>
      </c>
      <c r="G51" s="48">
        <v>13.8</v>
      </c>
      <c r="H51" s="48">
        <v>13.8</v>
      </c>
      <c r="I51" s="48">
        <v>13.8</v>
      </c>
      <c r="J51" s="48">
        <v>13.8</v>
      </c>
      <c r="K51" s="48">
        <v>13.8</v>
      </c>
      <c r="L51" s="48">
        <v>8.6999999999999993</v>
      </c>
      <c r="M51" s="50">
        <v>10.6</v>
      </c>
      <c r="N51" s="50">
        <v>10.6</v>
      </c>
      <c r="O51" s="50">
        <v>13</v>
      </c>
      <c r="P51" s="50">
        <v>13</v>
      </c>
      <c r="Q51" s="50">
        <v>10.6</v>
      </c>
      <c r="R51" s="50">
        <v>13.6</v>
      </c>
      <c r="S51" s="50">
        <v>13.6</v>
      </c>
      <c r="T51" s="50">
        <v>13.6</v>
      </c>
      <c r="U51" s="50">
        <v>13.6</v>
      </c>
      <c r="V51" s="50">
        <v>13.6</v>
      </c>
      <c r="W51" s="50">
        <v>13.6</v>
      </c>
      <c r="X51" s="50">
        <v>13.6</v>
      </c>
      <c r="Y51" s="50">
        <v>13.6</v>
      </c>
      <c r="Z51" s="50">
        <v>13.6</v>
      </c>
      <c r="AA51" s="50">
        <v>13.6</v>
      </c>
      <c r="AB51" s="48">
        <v>13.6</v>
      </c>
      <c r="AC51" s="48">
        <v>13.6</v>
      </c>
      <c r="AD51" s="48">
        <v>13.6</v>
      </c>
      <c r="AE51" s="48">
        <v>13.6</v>
      </c>
      <c r="AF51" s="48">
        <v>13.6</v>
      </c>
      <c r="AG51" s="136">
        <v>14.1</v>
      </c>
      <c r="AH51" s="54">
        <f t="shared" si="2"/>
        <v>13.8</v>
      </c>
      <c r="AI51" s="55">
        <f t="shared" si="3"/>
        <v>8.6999999999999993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13.5</v>
      </c>
      <c r="C52" s="48">
        <v>6.7</v>
      </c>
      <c r="D52" s="48">
        <v>12.6</v>
      </c>
      <c r="E52" s="48">
        <v>12.6</v>
      </c>
      <c r="F52" s="48">
        <v>12.6</v>
      </c>
      <c r="G52" s="48">
        <v>12.6</v>
      </c>
      <c r="H52" s="48">
        <v>12.6</v>
      </c>
      <c r="I52" s="48">
        <v>12.6</v>
      </c>
      <c r="J52" s="48">
        <v>12.6</v>
      </c>
      <c r="K52" s="48">
        <v>12.6</v>
      </c>
      <c r="L52" s="48">
        <v>13.1</v>
      </c>
      <c r="M52" s="50">
        <v>14.1</v>
      </c>
      <c r="N52" s="50">
        <v>14.1</v>
      </c>
      <c r="O52" s="50">
        <v>14.1</v>
      </c>
      <c r="P52" s="50">
        <v>14.1</v>
      </c>
      <c r="Q52" s="50">
        <v>14.1</v>
      </c>
      <c r="R52" s="50">
        <v>14.1</v>
      </c>
      <c r="S52" s="50">
        <v>14.1</v>
      </c>
      <c r="T52" s="50">
        <v>6</v>
      </c>
      <c r="U52" s="50">
        <v>6</v>
      </c>
      <c r="V52" s="50">
        <v>6</v>
      </c>
      <c r="W52" s="50">
        <v>6</v>
      </c>
      <c r="X52" s="50">
        <v>6</v>
      </c>
      <c r="Y52" s="50">
        <v>6</v>
      </c>
      <c r="Z52" s="50">
        <v>6</v>
      </c>
      <c r="AA52" s="50">
        <v>6</v>
      </c>
      <c r="AB52" s="48">
        <v>6</v>
      </c>
      <c r="AC52" s="48">
        <v>6</v>
      </c>
      <c r="AD52" s="48">
        <v>6</v>
      </c>
      <c r="AE52" s="48">
        <v>6</v>
      </c>
      <c r="AF52" s="48">
        <v>6</v>
      </c>
      <c r="AG52" s="136">
        <v>14</v>
      </c>
      <c r="AH52" s="54">
        <f t="shared" si="2"/>
        <v>14.1</v>
      </c>
      <c r="AI52" s="55">
        <f t="shared" si="3"/>
        <v>6</v>
      </c>
      <c r="AK52" s="56"/>
    </row>
    <row r="53" spans="1:41" x14ac:dyDescent="0.25">
      <c r="A53" s="60" t="s">
        <v>33</v>
      </c>
      <c r="B53" s="48">
        <v>8</v>
      </c>
      <c r="C53" s="48">
        <v>8</v>
      </c>
      <c r="D53" s="48">
        <v>8</v>
      </c>
      <c r="E53" s="48">
        <v>8</v>
      </c>
      <c r="F53" s="48">
        <v>8</v>
      </c>
      <c r="G53" s="48">
        <v>8</v>
      </c>
      <c r="H53" s="48">
        <v>8</v>
      </c>
      <c r="I53" s="48">
        <v>8</v>
      </c>
      <c r="J53" s="48">
        <v>8</v>
      </c>
      <c r="K53" s="48">
        <v>8</v>
      </c>
      <c r="L53" s="48">
        <v>8</v>
      </c>
      <c r="M53" s="50">
        <v>8</v>
      </c>
      <c r="N53" s="50">
        <v>8</v>
      </c>
      <c r="O53" s="50">
        <v>8</v>
      </c>
      <c r="P53" s="50">
        <v>8</v>
      </c>
      <c r="Q53" s="50">
        <v>9.1999999999999993</v>
      </c>
      <c r="R53" s="50">
        <v>9.1999999999999993</v>
      </c>
      <c r="S53" s="50">
        <v>9.1999999999999993</v>
      </c>
      <c r="T53" s="50">
        <v>9.1999999999999993</v>
      </c>
      <c r="U53" s="50">
        <v>9.1999999999999993</v>
      </c>
      <c r="V53" s="50">
        <v>9.1999999999999993</v>
      </c>
      <c r="W53" s="50">
        <v>9.1999999999999993</v>
      </c>
      <c r="X53" s="50">
        <v>9.1999999999999993</v>
      </c>
      <c r="Y53" s="50">
        <v>9.1999999999999993</v>
      </c>
      <c r="Z53" s="50">
        <v>9.1999999999999993</v>
      </c>
      <c r="AA53" s="50">
        <v>9.1999999999999993</v>
      </c>
      <c r="AB53" s="48">
        <v>9.1999999999999993</v>
      </c>
      <c r="AC53" s="48">
        <v>9.1999999999999993</v>
      </c>
      <c r="AD53" s="48">
        <v>9.1999999999999993</v>
      </c>
      <c r="AE53" s="48">
        <v>9.1999999999999993</v>
      </c>
      <c r="AF53" s="48">
        <v>9.1999999999999993</v>
      </c>
      <c r="AG53" s="136">
        <v>10.050000000000001</v>
      </c>
      <c r="AH53" s="54">
        <f t="shared" si="2"/>
        <v>9.1999999999999993</v>
      </c>
      <c r="AI53" s="55">
        <f t="shared" si="3"/>
        <v>8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50">
        <v>6.2</v>
      </c>
      <c r="N54" s="50">
        <v>6.2</v>
      </c>
      <c r="O54" s="50">
        <v>6.2</v>
      </c>
      <c r="P54" s="50">
        <v>6.2</v>
      </c>
      <c r="Q54" s="50">
        <v>6.2</v>
      </c>
      <c r="R54" s="50">
        <v>6.2</v>
      </c>
      <c r="S54" s="50">
        <v>6.2</v>
      </c>
      <c r="T54" s="50">
        <v>6.2</v>
      </c>
      <c r="U54" s="50">
        <v>6.2</v>
      </c>
      <c r="V54" s="50">
        <v>6.2</v>
      </c>
      <c r="W54" s="50">
        <v>6.2</v>
      </c>
      <c r="X54" s="50">
        <v>6.2</v>
      </c>
      <c r="Y54" s="50">
        <v>6.2</v>
      </c>
      <c r="Z54" s="50">
        <v>6.2</v>
      </c>
      <c r="AA54" s="50">
        <v>6.2</v>
      </c>
      <c r="AB54" s="48">
        <v>6.2</v>
      </c>
      <c r="AC54" s="48">
        <v>6.2</v>
      </c>
      <c r="AD54" s="48">
        <v>6.2</v>
      </c>
      <c r="AE54" s="48">
        <v>6.2</v>
      </c>
      <c r="AF54" s="48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6">AG220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>SUM(B43:B55)</f>
        <v>417.64000000000004</v>
      </c>
      <c r="C56" s="66">
        <f t="shared" ref="C56:AG56" si="7">SUM(C43:C55)</f>
        <v>380.24</v>
      </c>
      <c r="D56" s="66">
        <f t="shared" si="7"/>
        <v>364.74000000000007</v>
      </c>
      <c r="E56" s="66">
        <f t="shared" si="7"/>
        <v>328.74000000000007</v>
      </c>
      <c r="F56" s="66">
        <f t="shared" si="7"/>
        <v>313.1400000000001</v>
      </c>
      <c r="G56" s="66">
        <f t="shared" si="7"/>
        <v>311.84000000000009</v>
      </c>
      <c r="H56" s="66">
        <f t="shared" si="7"/>
        <v>311.84000000000009</v>
      </c>
      <c r="I56" s="66">
        <f t="shared" si="7"/>
        <v>351.44000000000005</v>
      </c>
      <c r="J56" s="66">
        <f t="shared" si="7"/>
        <v>351.44000000000005</v>
      </c>
      <c r="K56" s="66">
        <f t="shared" si="7"/>
        <v>376.64000000000004</v>
      </c>
      <c r="L56" s="66">
        <f t="shared" si="7"/>
        <v>421.74</v>
      </c>
      <c r="M56" s="66">
        <f t="shared" si="7"/>
        <v>428.14000000000004</v>
      </c>
      <c r="N56" s="66">
        <f t="shared" si="7"/>
        <v>377.84000000000003</v>
      </c>
      <c r="O56" s="66">
        <f t="shared" si="7"/>
        <v>383.24</v>
      </c>
      <c r="P56" s="66">
        <f t="shared" si="7"/>
        <v>345.74</v>
      </c>
      <c r="Q56" s="66">
        <f t="shared" si="7"/>
        <v>351.94000000000005</v>
      </c>
      <c r="R56" s="66">
        <f t="shared" si="7"/>
        <v>343.94000000000005</v>
      </c>
      <c r="S56" s="66">
        <f t="shared" si="7"/>
        <v>349.64000000000004</v>
      </c>
      <c r="T56" s="66">
        <f t="shared" si="7"/>
        <v>363.44</v>
      </c>
      <c r="U56" s="66">
        <f t="shared" si="7"/>
        <v>363.44</v>
      </c>
      <c r="V56" s="66">
        <f t="shared" si="7"/>
        <v>363.44</v>
      </c>
      <c r="W56" s="66">
        <f t="shared" si="7"/>
        <v>315.74000000000007</v>
      </c>
      <c r="X56" s="66">
        <f t="shared" si="7"/>
        <v>315.74000000000007</v>
      </c>
      <c r="Y56" s="66">
        <f t="shared" si="7"/>
        <v>342.44</v>
      </c>
      <c r="Z56" s="66">
        <f t="shared" si="7"/>
        <v>394.44</v>
      </c>
      <c r="AA56" s="66">
        <f t="shared" si="7"/>
        <v>395.44</v>
      </c>
      <c r="AB56" s="66">
        <f t="shared" si="7"/>
        <v>395.44</v>
      </c>
      <c r="AC56" s="66">
        <f t="shared" si="7"/>
        <v>393.04</v>
      </c>
      <c r="AD56" s="66">
        <f t="shared" si="7"/>
        <v>393.04</v>
      </c>
      <c r="AE56" s="66">
        <f t="shared" si="7"/>
        <v>393.04</v>
      </c>
      <c r="AF56" s="66">
        <f t="shared" si="7"/>
        <v>370.14</v>
      </c>
      <c r="AG56" s="143">
        <f t="shared" si="7"/>
        <v>489.91</v>
      </c>
      <c r="AH56" s="54">
        <f t="shared" si="2"/>
        <v>428.14000000000004</v>
      </c>
      <c r="AI56" s="55">
        <f t="shared" si="3"/>
        <v>311.84000000000009</v>
      </c>
      <c r="AK56" s="56"/>
    </row>
    <row r="57" spans="1:41" x14ac:dyDescent="0.25">
      <c r="A57" s="57" t="s">
        <v>37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30</v>
      </c>
      <c r="AB57" s="50">
        <v>29.8</v>
      </c>
      <c r="AC57" s="50">
        <v>28.5</v>
      </c>
      <c r="AD57" s="50">
        <v>0</v>
      </c>
      <c r="AE57" s="50">
        <v>0</v>
      </c>
      <c r="AF57" s="50">
        <v>0</v>
      </c>
      <c r="AG57" s="135">
        <v>60</v>
      </c>
      <c r="AH57" s="54">
        <f t="shared" si="2"/>
        <v>30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7.5</v>
      </c>
      <c r="AB58" s="48">
        <v>15</v>
      </c>
      <c r="AC58" s="48">
        <v>16.2</v>
      </c>
      <c r="AD58" s="48">
        <v>9</v>
      </c>
      <c r="AE58" s="48">
        <v>0</v>
      </c>
      <c r="AF58" s="48">
        <v>0</v>
      </c>
      <c r="AG58" s="136">
        <v>32</v>
      </c>
      <c r="AH58" s="54">
        <f t="shared" si="2"/>
        <v>16.2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70">
        <v>0</v>
      </c>
      <c r="P59" s="70">
        <v>0</v>
      </c>
      <c r="Q59" s="70">
        <v>0</v>
      </c>
      <c r="R59" s="70">
        <v>0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70">
        <v>2.7</v>
      </c>
      <c r="AB59" s="70">
        <v>5.5</v>
      </c>
      <c r="AC59" s="70">
        <v>5.9</v>
      </c>
      <c r="AD59" s="70">
        <v>3</v>
      </c>
      <c r="AE59" s="70">
        <v>0</v>
      </c>
      <c r="AF59" s="70">
        <v>0</v>
      </c>
      <c r="AG59" s="137">
        <v>14</v>
      </c>
      <c r="AH59" s="54">
        <f t="shared" si="2"/>
        <v>5.9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>SUM(B57:B59)</f>
        <v>0</v>
      </c>
      <c r="C60" s="66">
        <f t="shared" ref="C60:AG60" si="8">SUM(C57:C59)</f>
        <v>0</v>
      </c>
      <c r="D60" s="66">
        <f t="shared" si="8"/>
        <v>0</v>
      </c>
      <c r="E60" s="66">
        <f t="shared" si="8"/>
        <v>0</v>
      </c>
      <c r="F60" s="66">
        <f t="shared" si="8"/>
        <v>0</v>
      </c>
      <c r="G60" s="66">
        <f t="shared" si="8"/>
        <v>0</v>
      </c>
      <c r="H60" s="66">
        <f t="shared" si="8"/>
        <v>0</v>
      </c>
      <c r="I60" s="66">
        <f t="shared" si="8"/>
        <v>0</v>
      </c>
      <c r="J60" s="66">
        <f t="shared" si="8"/>
        <v>0</v>
      </c>
      <c r="K60" s="66">
        <f t="shared" si="8"/>
        <v>0</v>
      </c>
      <c r="L60" s="66">
        <f t="shared" si="8"/>
        <v>0</v>
      </c>
      <c r="M60" s="66">
        <f t="shared" si="8"/>
        <v>0</v>
      </c>
      <c r="N60" s="66">
        <f t="shared" si="8"/>
        <v>0</v>
      </c>
      <c r="O60" s="66">
        <f t="shared" si="8"/>
        <v>0</v>
      </c>
      <c r="P60" s="66">
        <f t="shared" si="8"/>
        <v>0</v>
      </c>
      <c r="Q60" s="66">
        <f t="shared" si="8"/>
        <v>0</v>
      </c>
      <c r="R60" s="66">
        <f t="shared" si="8"/>
        <v>0</v>
      </c>
      <c r="S60" s="66">
        <f t="shared" si="8"/>
        <v>0</v>
      </c>
      <c r="T60" s="66">
        <f t="shared" si="8"/>
        <v>0</v>
      </c>
      <c r="U60" s="66">
        <f t="shared" si="8"/>
        <v>0</v>
      </c>
      <c r="V60" s="66">
        <f t="shared" si="8"/>
        <v>0</v>
      </c>
      <c r="W60" s="66">
        <f t="shared" si="8"/>
        <v>0</v>
      </c>
      <c r="X60" s="66">
        <f t="shared" si="8"/>
        <v>0</v>
      </c>
      <c r="Y60" s="66">
        <f t="shared" si="8"/>
        <v>0</v>
      </c>
      <c r="Z60" s="66">
        <f t="shared" si="8"/>
        <v>0</v>
      </c>
      <c r="AA60" s="66">
        <f t="shared" si="8"/>
        <v>40.200000000000003</v>
      </c>
      <c r="AB60" s="66">
        <f t="shared" si="8"/>
        <v>50.3</v>
      </c>
      <c r="AC60" s="66">
        <f t="shared" si="8"/>
        <v>50.6</v>
      </c>
      <c r="AD60" s="66">
        <f t="shared" si="8"/>
        <v>12</v>
      </c>
      <c r="AE60" s="66">
        <f t="shared" si="8"/>
        <v>0</v>
      </c>
      <c r="AF60" s="66">
        <f t="shared" si="8"/>
        <v>0</v>
      </c>
      <c r="AG60" s="143">
        <f t="shared" si="8"/>
        <v>106</v>
      </c>
      <c r="AH60" s="54">
        <f t="shared" si="2"/>
        <v>50.6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16.3</v>
      </c>
      <c r="C61" s="50">
        <v>-2.2000000000000002</v>
      </c>
      <c r="D61" s="50">
        <v>-2.8</v>
      </c>
      <c r="E61" s="50">
        <v>-2.2999999999999998</v>
      </c>
      <c r="F61" s="50">
        <v>-3.8</v>
      </c>
      <c r="G61" s="50">
        <v>-2.2000000000000002</v>
      </c>
      <c r="H61" s="50">
        <v>-3</v>
      </c>
      <c r="I61" s="50">
        <v>-2.7</v>
      </c>
      <c r="J61" s="50">
        <v>-4.3</v>
      </c>
      <c r="K61" s="50">
        <v>-2.2000000000000002</v>
      </c>
      <c r="L61" s="50">
        <v>-1.5</v>
      </c>
      <c r="M61" s="50">
        <v>0</v>
      </c>
      <c r="N61" s="50">
        <v>-3.5</v>
      </c>
      <c r="O61" s="50">
        <v>13.9</v>
      </c>
      <c r="P61" s="50">
        <v>24.2</v>
      </c>
      <c r="Q61" s="50">
        <v>9.3000000000000007</v>
      </c>
      <c r="R61" s="50">
        <v>2.4</v>
      </c>
      <c r="S61" s="50">
        <v>6</v>
      </c>
      <c r="T61" s="50">
        <v>3</v>
      </c>
      <c r="U61" s="50">
        <v>2.1</v>
      </c>
      <c r="V61" s="50">
        <v>21.2</v>
      </c>
      <c r="W61" s="50">
        <v>15</v>
      </c>
      <c r="X61" s="50">
        <v>16</v>
      </c>
      <c r="Y61" s="50">
        <v>16</v>
      </c>
      <c r="Z61" s="50">
        <v>28</v>
      </c>
      <c r="AA61" s="50">
        <v>39</v>
      </c>
      <c r="AB61" s="50">
        <v>52.5</v>
      </c>
      <c r="AC61" s="50">
        <v>51</v>
      </c>
      <c r="AD61" s="50">
        <v>54.7</v>
      </c>
      <c r="AE61" s="50">
        <v>31</v>
      </c>
      <c r="AF61" s="50">
        <v>6.2</v>
      </c>
      <c r="AG61" s="135"/>
      <c r="AH61" s="54">
        <f t="shared" si="2"/>
        <v>54.7</v>
      </c>
      <c r="AI61" s="55">
        <f t="shared" si="3"/>
        <v>-4.3</v>
      </c>
      <c r="AK61" s="56"/>
    </row>
    <row r="62" spans="1:41" ht="14.25" customHeight="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-487</v>
      </c>
      <c r="C63" s="48">
        <v>-494</v>
      </c>
      <c r="D63" s="48">
        <v>-470</v>
      </c>
      <c r="E63" s="48">
        <v>-480</v>
      </c>
      <c r="F63" s="48">
        <v>-479</v>
      </c>
      <c r="G63" s="48">
        <v>-461</v>
      </c>
      <c r="H63" s="48">
        <v>-363</v>
      </c>
      <c r="I63" s="48">
        <v>-435.1</v>
      </c>
      <c r="J63" s="48">
        <v>-414.6</v>
      </c>
      <c r="K63" s="48">
        <v>-403.8</v>
      </c>
      <c r="L63" s="48">
        <v>-480</v>
      </c>
      <c r="M63" s="48">
        <v>-477</v>
      </c>
      <c r="N63" s="48">
        <v>-363</v>
      </c>
      <c r="O63" s="48">
        <v>-371.9</v>
      </c>
      <c r="P63" s="48">
        <v>-362.8</v>
      </c>
      <c r="Q63" s="48">
        <v>-380</v>
      </c>
      <c r="R63" s="48">
        <v>-376</v>
      </c>
      <c r="S63" s="48">
        <v>-393</v>
      </c>
      <c r="T63" s="48">
        <v>-373</v>
      </c>
      <c r="U63" s="48">
        <v>-400</v>
      </c>
      <c r="V63" s="48">
        <v>-411</v>
      </c>
      <c r="W63" s="48">
        <v>-363</v>
      </c>
      <c r="X63" s="48">
        <v>-386</v>
      </c>
      <c r="Y63" s="48">
        <v>-387</v>
      </c>
      <c r="Z63" s="48">
        <v>-369</v>
      </c>
      <c r="AA63" s="48">
        <v>-321</v>
      </c>
      <c r="AB63" s="48">
        <v>-363</v>
      </c>
      <c r="AC63" s="48">
        <v>-357.2</v>
      </c>
      <c r="AD63" s="48">
        <v>-365.5</v>
      </c>
      <c r="AE63" s="48">
        <v>-381</v>
      </c>
      <c r="AF63" s="48">
        <v>-407</v>
      </c>
      <c r="AG63" s="140"/>
      <c r="AH63" s="54">
        <f t="shared" si="2"/>
        <v>-321</v>
      </c>
      <c r="AI63" s="55">
        <f t="shared" si="3"/>
        <v>-494</v>
      </c>
      <c r="AK63" s="56"/>
    </row>
    <row r="64" spans="1:41" x14ac:dyDescent="0.25">
      <c r="A64" s="60" t="s">
        <v>44</v>
      </c>
      <c r="B64" s="71">
        <v>0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140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0</v>
      </c>
      <c r="C66" s="72">
        <v>0</v>
      </c>
      <c r="D66" s="72">
        <v>0</v>
      </c>
      <c r="E66" s="72">
        <v>0</v>
      </c>
      <c r="F66" s="72">
        <v>0</v>
      </c>
      <c r="G66" s="72">
        <v>0</v>
      </c>
      <c r="H66" s="72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0</v>
      </c>
      <c r="AD66" s="72">
        <v>0</v>
      </c>
      <c r="AE66" s="72">
        <v>0</v>
      </c>
      <c r="AF66" s="72">
        <v>0</v>
      </c>
      <c r="AG66" s="140"/>
      <c r="AH66" s="54">
        <f t="shared" si="2"/>
        <v>0</v>
      </c>
      <c r="AI66" s="55">
        <f t="shared" si="3"/>
        <v>0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1">
        <v>0</v>
      </c>
      <c r="D68" s="71">
        <v>0</v>
      </c>
      <c r="E68" s="71">
        <v>0</v>
      </c>
      <c r="F68" s="71">
        <v>0</v>
      </c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1">
        <v>0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4">
        <v>0</v>
      </c>
      <c r="C70" s="74">
        <v>0</v>
      </c>
      <c r="D70" s="74">
        <v>0</v>
      </c>
      <c r="E70" s="74">
        <v>0</v>
      </c>
      <c r="F70" s="74">
        <v>0</v>
      </c>
      <c r="G70" s="74">
        <v>0</v>
      </c>
      <c r="H70" s="74">
        <v>0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4">
        <v>0</v>
      </c>
      <c r="C71" s="74">
        <v>0</v>
      </c>
      <c r="D71" s="74">
        <v>0</v>
      </c>
      <c r="E71" s="74">
        <v>0</v>
      </c>
      <c r="F71" s="74">
        <v>0</v>
      </c>
      <c r="G71" s="74">
        <v>0</v>
      </c>
      <c r="H71" s="74">
        <v>0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>SUMIF(B61:B71,"&gt;0")</f>
        <v>16.3</v>
      </c>
      <c r="C72" s="66">
        <f t="shared" ref="C72:L72" si="9">SUMIF(C61:C71,"&gt;0")</f>
        <v>0</v>
      </c>
      <c r="D72" s="66">
        <f t="shared" si="9"/>
        <v>0</v>
      </c>
      <c r="E72" s="66">
        <f t="shared" si="9"/>
        <v>0</v>
      </c>
      <c r="F72" s="66">
        <f t="shared" si="9"/>
        <v>0</v>
      </c>
      <c r="G72" s="66">
        <f t="shared" si="9"/>
        <v>0</v>
      </c>
      <c r="H72" s="66">
        <f t="shared" si="9"/>
        <v>0</v>
      </c>
      <c r="I72" s="66">
        <f t="shared" si="9"/>
        <v>0</v>
      </c>
      <c r="J72" s="66">
        <f t="shared" si="9"/>
        <v>0</v>
      </c>
      <c r="K72" s="66">
        <f t="shared" si="9"/>
        <v>0</v>
      </c>
      <c r="L72" s="66">
        <f t="shared" si="9"/>
        <v>0</v>
      </c>
      <c r="M72" s="66">
        <f>SUMIF(M61:M71,"&gt;0")</f>
        <v>0</v>
      </c>
      <c r="N72" s="66">
        <f t="shared" ref="N72:AF72" si="10">SUMIF(N61:N71,"&gt;0")</f>
        <v>0</v>
      </c>
      <c r="O72" s="66">
        <f t="shared" si="10"/>
        <v>13.9</v>
      </c>
      <c r="P72" s="66">
        <f t="shared" si="10"/>
        <v>24.2</v>
      </c>
      <c r="Q72" s="66">
        <f t="shared" si="10"/>
        <v>9.3000000000000007</v>
      </c>
      <c r="R72" s="66">
        <f t="shared" si="10"/>
        <v>2.4</v>
      </c>
      <c r="S72" s="66">
        <f t="shared" si="10"/>
        <v>6</v>
      </c>
      <c r="T72" s="66">
        <f t="shared" si="10"/>
        <v>3</v>
      </c>
      <c r="U72" s="66">
        <f t="shared" si="10"/>
        <v>2.1</v>
      </c>
      <c r="V72" s="66">
        <f t="shared" si="10"/>
        <v>21.2</v>
      </c>
      <c r="W72" s="66">
        <f t="shared" si="10"/>
        <v>15</v>
      </c>
      <c r="X72" s="66">
        <f t="shared" si="10"/>
        <v>16</v>
      </c>
      <c r="Y72" s="66">
        <f t="shared" si="10"/>
        <v>16</v>
      </c>
      <c r="Z72" s="66">
        <f t="shared" si="10"/>
        <v>28</v>
      </c>
      <c r="AA72" s="66">
        <f t="shared" si="10"/>
        <v>39</v>
      </c>
      <c r="AB72" s="66">
        <f t="shared" si="10"/>
        <v>52.5</v>
      </c>
      <c r="AC72" s="66">
        <f t="shared" si="10"/>
        <v>51</v>
      </c>
      <c r="AD72" s="66">
        <f t="shared" si="10"/>
        <v>54.7</v>
      </c>
      <c r="AE72" s="66">
        <f t="shared" si="10"/>
        <v>31</v>
      </c>
      <c r="AF72" s="66">
        <f t="shared" si="10"/>
        <v>6.2</v>
      </c>
      <c r="AG72" s="138">
        <f>SUM(AG61:AG71)</f>
        <v>0</v>
      </c>
      <c r="AH72" s="54">
        <f t="shared" si="2"/>
        <v>54.7</v>
      </c>
      <c r="AI72" s="55">
        <f t="shared" si="3"/>
        <v>0</v>
      </c>
      <c r="AK72" s="56"/>
    </row>
    <row r="73" spans="1:88" x14ac:dyDescent="0.25">
      <c r="A73" s="57" t="s">
        <v>53</v>
      </c>
      <c r="B73" s="71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>
        <v>0</v>
      </c>
      <c r="C75" s="74">
        <v>0</v>
      </c>
      <c r="D75" s="74">
        <v>0</v>
      </c>
      <c r="E75" s="74">
        <v>0</v>
      </c>
      <c r="F75" s="74">
        <v>0</v>
      </c>
      <c r="G75" s="74">
        <v>0</v>
      </c>
      <c r="H75" s="74">
        <v>0</v>
      </c>
      <c r="I75" s="74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>B38+B42+B60+B56+B72+B76</f>
        <v>1760.3400000000001</v>
      </c>
      <c r="C77" s="75">
        <f t="shared" ref="C77:AF77" si="11">C38+C42+C60+C56+C72+C76</f>
        <v>1706.64</v>
      </c>
      <c r="D77" s="75">
        <f t="shared" si="11"/>
        <v>1691.14</v>
      </c>
      <c r="E77" s="75">
        <f t="shared" si="11"/>
        <v>1655.14</v>
      </c>
      <c r="F77" s="75">
        <f t="shared" si="11"/>
        <v>1639.3400000000001</v>
      </c>
      <c r="G77" s="75">
        <f t="shared" si="11"/>
        <v>1638.0400000000002</v>
      </c>
      <c r="H77" s="75">
        <f t="shared" si="11"/>
        <v>1518.0400000000002</v>
      </c>
      <c r="I77" s="75">
        <f t="shared" si="11"/>
        <v>1606.64</v>
      </c>
      <c r="J77" s="75">
        <f t="shared" si="11"/>
        <v>1610.64</v>
      </c>
      <c r="K77" s="75">
        <f t="shared" si="11"/>
        <v>1644.5400000000002</v>
      </c>
      <c r="L77" s="75">
        <f t="shared" si="11"/>
        <v>1689.64</v>
      </c>
      <c r="M77" s="75">
        <f t="shared" si="11"/>
        <v>1739.0400000000002</v>
      </c>
      <c r="N77" s="75">
        <f t="shared" si="11"/>
        <v>1688.7400000000002</v>
      </c>
      <c r="O77" s="75">
        <f t="shared" si="11"/>
        <v>1708.0400000000002</v>
      </c>
      <c r="P77" s="75">
        <f t="shared" si="11"/>
        <v>1687.8400000000001</v>
      </c>
      <c r="Q77" s="75">
        <f t="shared" si="11"/>
        <v>1679.74</v>
      </c>
      <c r="R77" s="75">
        <f t="shared" si="11"/>
        <v>1626.8400000000001</v>
      </c>
      <c r="S77" s="75">
        <f t="shared" si="11"/>
        <v>1636.14</v>
      </c>
      <c r="T77" s="75">
        <f t="shared" si="11"/>
        <v>1676.94</v>
      </c>
      <c r="U77" s="75">
        <f t="shared" si="11"/>
        <v>1676.04</v>
      </c>
      <c r="V77" s="75">
        <f t="shared" si="11"/>
        <v>1695.14</v>
      </c>
      <c r="W77" s="75">
        <f t="shared" si="11"/>
        <v>1639.24</v>
      </c>
      <c r="X77" s="75">
        <f t="shared" si="11"/>
        <v>1640.24</v>
      </c>
      <c r="Y77" s="75">
        <f t="shared" si="11"/>
        <v>1666.94</v>
      </c>
      <c r="Z77" s="75">
        <f t="shared" si="11"/>
        <v>1769.14</v>
      </c>
      <c r="AA77" s="75">
        <f t="shared" si="11"/>
        <v>1850.3400000000001</v>
      </c>
      <c r="AB77" s="75">
        <f t="shared" si="11"/>
        <v>1873.94</v>
      </c>
      <c r="AC77" s="75">
        <f t="shared" si="11"/>
        <v>1860.34</v>
      </c>
      <c r="AD77" s="75">
        <f t="shared" si="11"/>
        <v>1825.44</v>
      </c>
      <c r="AE77" s="75">
        <f t="shared" si="11"/>
        <v>1775.74</v>
      </c>
      <c r="AF77" s="75">
        <f t="shared" si="11"/>
        <v>1683.74</v>
      </c>
      <c r="AG77" s="143">
        <f>AG38+AG42+AG60+AG56+AG72+AG76</f>
        <v>1855.1900000000003</v>
      </c>
      <c r="AH77" s="54">
        <f t="shared" si="2"/>
        <v>1873.94</v>
      </c>
      <c r="AI77" s="55">
        <f t="shared" si="3"/>
        <v>1518.0400000000002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0</v>
      </c>
      <c r="AI78" s="55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>B77+B78</f>
        <v>1760.3400000000001</v>
      </c>
      <c r="C79" s="75">
        <f t="shared" ref="C79:AF79" si="12">C77+C78</f>
        <v>1706.64</v>
      </c>
      <c r="D79" s="75">
        <f t="shared" si="12"/>
        <v>1691.14</v>
      </c>
      <c r="E79" s="75">
        <f t="shared" si="12"/>
        <v>1655.14</v>
      </c>
      <c r="F79" s="75">
        <f t="shared" si="12"/>
        <v>1639.3400000000001</v>
      </c>
      <c r="G79" s="75">
        <f t="shared" si="12"/>
        <v>1638.0400000000002</v>
      </c>
      <c r="H79" s="75">
        <f t="shared" si="12"/>
        <v>1518.0400000000002</v>
      </c>
      <c r="I79" s="75">
        <f t="shared" si="12"/>
        <v>1606.64</v>
      </c>
      <c r="J79" s="75">
        <f t="shared" si="12"/>
        <v>1610.64</v>
      </c>
      <c r="K79" s="75">
        <f t="shared" si="12"/>
        <v>1644.5400000000002</v>
      </c>
      <c r="L79" s="75">
        <f t="shared" si="12"/>
        <v>1689.64</v>
      </c>
      <c r="M79" s="75">
        <f t="shared" si="12"/>
        <v>1739.0400000000002</v>
      </c>
      <c r="N79" s="75">
        <f t="shared" si="12"/>
        <v>1688.7400000000002</v>
      </c>
      <c r="O79" s="75">
        <f t="shared" si="12"/>
        <v>1708.0400000000002</v>
      </c>
      <c r="P79" s="75">
        <f t="shared" si="12"/>
        <v>1687.8400000000001</v>
      </c>
      <c r="Q79" s="75">
        <f t="shared" si="12"/>
        <v>1679.74</v>
      </c>
      <c r="R79" s="75">
        <f t="shared" si="12"/>
        <v>1626.8400000000001</v>
      </c>
      <c r="S79" s="75">
        <f t="shared" si="12"/>
        <v>1636.14</v>
      </c>
      <c r="T79" s="75">
        <f t="shared" si="12"/>
        <v>1676.94</v>
      </c>
      <c r="U79" s="75">
        <f t="shared" si="12"/>
        <v>1676.04</v>
      </c>
      <c r="V79" s="75">
        <f t="shared" si="12"/>
        <v>1695.14</v>
      </c>
      <c r="W79" s="75">
        <f t="shared" si="12"/>
        <v>1639.24</v>
      </c>
      <c r="X79" s="75">
        <f t="shared" si="12"/>
        <v>1640.24</v>
      </c>
      <c r="Y79" s="75">
        <f t="shared" si="12"/>
        <v>1666.94</v>
      </c>
      <c r="Z79" s="75">
        <f t="shared" si="12"/>
        <v>1769.14</v>
      </c>
      <c r="AA79" s="75">
        <f t="shared" si="12"/>
        <v>1850.3400000000001</v>
      </c>
      <c r="AB79" s="75">
        <f t="shared" si="12"/>
        <v>1873.94</v>
      </c>
      <c r="AC79" s="75">
        <f t="shared" si="12"/>
        <v>1860.34</v>
      </c>
      <c r="AD79" s="75">
        <f t="shared" si="12"/>
        <v>1825.44</v>
      </c>
      <c r="AE79" s="75">
        <f t="shared" si="12"/>
        <v>1775.74</v>
      </c>
      <c r="AF79" s="75">
        <f t="shared" si="12"/>
        <v>1683.74</v>
      </c>
      <c r="AG79" s="138">
        <f>AG76+AG72+AG60+AG56+AG38+AG78</f>
        <v>1317.0900000000001</v>
      </c>
      <c r="AH79" s="54">
        <f t="shared" si="2"/>
        <v>1873.94</v>
      </c>
      <c r="AI79" s="55">
        <f t="shared" si="3"/>
        <v>1518.0400000000002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:AF80" si="13">B79-B87</f>
        <v>1273.3400000000001</v>
      </c>
      <c r="C80" s="75">
        <f t="shared" si="13"/>
        <v>1210.44</v>
      </c>
      <c r="D80" s="75">
        <f t="shared" si="13"/>
        <v>1218.3400000000001</v>
      </c>
      <c r="E80" s="75">
        <f t="shared" si="13"/>
        <v>1172.8400000000001</v>
      </c>
      <c r="F80" s="75">
        <f t="shared" si="13"/>
        <v>1156.5400000000002</v>
      </c>
      <c r="G80" s="75">
        <f t="shared" si="13"/>
        <v>1174.8400000000001</v>
      </c>
      <c r="H80" s="75">
        <f t="shared" si="13"/>
        <v>1152.0400000000002</v>
      </c>
      <c r="I80" s="75">
        <f t="shared" si="13"/>
        <v>1168.8400000000001</v>
      </c>
      <c r="J80" s="75">
        <f t="shared" si="13"/>
        <v>1191.74</v>
      </c>
      <c r="K80" s="75">
        <f t="shared" si="13"/>
        <v>1238.5400000000002</v>
      </c>
      <c r="L80" s="75">
        <f t="shared" si="13"/>
        <v>1208.1400000000001</v>
      </c>
      <c r="M80" s="75">
        <f t="shared" si="13"/>
        <v>1262.0400000000002</v>
      </c>
      <c r="N80" s="75">
        <f t="shared" si="13"/>
        <v>1322.2400000000002</v>
      </c>
      <c r="O80" s="75">
        <f t="shared" si="13"/>
        <v>1336.1400000000003</v>
      </c>
      <c r="P80" s="75">
        <f t="shared" si="13"/>
        <v>1325.0400000000002</v>
      </c>
      <c r="Q80" s="75">
        <f t="shared" si="13"/>
        <v>1299.74</v>
      </c>
      <c r="R80" s="75">
        <f t="shared" si="13"/>
        <v>1250.8400000000001</v>
      </c>
      <c r="S80" s="75">
        <f t="shared" si="13"/>
        <v>1243.1400000000001</v>
      </c>
      <c r="T80" s="75">
        <f t="shared" si="13"/>
        <v>1303.94</v>
      </c>
      <c r="U80" s="75">
        <f t="shared" si="13"/>
        <v>1276.04</v>
      </c>
      <c r="V80" s="75">
        <f t="shared" si="13"/>
        <v>1284.1400000000001</v>
      </c>
      <c r="W80" s="75">
        <f t="shared" si="13"/>
        <v>1276.24</v>
      </c>
      <c r="X80" s="75">
        <f t="shared" si="13"/>
        <v>1254.24</v>
      </c>
      <c r="Y80" s="75">
        <f t="shared" si="13"/>
        <v>1279.94</v>
      </c>
      <c r="Z80" s="75">
        <f t="shared" si="13"/>
        <v>1400.14</v>
      </c>
      <c r="AA80" s="75">
        <f t="shared" si="13"/>
        <v>1529.3400000000001</v>
      </c>
      <c r="AB80" s="75">
        <f t="shared" si="13"/>
        <v>1510.94</v>
      </c>
      <c r="AC80" s="75">
        <f t="shared" si="13"/>
        <v>1503.1399999999999</v>
      </c>
      <c r="AD80" s="75">
        <f t="shared" si="13"/>
        <v>1459.94</v>
      </c>
      <c r="AE80" s="75">
        <f t="shared" si="13"/>
        <v>1394.74</v>
      </c>
      <c r="AF80" s="75">
        <f t="shared" si="13"/>
        <v>1276.74</v>
      </c>
      <c r="AG80" s="138"/>
      <c r="AH80" s="54">
        <f t="shared" ref="AH80:AH97" si="14">MAX(B80:AF80)</f>
        <v>1529.3400000000001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>IF(B64&lt;0,B64*-1,0)</f>
        <v>0</v>
      </c>
      <c r="C81" s="71">
        <f t="shared" ref="C81:AF81" si="15">IF(C64&lt;0,C64*-1,0)</f>
        <v>0</v>
      </c>
      <c r="D81" s="71">
        <f t="shared" si="15"/>
        <v>0</v>
      </c>
      <c r="E81" s="71">
        <f t="shared" si="15"/>
        <v>0</v>
      </c>
      <c r="F81" s="71">
        <f t="shared" si="15"/>
        <v>0</v>
      </c>
      <c r="G81" s="71">
        <f t="shared" si="15"/>
        <v>0</v>
      </c>
      <c r="H81" s="71">
        <f t="shared" si="15"/>
        <v>0</v>
      </c>
      <c r="I81" s="71">
        <f t="shared" si="15"/>
        <v>0</v>
      </c>
      <c r="J81" s="71">
        <f t="shared" si="15"/>
        <v>0</v>
      </c>
      <c r="K81" s="71">
        <f t="shared" si="15"/>
        <v>0</v>
      </c>
      <c r="L81" s="71">
        <f t="shared" si="15"/>
        <v>0</v>
      </c>
      <c r="M81" s="71">
        <f t="shared" si="15"/>
        <v>0</v>
      </c>
      <c r="N81" s="71">
        <f t="shared" si="15"/>
        <v>0</v>
      </c>
      <c r="O81" s="71">
        <f t="shared" si="15"/>
        <v>0</v>
      </c>
      <c r="P81" s="71">
        <f t="shared" si="15"/>
        <v>0</v>
      </c>
      <c r="Q81" s="71">
        <f t="shared" si="15"/>
        <v>0</v>
      </c>
      <c r="R81" s="71">
        <f t="shared" si="15"/>
        <v>0</v>
      </c>
      <c r="S81" s="71">
        <f t="shared" si="15"/>
        <v>0</v>
      </c>
      <c r="T81" s="71">
        <f t="shared" si="15"/>
        <v>0</v>
      </c>
      <c r="U81" s="71">
        <f t="shared" si="15"/>
        <v>0</v>
      </c>
      <c r="V81" s="71">
        <f t="shared" si="15"/>
        <v>0</v>
      </c>
      <c r="W81" s="71">
        <f t="shared" si="15"/>
        <v>0</v>
      </c>
      <c r="X81" s="71">
        <f t="shared" si="15"/>
        <v>0</v>
      </c>
      <c r="Y81" s="71">
        <f t="shared" si="15"/>
        <v>0</v>
      </c>
      <c r="Z81" s="71">
        <f t="shared" si="15"/>
        <v>0</v>
      </c>
      <c r="AA81" s="71">
        <f t="shared" si="15"/>
        <v>0</v>
      </c>
      <c r="AB81" s="71">
        <f t="shared" si="15"/>
        <v>0</v>
      </c>
      <c r="AC81" s="71">
        <f t="shared" si="15"/>
        <v>0</v>
      </c>
      <c r="AD81" s="71">
        <f t="shared" si="15"/>
        <v>0</v>
      </c>
      <c r="AE81" s="71">
        <f t="shared" si="15"/>
        <v>0</v>
      </c>
      <c r="AF81" s="71">
        <f t="shared" si="15"/>
        <v>0</v>
      </c>
      <c r="AG81" s="135"/>
      <c r="AH81" s="54">
        <f t="shared" si="14"/>
        <v>0</v>
      </c>
      <c r="AI81" s="55">
        <f t="shared" ref="AI81:AI97" si="16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>IF(B62&lt;0,B62*-1,0)</f>
        <v>0</v>
      </c>
      <c r="C82" s="71">
        <f t="shared" ref="C82:AF82" si="17">IF(C62&lt;0,C62*-1,0)</f>
        <v>0</v>
      </c>
      <c r="D82" s="71">
        <f t="shared" si="17"/>
        <v>0</v>
      </c>
      <c r="E82" s="71">
        <f t="shared" si="17"/>
        <v>0</v>
      </c>
      <c r="F82" s="71">
        <f t="shared" si="17"/>
        <v>0</v>
      </c>
      <c r="G82" s="71">
        <f t="shared" si="17"/>
        <v>0</v>
      </c>
      <c r="H82" s="71">
        <f t="shared" si="17"/>
        <v>0</v>
      </c>
      <c r="I82" s="71">
        <f t="shared" si="17"/>
        <v>0</v>
      </c>
      <c r="J82" s="71">
        <f t="shared" si="17"/>
        <v>0</v>
      </c>
      <c r="K82" s="71">
        <f t="shared" si="17"/>
        <v>0</v>
      </c>
      <c r="L82" s="71">
        <f t="shared" si="17"/>
        <v>0</v>
      </c>
      <c r="M82" s="71">
        <f t="shared" si="17"/>
        <v>0</v>
      </c>
      <c r="N82" s="71">
        <f t="shared" si="17"/>
        <v>0</v>
      </c>
      <c r="O82" s="71">
        <f t="shared" si="17"/>
        <v>0</v>
      </c>
      <c r="P82" s="71">
        <f t="shared" si="17"/>
        <v>0</v>
      </c>
      <c r="Q82" s="71">
        <f t="shared" si="17"/>
        <v>0</v>
      </c>
      <c r="R82" s="71">
        <f t="shared" si="17"/>
        <v>0</v>
      </c>
      <c r="S82" s="71">
        <f t="shared" si="17"/>
        <v>0</v>
      </c>
      <c r="T82" s="71">
        <f t="shared" si="17"/>
        <v>0</v>
      </c>
      <c r="U82" s="71">
        <f t="shared" si="17"/>
        <v>0</v>
      </c>
      <c r="V82" s="71">
        <f t="shared" si="17"/>
        <v>0</v>
      </c>
      <c r="W82" s="71">
        <f t="shared" si="17"/>
        <v>0</v>
      </c>
      <c r="X82" s="71">
        <f t="shared" si="17"/>
        <v>0</v>
      </c>
      <c r="Y82" s="71">
        <f t="shared" si="17"/>
        <v>0</v>
      </c>
      <c r="Z82" s="71">
        <f t="shared" si="17"/>
        <v>0</v>
      </c>
      <c r="AA82" s="71">
        <f t="shared" si="17"/>
        <v>0</v>
      </c>
      <c r="AB82" s="71">
        <f t="shared" si="17"/>
        <v>0</v>
      </c>
      <c r="AC82" s="71">
        <f t="shared" si="17"/>
        <v>0</v>
      </c>
      <c r="AD82" s="71">
        <f t="shared" si="17"/>
        <v>0</v>
      </c>
      <c r="AE82" s="71">
        <f t="shared" si="17"/>
        <v>0</v>
      </c>
      <c r="AF82" s="71">
        <f t="shared" si="17"/>
        <v>0</v>
      </c>
      <c r="AG82" s="136"/>
      <c r="AH82" s="54">
        <f t="shared" si="14"/>
        <v>0</v>
      </c>
      <c r="AI82" s="55">
        <f t="shared" si="16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>IF(B65&lt;0,B65*-1,0)</f>
        <v>0</v>
      </c>
      <c r="C83" s="71">
        <f t="shared" ref="C83:AF83" si="18">IF(C65&lt;0,C65*-1,0)</f>
        <v>0</v>
      </c>
      <c r="D83" s="71">
        <f t="shared" si="18"/>
        <v>0</v>
      </c>
      <c r="E83" s="71">
        <f t="shared" si="18"/>
        <v>0</v>
      </c>
      <c r="F83" s="71">
        <f t="shared" si="18"/>
        <v>0</v>
      </c>
      <c r="G83" s="71">
        <f t="shared" si="18"/>
        <v>0</v>
      </c>
      <c r="H83" s="71">
        <f t="shared" si="18"/>
        <v>0</v>
      </c>
      <c r="I83" s="71">
        <f t="shared" si="18"/>
        <v>0</v>
      </c>
      <c r="J83" s="71">
        <f t="shared" si="18"/>
        <v>0</v>
      </c>
      <c r="K83" s="71">
        <f t="shared" si="18"/>
        <v>0</v>
      </c>
      <c r="L83" s="71">
        <f t="shared" si="18"/>
        <v>0</v>
      </c>
      <c r="M83" s="71">
        <f t="shared" si="18"/>
        <v>0</v>
      </c>
      <c r="N83" s="71">
        <f t="shared" si="18"/>
        <v>0</v>
      </c>
      <c r="O83" s="71">
        <f t="shared" si="18"/>
        <v>0</v>
      </c>
      <c r="P83" s="71">
        <f t="shared" si="18"/>
        <v>0</v>
      </c>
      <c r="Q83" s="71">
        <f t="shared" si="18"/>
        <v>0</v>
      </c>
      <c r="R83" s="71">
        <f t="shared" si="18"/>
        <v>0</v>
      </c>
      <c r="S83" s="71">
        <f t="shared" si="18"/>
        <v>0</v>
      </c>
      <c r="T83" s="71">
        <f t="shared" si="18"/>
        <v>0</v>
      </c>
      <c r="U83" s="71">
        <f t="shared" si="18"/>
        <v>0</v>
      </c>
      <c r="V83" s="71">
        <f t="shared" si="18"/>
        <v>0</v>
      </c>
      <c r="W83" s="71">
        <f t="shared" si="18"/>
        <v>0</v>
      </c>
      <c r="X83" s="71">
        <f t="shared" si="18"/>
        <v>0</v>
      </c>
      <c r="Y83" s="71">
        <f t="shared" si="18"/>
        <v>0</v>
      </c>
      <c r="Z83" s="71">
        <f t="shared" si="18"/>
        <v>0</v>
      </c>
      <c r="AA83" s="71">
        <f t="shared" si="18"/>
        <v>0</v>
      </c>
      <c r="AB83" s="71">
        <f t="shared" si="18"/>
        <v>0</v>
      </c>
      <c r="AC83" s="71">
        <f t="shared" si="18"/>
        <v>0</v>
      </c>
      <c r="AD83" s="71">
        <f t="shared" si="18"/>
        <v>0</v>
      </c>
      <c r="AE83" s="71">
        <f t="shared" si="18"/>
        <v>0</v>
      </c>
      <c r="AF83" s="71">
        <f t="shared" si="18"/>
        <v>0</v>
      </c>
      <c r="AG83" s="144"/>
      <c r="AH83" s="54">
        <f t="shared" si="14"/>
        <v>0</v>
      </c>
      <c r="AI83" s="55">
        <f t="shared" si="16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>IF(B63&lt;0,B63*-1,0)</f>
        <v>487</v>
      </c>
      <c r="C84" s="71">
        <f t="shared" ref="C84:AF84" si="19">IF(C63&lt;0,C63*-1,0)</f>
        <v>494</v>
      </c>
      <c r="D84" s="71">
        <f t="shared" si="19"/>
        <v>470</v>
      </c>
      <c r="E84" s="71">
        <f t="shared" si="19"/>
        <v>480</v>
      </c>
      <c r="F84" s="71">
        <f t="shared" si="19"/>
        <v>479</v>
      </c>
      <c r="G84" s="71">
        <f t="shared" si="19"/>
        <v>461</v>
      </c>
      <c r="H84" s="71">
        <f t="shared" si="19"/>
        <v>363</v>
      </c>
      <c r="I84" s="71">
        <f t="shared" si="19"/>
        <v>435.1</v>
      </c>
      <c r="J84" s="71">
        <f t="shared" si="19"/>
        <v>414.6</v>
      </c>
      <c r="K84" s="71">
        <f t="shared" si="19"/>
        <v>403.8</v>
      </c>
      <c r="L84" s="71">
        <f t="shared" si="19"/>
        <v>480</v>
      </c>
      <c r="M84" s="71">
        <f t="shared" si="19"/>
        <v>477</v>
      </c>
      <c r="N84" s="71">
        <f t="shared" si="19"/>
        <v>363</v>
      </c>
      <c r="O84" s="71">
        <f t="shared" si="19"/>
        <v>371.9</v>
      </c>
      <c r="P84" s="71">
        <f t="shared" si="19"/>
        <v>362.8</v>
      </c>
      <c r="Q84" s="71">
        <f t="shared" si="19"/>
        <v>380</v>
      </c>
      <c r="R84" s="71">
        <f t="shared" si="19"/>
        <v>376</v>
      </c>
      <c r="S84" s="71">
        <f t="shared" si="19"/>
        <v>393</v>
      </c>
      <c r="T84" s="71">
        <f t="shared" si="19"/>
        <v>373</v>
      </c>
      <c r="U84" s="71">
        <f t="shared" si="19"/>
        <v>400</v>
      </c>
      <c r="V84" s="71">
        <f t="shared" si="19"/>
        <v>411</v>
      </c>
      <c r="W84" s="71">
        <f t="shared" si="19"/>
        <v>363</v>
      </c>
      <c r="X84" s="71">
        <f t="shared" si="19"/>
        <v>386</v>
      </c>
      <c r="Y84" s="71">
        <f t="shared" si="19"/>
        <v>387</v>
      </c>
      <c r="Z84" s="71">
        <f t="shared" si="19"/>
        <v>369</v>
      </c>
      <c r="AA84" s="71">
        <f t="shared" si="19"/>
        <v>321</v>
      </c>
      <c r="AB84" s="71">
        <f t="shared" si="19"/>
        <v>363</v>
      </c>
      <c r="AC84" s="71">
        <f t="shared" si="19"/>
        <v>357.2</v>
      </c>
      <c r="AD84" s="71">
        <f t="shared" si="19"/>
        <v>365.5</v>
      </c>
      <c r="AE84" s="71">
        <f t="shared" si="19"/>
        <v>381</v>
      </c>
      <c r="AF84" s="71">
        <f t="shared" si="19"/>
        <v>407</v>
      </c>
      <c r="AG84" s="144"/>
      <c r="AH84" s="54">
        <f t="shared" si="14"/>
        <v>494</v>
      </c>
      <c r="AI84" s="55">
        <f t="shared" si="16"/>
        <v>321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>IF(B61&lt;0,B61*-1,0)</f>
        <v>0</v>
      </c>
      <c r="C85" s="71">
        <f t="shared" ref="C85:AF85" si="20">IF(C61&lt;0,C61*-1,0)</f>
        <v>2.2000000000000002</v>
      </c>
      <c r="D85" s="71">
        <f t="shared" si="20"/>
        <v>2.8</v>
      </c>
      <c r="E85" s="71">
        <f t="shared" si="20"/>
        <v>2.2999999999999998</v>
      </c>
      <c r="F85" s="71">
        <f t="shared" si="20"/>
        <v>3.8</v>
      </c>
      <c r="G85" s="71">
        <f t="shared" si="20"/>
        <v>2.2000000000000002</v>
      </c>
      <c r="H85" s="71">
        <f t="shared" si="20"/>
        <v>3</v>
      </c>
      <c r="I85" s="71">
        <f t="shared" si="20"/>
        <v>2.7</v>
      </c>
      <c r="J85" s="71">
        <f t="shared" si="20"/>
        <v>4.3</v>
      </c>
      <c r="K85" s="71">
        <f t="shared" si="20"/>
        <v>2.2000000000000002</v>
      </c>
      <c r="L85" s="71">
        <f t="shared" si="20"/>
        <v>1.5</v>
      </c>
      <c r="M85" s="71">
        <f t="shared" si="20"/>
        <v>0</v>
      </c>
      <c r="N85" s="71">
        <f t="shared" si="20"/>
        <v>3.5</v>
      </c>
      <c r="O85" s="71">
        <f t="shared" si="20"/>
        <v>0</v>
      </c>
      <c r="P85" s="71">
        <f t="shared" si="20"/>
        <v>0</v>
      </c>
      <c r="Q85" s="71">
        <f t="shared" si="20"/>
        <v>0</v>
      </c>
      <c r="R85" s="71">
        <f t="shared" si="20"/>
        <v>0</v>
      </c>
      <c r="S85" s="71">
        <f t="shared" si="20"/>
        <v>0</v>
      </c>
      <c r="T85" s="71">
        <f t="shared" si="20"/>
        <v>0</v>
      </c>
      <c r="U85" s="71">
        <f t="shared" si="20"/>
        <v>0</v>
      </c>
      <c r="V85" s="71">
        <f t="shared" si="20"/>
        <v>0</v>
      </c>
      <c r="W85" s="71">
        <f t="shared" si="20"/>
        <v>0</v>
      </c>
      <c r="X85" s="71">
        <f t="shared" si="20"/>
        <v>0</v>
      </c>
      <c r="Y85" s="71">
        <f t="shared" si="20"/>
        <v>0</v>
      </c>
      <c r="Z85" s="71">
        <f t="shared" si="20"/>
        <v>0</v>
      </c>
      <c r="AA85" s="71">
        <f t="shared" si="20"/>
        <v>0</v>
      </c>
      <c r="AB85" s="71">
        <f t="shared" si="20"/>
        <v>0</v>
      </c>
      <c r="AC85" s="71">
        <f t="shared" si="20"/>
        <v>0</v>
      </c>
      <c r="AD85" s="71">
        <f t="shared" si="20"/>
        <v>0</v>
      </c>
      <c r="AE85" s="71">
        <f t="shared" si="20"/>
        <v>0</v>
      </c>
      <c r="AF85" s="71">
        <f t="shared" si="20"/>
        <v>0</v>
      </c>
      <c r="AG85" s="144"/>
      <c r="AH85" s="54">
        <f t="shared" si="14"/>
        <v>4.3</v>
      </c>
      <c r="AI85" s="55">
        <f t="shared" si="16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/>
      <c r="AD86" s="74"/>
      <c r="AE86" s="74"/>
      <c r="AF86" s="74"/>
      <c r="AG86" s="141"/>
      <c r="AH86" s="54">
        <f t="shared" si="14"/>
        <v>0</v>
      </c>
      <c r="AI86" s="55">
        <f t="shared" si="16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>SUM(B81:B86)</f>
        <v>487</v>
      </c>
      <c r="C87" s="66">
        <f t="shared" ref="C87:AF87" si="21">SUM(C81:C86)</f>
        <v>496.2</v>
      </c>
      <c r="D87" s="66">
        <f t="shared" si="21"/>
        <v>472.8</v>
      </c>
      <c r="E87" s="66">
        <f t="shared" si="21"/>
        <v>482.3</v>
      </c>
      <c r="F87" s="66">
        <f t="shared" si="21"/>
        <v>482.8</v>
      </c>
      <c r="G87" s="66">
        <f t="shared" si="21"/>
        <v>463.2</v>
      </c>
      <c r="H87" s="66">
        <f t="shared" si="21"/>
        <v>366</v>
      </c>
      <c r="I87" s="66">
        <f t="shared" si="21"/>
        <v>437.8</v>
      </c>
      <c r="J87" s="66">
        <f t="shared" si="21"/>
        <v>418.90000000000003</v>
      </c>
      <c r="K87" s="66">
        <f t="shared" si="21"/>
        <v>406</v>
      </c>
      <c r="L87" s="66">
        <f t="shared" si="21"/>
        <v>481.5</v>
      </c>
      <c r="M87" s="66">
        <f t="shared" si="21"/>
        <v>477</v>
      </c>
      <c r="N87" s="66">
        <f t="shared" si="21"/>
        <v>366.5</v>
      </c>
      <c r="O87" s="66">
        <f t="shared" si="21"/>
        <v>371.9</v>
      </c>
      <c r="P87" s="66">
        <f t="shared" si="21"/>
        <v>362.8</v>
      </c>
      <c r="Q87" s="66">
        <f t="shared" si="21"/>
        <v>380</v>
      </c>
      <c r="R87" s="66">
        <f t="shared" si="21"/>
        <v>376</v>
      </c>
      <c r="S87" s="66">
        <f t="shared" si="21"/>
        <v>393</v>
      </c>
      <c r="T87" s="66">
        <f t="shared" si="21"/>
        <v>373</v>
      </c>
      <c r="U87" s="66">
        <f t="shared" si="21"/>
        <v>400</v>
      </c>
      <c r="V87" s="66">
        <f t="shared" si="21"/>
        <v>411</v>
      </c>
      <c r="W87" s="66">
        <f t="shared" si="21"/>
        <v>363</v>
      </c>
      <c r="X87" s="66">
        <f t="shared" si="21"/>
        <v>386</v>
      </c>
      <c r="Y87" s="66">
        <f t="shared" si="21"/>
        <v>387</v>
      </c>
      <c r="Z87" s="66">
        <f t="shared" si="21"/>
        <v>369</v>
      </c>
      <c r="AA87" s="66">
        <f t="shared" si="21"/>
        <v>321</v>
      </c>
      <c r="AB87" s="66">
        <f t="shared" si="21"/>
        <v>363</v>
      </c>
      <c r="AC87" s="66">
        <f t="shared" si="21"/>
        <v>357.2</v>
      </c>
      <c r="AD87" s="66">
        <f t="shared" si="21"/>
        <v>365.5</v>
      </c>
      <c r="AE87" s="66">
        <f t="shared" si="21"/>
        <v>381</v>
      </c>
      <c r="AF87" s="66">
        <f t="shared" si="21"/>
        <v>407</v>
      </c>
      <c r="AG87" s="138"/>
      <c r="AH87" s="54">
        <f t="shared" si="14"/>
        <v>496.2</v>
      </c>
      <c r="AI87" s="55">
        <f t="shared" si="16"/>
        <v>321</v>
      </c>
      <c r="AK87" s="56"/>
    </row>
    <row r="88" spans="1:88" s="1" customFormat="1" ht="15.75" thickBot="1" x14ac:dyDescent="0.3">
      <c r="A88" s="65" t="s">
        <v>64</v>
      </c>
      <c r="B88" s="66">
        <f>B72-B87</f>
        <v>-470.7</v>
      </c>
      <c r="C88" s="66">
        <f t="shared" ref="C88:AF88" si="22">C72-C87</f>
        <v>-496.2</v>
      </c>
      <c r="D88" s="66">
        <f t="shared" si="22"/>
        <v>-472.8</v>
      </c>
      <c r="E88" s="66">
        <f t="shared" si="22"/>
        <v>-482.3</v>
      </c>
      <c r="F88" s="66">
        <f t="shared" si="22"/>
        <v>-482.8</v>
      </c>
      <c r="G88" s="66">
        <f t="shared" si="22"/>
        <v>-463.2</v>
      </c>
      <c r="H88" s="66">
        <f t="shared" si="22"/>
        <v>-366</v>
      </c>
      <c r="I88" s="66">
        <f t="shared" si="22"/>
        <v>-437.8</v>
      </c>
      <c r="J88" s="66">
        <f t="shared" si="22"/>
        <v>-418.90000000000003</v>
      </c>
      <c r="K88" s="66">
        <f t="shared" si="22"/>
        <v>-406</v>
      </c>
      <c r="L88" s="66">
        <f t="shared" si="22"/>
        <v>-481.5</v>
      </c>
      <c r="M88" s="66">
        <f t="shared" si="22"/>
        <v>-477</v>
      </c>
      <c r="N88" s="66">
        <f t="shared" si="22"/>
        <v>-366.5</v>
      </c>
      <c r="O88" s="66">
        <f t="shared" si="22"/>
        <v>-358</v>
      </c>
      <c r="P88" s="66">
        <f t="shared" si="22"/>
        <v>-338.6</v>
      </c>
      <c r="Q88" s="66">
        <f t="shared" si="22"/>
        <v>-370.7</v>
      </c>
      <c r="R88" s="66">
        <f t="shared" si="22"/>
        <v>-373.6</v>
      </c>
      <c r="S88" s="66">
        <f t="shared" si="22"/>
        <v>-387</v>
      </c>
      <c r="T88" s="66">
        <f t="shared" si="22"/>
        <v>-370</v>
      </c>
      <c r="U88" s="66">
        <f t="shared" si="22"/>
        <v>-397.9</v>
      </c>
      <c r="V88" s="66">
        <f t="shared" si="22"/>
        <v>-389.8</v>
      </c>
      <c r="W88" s="66">
        <f t="shared" si="22"/>
        <v>-348</v>
      </c>
      <c r="X88" s="66">
        <f t="shared" si="22"/>
        <v>-370</v>
      </c>
      <c r="Y88" s="66">
        <f t="shared" si="22"/>
        <v>-371</v>
      </c>
      <c r="Z88" s="66">
        <f t="shared" si="22"/>
        <v>-341</v>
      </c>
      <c r="AA88" s="66">
        <f t="shared" si="22"/>
        <v>-282</v>
      </c>
      <c r="AB88" s="66">
        <f t="shared" si="22"/>
        <v>-310.5</v>
      </c>
      <c r="AC88" s="66">
        <f t="shared" si="22"/>
        <v>-306.2</v>
      </c>
      <c r="AD88" s="66">
        <f t="shared" si="22"/>
        <v>-310.8</v>
      </c>
      <c r="AE88" s="66">
        <f t="shared" si="22"/>
        <v>-350</v>
      </c>
      <c r="AF88" s="66">
        <f t="shared" si="22"/>
        <v>-400.8</v>
      </c>
      <c r="AG88" s="138"/>
      <c r="AH88" s="54">
        <f t="shared" si="14"/>
        <v>-282</v>
      </c>
      <c r="AI88" s="55">
        <f t="shared" si="16"/>
        <v>-496.2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50.012</v>
      </c>
      <c r="C89" s="80">
        <v>50.024000000000001</v>
      </c>
      <c r="D89" s="80">
        <v>49.975999999999999</v>
      </c>
      <c r="E89" s="80">
        <v>49.956000000000003</v>
      </c>
      <c r="F89" s="80">
        <v>49.976999999999997</v>
      </c>
      <c r="G89" s="80">
        <v>49.984000000000002</v>
      </c>
      <c r="H89" s="80">
        <v>49.984000000000002</v>
      </c>
      <c r="I89" s="80">
        <v>50.045999999999999</v>
      </c>
      <c r="J89" s="80">
        <v>50.078000000000003</v>
      </c>
      <c r="K89" s="80">
        <v>50</v>
      </c>
      <c r="L89" s="80">
        <v>50.030999999999999</v>
      </c>
      <c r="M89" s="80">
        <v>50.073</v>
      </c>
      <c r="N89" s="80">
        <v>50.110999999999997</v>
      </c>
      <c r="O89" s="80">
        <v>49.984999999999999</v>
      </c>
      <c r="P89" s="80">
        <v>50.039000000000001</v>
      </c>
      <c r="Q89" s="80">
        <v>50.46</v>
      </c>
      <c r="R89" s="80">
        <v>50.100999999999999</v>
      </c>
      <c r="S89" s="80">
        <v>50.07</v>
      </c>
      <c r="T89" s="80">
        <v>50.048999999999999</v>
      </c>
      <c r="U89" s="80">
        <v>50.048999999999999</v>
      </c>
      <c r="V89" s="80">
        <v>49.969000000000001</v>
      </c>
      <c r="W89" s="80">
        <v>50.012</v>
      </c>
      <c r="X89" s="80">
        <v>50.05</v>
      </c>
      <c r="Y89" s="80">
        <v>50.045999999999999</v>
      </c>
      <c r="Z89" s="80">
        <v>50.045999999999999</v>
      </c>
      <c r="AA89" s="80">
        <v>49.95</v>
      </c>
      <c r="AB89" s="80">
        <v>50.061999999999998</v>
      </c>
      <c r="AC89" s="80">
        <v>50.03</v>
      </c>
      <c r="AD89" s="80">
        <v>50.029000000000003</v>
      </c>
      <c r="AE89" s="80">
        <v>50</v>
      </c>
      <c r="AF89" s="80">
        <v>49.988</v>
      </c>
      <c r="AG89" s="145"/>
      <c r="AH89" s="54">
        <f t="shared" si="14"/>
        <v>50.46</v>
      </c>
      <c r="AI89" s="55">
        <f t="shared" si="16"/>
        <v>49.95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125.1</v>
      </c>
      <c r="C90" s="48">
        <v>125.2</v>
      </c>
      <c r="D90" s="48">
        <v>125.5</v>
      </c>
      <c r="E90" s="48">
        <v>125.3</v>
      </c>
      <c r="F90" s="48">
        <v>126.1</v>
      </c>
      <c r="G90" s="48">
        <v>125.4</v>
      </c>
      <c r="H90" s="48">
        <v>125.4</v>
      </c>
      <c r="I90" s="48">
        <v>126</v>
      </c>
      <c r="J90" s="48">
        <v>125.3</v>
      </c>
      <c r="K90" s="48">
        <v>123.9</v>
      </c>
      <c r="L90" s="48">
        <v>123.7</v>
      </c>
      <c r="M90" s="48">
        <v>124.1</v>
      </c>
      <c r="N90" s="48">
        <v>123.4</v>
      </c>
      <c r="O90" s="48">
        <v>123.2</v>
      </c>
      <c r="P90" s="48">
        <v>120.5</v>
      </c>
      <c r="Q90" s="48">
        <v>124.2</v>
      </c>
      <c r="R90" s="48">
        <v>124.3</v>
      </c>
      <c r="S90" s="48">
        <v>125</v>
      </c>
      <c r="T90" s="48">
        <v>124</v>
      </c>
      <c r="U90" s="48">
        <v>124</v>
      </c>
      <c r="V90" s="48">
        <v>124</v>
      </c>
      <c r="W90" s="48">
        <v>124</v>
      </c>
      <c r="X90" s="48">
        <v>124</v>
      </c>
      <c r="Y90" s="48">
        <v>124</v>
      </c>
      <c r="Z90" s="48">
        <v>124</v>
      </c>
      <c r="AA90" s="48">
        <v>123</v>
      </c>
      <c r="AB90" s="48">
        <v>125.5</v>
      </c>
      <c r="AC90" s="48">
        <v>125.1</v>
      </c>
      <c r="AD90" s="48">
        <v>123.3</v>
      </c>
      <c r="AE90" s="48">
        <v>123.3</v>
      </c>
      <c r="AF90" s="48">
        <v>126.8</v>
      </c>
      <c r="AG90" s="146"/>
      <c r="AH90" s="54">
        <f t="shared" si="14"/>
        <v>126.8</v>
      </c>
      <c r="AI90" s="55">
        <f t="shared" si="16"/>
        <v>120.5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130</v>
      </c>
      <c r="C91" s="48">
        <v>130</v>
      </c>
      <c r="D91" s="48">
        <v>130.4</v>
      </c>
      <c r="E91" s="48">
        <v>130.30000000000001</v>
      </c>
      <c r="F91" s="48">
        <v>130.4</v>
      </c>
      <c r="G91" s="48">
        <v>130</v>
      </c>
      <c r="H91" s="48">
        <v>130</v>
      </c>
      <c r="I91" s="48">
        <v>129.69999999999999</v>
      </c>
      <c r="J91" s="48">
        <v>128.80000000000001</v>
      </c>
      <c r="K91" s="48">
        <v>127.5</v>
      </c>
      <c r="L91" s="48">
        <v>126.8</v>
      </c>
      <c r="M91" s="48">
        <v>127.7</v>
      </c>
      <c r="N91" s="48">
        <v>127.5</v>
      </c>
      <c r="O91" s="48">
        <v>126.6</v>
      </c>
      <c r="P91" s="48">
        <v>123.9</v>
      </c>
      <c r="Q91" s="48">
        <v>127.1</v>
      </c>
      <c r="R91" s="48">
        <v>126.9</v>
      </c>
      <c r="S91" s="48">
        <v>127.6</v>
      </c>
      <c r="T91" s="48">
        <v>127</v>
      </c>
      <c r="U91" s="48">
        <v>127</v>
      </c>
      <c r="V91" s="48">
        <v>127</v>
      </c>
      <c r="W91" s="48">
        <v>127</v>
      </c>
      <c r="X91" s="48">
        <v>127</v>
      </c>
      <c r="Y91" s="48">
        <v>127</v>
      </c>
      <c r="Z91" s="48">
        <v>127</v>
      </c>
      <c r="AA91" s="48">
        <v>126</v>
      </c>
      <c r="AB91" s="48">
        <v>128.80000000000001</v>
      </c>
      <c r="AC91" s="48">
        <v>128.69999999999999</v>
      </c>
      <c r="AD91" s="48">
        <v>127</v>
      </c>
      <c r="AE91" s="48">
        <v>127</v>
      </c>
      <c r="AF91" s="48">
        <v>131</v>
      </c>
      <c r="AG91" s="146"/>
      <c r="AH91" s="54">
        <f t="shared" si="14"/>
        <v>131</v>
      </c>
      <c r="AI91" s="55">
        <f t="shared" si="16"/>
        <v>123.9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127</v>
      </c>
      <c r="C92" s="48">
        <v>128.4</v>
      </c>
      <c r="D92" s="48">
        <v>130.69999999999999</v>
      </c>
      <c r="E92" s="48">
        <v>129</v>
      </c>
      <c r="F92" s="48">
        <v>126.8</v>
      </c>
      <c r="G92" s="48">
        <v>128</v>
      </c>
      <c r="H92" s="48">
        <v>128</v>
      </c>
      <c r="I92" s="48">
        <v>128.9</v>
      </c>
      <c r="J92" s="48">
        <v>127.3</v>
      </c>
      <c r="K92" s="48">
        <v>128</v>
      </c>
      <c r="L92" s="48">
        <v>128.4</v>
      </c>
      <c r="M92" s="48">
        <v>127.5</v>
      </c>
      <c r="N92" s="48">
        <v>128.4</v>
      </c>
      <c r="O92" s="48">
        <v>127.3</v>
      </c>
      <c r="P92" s="48">
        <v>125.4</v>
      </c>
      <c r="Q92" s="48">
        <v>126.6</v>
      </c>
      <c r="R92" s="48">
        <v>128.30000000000001</v>
      </c>
      <c r="S92" s="48">
        <v>127</v>
      </c>
      <c r="T92" s="48">
        <v>125</v>
      </c>
      <c r="U92" s="48">
        <v>125</v>
      </c>
      <c r="V92" s="48">
        <v>125</v>
      </c>
      <c r="W92" s="48">
        <v>125</v>
      </c>
      <c r="X92" s="48">
        <v>125</v>
      </c>
      <c r="Y92" s="48">
        <v>125</v>
      </c>
      <c r="Z92" s="48">
        <v>125</v>
      </c>
      <c r="AA92" s="48">
        <v>129</v>
      </c>
      <c r="AB92" s="48">
        <v>128</v>
      </c>
      <c r="AC92" s="48">
        <v>127</v>
      </c>
      <c r="AD92" s="48">
        <v>127</v>
      </c>
      <c r="AE92" s="48">
        <v>127</v>
      </c>
      <c r="AF92" s="48">
        <v>130</v>
      </c>
      <c r="AG92" s="146"/>
      <c r="AH92" s="54">
        <f t="shared" si="14"/>
        <v>130.69999999999999</v>
      </c>
      <c r="AI92" s="55">
        <f t="shared" si="16"/>
        <v>125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>
        <v>131.6</v>
      </c>
      <c r="C93" s="48">
        <v>133.19999999999999</v>
      </c>
      <c r="D93" s="48">
        <v>135.19999999999999</v>
      </c>
      <c r="E93" s="48">
        <v>133.69999999999999</v>
      </c>
      <c r="F93" s="48">
        <v>131.1</v>
      </c>
      <c r="G93" s="48">
        <v>131.80000000000001</v>
      </c>
      <c r="H93" s="48">
        <v>131.80000000000001</v>
      </c>
      <c r="I93" s="48">
        <v>132.1</v>
      </c>
      <c r="J93" s="48">
        <v>130.9</v>
      </c>
      <c r="K93" s="48">
        <v>132.4</v>
      </c>
      <c r="L93" s="48">
        <v>132.30000000000001</v>
      </c>
      <c r="M93" s="48">
        <v>130.6</v>
      </c>
      <c r="N93" s="48">
        <v>133.19999999999999</v>
      </c>
      <c r="O93" s="48">
        <v>132.30000000000001</v>
      </c>
      <c r="P93" s="48">
        <v>132.30000000000001</v>
      </c>
      <c r="Q93" s="48">
        <v>132.6</v>
      </c>
      <c r="R93" s="48">
        <v>134.4</v>
      </c>
      <c r="S93" s="48">
        <v>132.69999999999999</v>
      </c>
      <c r="T93" s="48">
        <v>130</v>
      </c>
      <c r="U93" s="48">
        <v>130</v>
      </c>
      <c r="V93" s="48">
        <v>130</v>
      </c>
      <c r="W93" s="48">
        <v>130</v>
      </c>
      <c r="X93" s="48">
        <v>130</v>
      </c>
      <c r="Y93" s="48">
        <v>130</v>
      </c>
      <c r="Z93" s="48">
        <v>130</v>
      </c>
      <c r="AA93" s="48">
        <v>133</v>
      </c>
      <c r="AB93" s="48">
        <v>133</v>
      </c>
      <c r="AC93" s="48">
        <v>132.30000000000001</v>
      </c>
      <c r="AD93" s="48">
        <v>133.5</v>
      </c>
      <c r="AE93" s="48">
        <v>133.5</v>
      </c>
      <c r="AF93" s="48">
        <v>134</v>
      </c>
      <c r="AG93" s="146"/>
      <c r="AH93" s="54">
        <f t="shared" si="14"/>
        <v>135.19999999999999</v>
      </c>
      <c r="AI93" s="55">
        <f t="shared" si="16"/>
        <v>130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134.1</v>
      </c>
      <c r="C94" s="82">
        <v>133.4</v>
      </c>
      <c r="D94" s="82">
        <v>132.1</v>
      </c>
      <c r="E94" s="82">
        <v>132.6</v>
      </c>
      <c r="F94" s="82">
        <v>133.4</v>
      </c>
      <c r="G94" s="82">
        <v>131.4</v>
      </c>
      <c r="H94" s="82">
        <v>131.4</v>
      </c>
      <c r="I94" s="82">
        <v>132.9</v>
      </c>
      <c r="J94" s="82">
        <v>135.1</v>
      </c>
      <c r="K94" s="82">
        <v>135.19999999999999</v>
      </c>
      <c r="L94" s="82">
        <v>134.4</v>
      </c>
      <c r="M94" s="82">
        <v>134.1</v>
      </c>
      <c r="N94" s="82">
        <v>132.6</v>
      </c>
      <c r="O94" s="82">
        <v>134.19999999999999</v>
      </c>
      <c r="P94" s="82">
        <v>134.19999999999999</v>
      </c>
      <c r="Q94" s="82">
        <v>134.4</v>
      </c>
      <c r="R94" s="82">
        <v>130.19999999999999</v>
      </c>
      <c r="S94" s="82">
        <v>132.6</v>
      </c>
      <c r="T94" s="82">
        <v>133</v>
      </c>
      <c r="U94" s="82">
        <v>133</v>
      </c>
      <c r="V94" s="82">
        <v>133</v>
      </c>
      <c r="W94" s="82">
        <v>133</v>
      </c>
      <c r="X94" s="82">
        <v>133</v>
      </c>
      <c r="Y94" s="82">
        <v>133</v>
      </c>
      <c r="Z94" s="82">
        <v>133</v>
      </c>
      <c r="AA94" s="82">
        <v>131</v>
      </c>
      <c r="AB94" s="82">
        <v>132</v>
      </c>
      <c r="AC94" s="82">
        <v>132.80000000000001</v>
      </c>
      <c r="AD94" s="82">
        <v>131</v>
      </c>
      <c r="AE94" s="82">
        <v>131</v>
      </c>
      <c r="AF94" s="82">
        <v>132</v>
      </c>
      <c r="AG94" s="147"/>
      <c r="AH94" s="54">
        <f t="shared" si="14"/>
        <v>135.19999999999999</v>
      </c>
      <c r="AI94" s="55">
        <f t="shared" si="16"/>
        <v>130.19999999999999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134</v>
      </c>
      <c r="C95" s="48">
        <v>133.1</v>
      </c>
      <c r="D95" s="48">
        <v>131.69999999999999</v>
      </c>
      <c r="E95" s="48">
        <v>133.5</v>
      </c>
      <c r="F95" s="48">
        <v>134.69999999999999</v>
      </c>
      <c r="G95" s="48">
        <v>131.69999999999999</v>
      </c>
      <c r="H95" s="48">
        <v>131.69999999999999</v>
      </c>
      <c r="I95" s="48">
        <v>130.5</v>
      </c>
      <c r="J95" s="48">
        <v>134.5</v>
      </c>
      <c r="K95" s="48">
        <v>133.69999999999999</v>
      </c>
      <c r="L95" s="48">
        <v>131.6</v>
      </c>
      <c r="M95" s="48">
        <v>130.9</v>
      </c>
      <c r="N95" s="48">
        <v>128.6</v>
      </c>
      <c r="O95" s="48">
        <v>129.6</v>
      </c>
      <c r="P95" s="48">
        <v>129.6</v>
      </c>
      <c r="Q95" s="48">
        <v>132.1</v>
      </c>
      <c r="R95" s="48">
        <v>126.6</v>
      </c>
      <c r="S95" s="48">
        <v>129.69999999999999</v>
      </c>
      <c r="T95" s="48">
        <v>132</v>
      </c>
      <c r="U95" s="48">
        <v>132</v>
      </c>
      <c r="V95" s="48">
        <v>132</v>
      </c>
      <c r="W95" s="48">
        <v>132</v>
      </c>
      <c r="X95" s="48">
        <v>132</v>
      </c>
      <c r="Y95" s="48">
        <v>132</v>
      </c>
      <c r="Z95" s="48">
        <v>132</v>
      </c>
      <c r="AA95" s="48">
        <v>128</v>
      </c>
      <c r="AB95" s="48">
        <v>128.80000000000001</v>
      </c>
      <c r="AC95" s="48">
        <v>129.6</v>
      </c>
      <c r="AD95" s="48">
        <v>128.5</v>
      </c>
      <c r="AE95" s="48">
        <v>128.5</v>
      </c>
      <c r="AF95" s="48">
        <v>131</v>
      </c>
      <c r="AG95" s="146"/>
      <c r="AH95" s="54">
        <f t="shared" si="14"/>
        <v>134.69999999999999</v>
      </c>
      <c r="AI95" s="55">
        <f t="shared" si="16"/>
        <v>126.6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65.7</v>
      </c>
      <c r="C96" s="83">
        <v>65.5</v>
      </c>
      <c r="D96" s="83">
        <v>65.8</v>
      </c>
      <c r="E96" s="83">
        <v>65.8</v>
      </c>
      <c r="F96" s="83">
        <v>65.900000000000006</v>
      </c>
      <c r="G96" s="83">
        <v>65.599999999999994</v>
      </c>
      <c r="H96" s="83">
        <v>65.599999999999994</v>
      </c>
      <c r="I96" s="83">
        <v>65.400000000000006</v>
      </c>
      <c r="J96" s="83">
        <v>64.8</v>
      </c>
      <c r="K96" s="83">
        <v>64.400000000000006</v>
      </c>
      <c r="L96" s="83">
        <v>63.8</v>
      </c>
      <c r="M96" s="83">
        <v>64.400000000000006</v>
      </c>
      <c r="N96" s="83">
        <v>64.3</v>
      </c>
      <c r="O96" s="83">
        <v>63.9</v>
      </c>
      <c r="P96" s="83">
        <v>63.9</v>
      </c>
      <c r="Q96" s="83">
        <v>64.099999999999994</v>
      </c>
      <c r="R96" s="83">
        <v>64.099999999999994</v>
      </c>
      <c r="S96" s="83">
        <v>64.3</v>
      </c>
      <c r="T96" s="83">
        <v>64.5</v>
      </c>
      <c r="U96" s="83">
        <v>64.5</v>
      </c>
      <c r="V96" s="83">
        <v>64.5</v>
      </c>
      <c r="W96" s="83">
        <v>64.5</v>
      </c>
      <c r="X96" s="83">
        <v>64.5</v>
      </c>
      <c r="Y96" s="83">
        <v>64.5</v>
      </c>
      <c r="Z96" s="83">
        <v>64.5</v>
      </c>
      <c r="AA96" s="83">
        <v>64</v>
      </c>
      <c r="AB96" s="83">
        <v>65.2</v>
      </c>
      <c r="AC96" s="83">
        <v>65.2</v>
      </c>
      <c r="AD96" s="83">
        <v>64.2</v>
      </c>
      <c r="AE96" s="83">
        <v>64.2</v>
      </c>
      <c r="AF96" s="83">
        <v>66</v>
      </c>
      <c r="AG96" s="148"/>
      <c r="AH96" s="54">
        <f t="shared" si="14"/>
        <v>66</v>
      </c>
      <c r="AI96" s="55">
        <f t="shared" si="16"/>
        <v>63.8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14"/>
        <v>0</v>
      </c>
      <c r="AI97" s="55">
        <f t="shared" si="16"/>
        <v>0</v>
      </c>
    </row>
    <row r="98" spans="1:37" ht="15.75" thickBot="1" x14ac:dyDescent="0.3">
      <c r="A98" s="85" t="s">
        <v>73</v>
      </c>
      <c r="B98" s="86">
        <f t="shared" ref="B98:AF98" si="23">SUM(B15,B18,B21:B22,B46,B48:B49,B51,B53,B99:B102,B123,B129,B135,B144,B146,B158,B165,B168:B169,B176,B178,B180,B184:B186,B188:B190,B195,B201:B202,B204:B206,B214,B219)</f>
        <v>24.000000000000028</v>
      </c>
      <c r="C98" s="86">
        <f t="shared" si="23"/>
        <v>15.640000000000024</v>
      </c>
      <c r="D98" s="86">
        <f t="shared" si="23"/>
        <v>14.839999999999996</v>
      </c>
      <c r="E98" s="86">
        <f t="shared" si="23"/>
        <v>1.94</v>
      </c>
      <c r="F98" s="86">
        <f t="shared" si="23"/>
        <v>14.539999999999978</v>
      </c>
      <c r="G98" s="86">
        <f t="shared" si="23"/>
        <v>33.139999999999986</v>
      </c>
      <c r="H98" s="86">
        <f t="shared" si="23"/>
        <v>34.139999999999986</v>
      </c>
      <c r="I98" s="86">
        <f t="shared" si="23"/>
        <v>92.739999999999981</v>
      </c>
      <c r="J98" s="86">
        <f t="shared" si="23"/>
        <v>107.73999999999998</v>
      </c>
      <c r="K98" s="86">
        <f t="shared" si="23"/>
        <v>137.73999999999998</v>
      </c>
      <c r="L98" s="86">
        <f t="shared" si="23"/>
        <v>121.93999999999996</v>
      </c>
      <c r="M98" s="86">
        <f t="shared" si="23"/>
        <v>124.14</v>
      </c>
      <c r="N98" s="86">
        <f t="shared" si="23"/>
        <v>140.93999999999997</v>
      </c>
      <c r="O98" s="86">
        <f t="shared" si="23"/>
        <v>162.44</v>
      </c>
      <c r="P98" s="86">
        <f t="shared" si="23"/>
        <v>136.24</v>
      </c>
      <c r="Q98" s="86">
        <f t="shared" si="23"/>
        <v>131.80000000000001</v>
      </c>
      <c r="R98" s="86">
        <f t="shared" si="23"/>
        <v>136.70000000000002</v>
      </c>
      <c r="S98" s="86">
        <f t="shared" si="23"/>
        <v>125.80000000000001</v>
      </c>
      <c r="T98" s="86">
        <f t="shared" si="23"/>
        <v>134.80000000000001</v>
      </c>
      <c r="U98" s="86">
        <f t="shared" si="23"/>
        <v>144.80000000000001</v>
      </c>
      <c r="V98" s="86">
        <f t="shared" si="23"/>
        <v>131.80000000000001</v>
      </c>
      <c r="W98" s="86">
        <f t="shared" si="23"/>
        <v>137.80000000000001</v>
      </c>
      <c r="X98" s="86">
        <f t="shared" si="23"/>
        <v>124.80000000000001</v>
      </c>
      <c r="Y98" s="86">
        <f t="shared" si="23"/>
        <v>140.79999999999998</v>
      </c>
      <c r="Z98" s="86">
        <f>SUM(Z15,Z18,Z21:Z22,Z46,Z48:Z49,Z51,Z53,Z99:Z102,Z123,Z129,Z135,Z144,Z146,Z158,Z165,Z168:Z169,Z176,Z178,Z180,Z184:Z186,Z188:Z190,Z195,Z201:Z202,Z204:Z206,Z214,Z219)</f>
        <v>191.79999999999998</v>
      </c>
      <c r="AA98" s="86">
        <f>SUM(AA15,AA18,AA21:AA22,AA46,AA48:AA49,AA51,AA53,AA99:AA102,AA123,AA129,AA135,AA144,AA146,AA158,AA165,AA168:AA169,AA176,AA178,AA180,AA184:AA186,AA188:AA190,AA195,AA201:AA202,AA204:AA206,AA214,AA219)</f>
        <v>214.79999999999998</v>
      </c>
      <c r="AB98" s="86">
        <f t="shared" si="23"/>
        <v>190</v>
      </c>
      <c r="AC98" s="86">
        <f t="shared" si="23"/>
        <v>154.19999999999999</v>
      </c>
      <c r="AD98" s="86">
        <f t="shared" si="23"/>
        <v>131.69999999999999</v>
      </c>
      <c r="AE98" s="86">
        <f t="shared" si="23"/>
        <v>81.499999999999986</v>
      </c>
      <c r="AF98" s="86">
        <f t="shared" si="23"/>
        <v>46.499999999999972</v>
      </c>
      <c r="AG98" s="150"/>
      <c r="AH98" s="54">
        <f>MAX(C98:AF98)</f>
        <v>214.79999999999998</v>
      </c>
      <c r="AI98" s="55">
        <f>MIN(C98:AF98)</f>
        <v>1.94</v>
      </c>
    </row>
    <row r="99" spans="1:37" x14ac:dyDescent="0.25">
      <c r="A99" s="170" t="s">
        <v>74</v>
      </c>
      <c r="B99" s="87">
        <v>9.3000000000000007</v>
      </c>
      <c r="C99" s="87">
        <v>6.4</v>
      </c>
      <c r="D99" s="87">
        <v>5.6</v>
      </c>
      <c r="E99" s="87">
        <v>9.9</v>
      </c>
      <c r="F99" s="87">
        <v>4.0999999999999996</v>
      </c>
      <c r="G99" s="87">
        <v>8.4</v>
      </c>
      <c r="H99" s="87">
        <v>9.4</v>
      </c>
      <c r="I99" s="87">
        <v>9.5</v>
      </c>
      <c r="J99" s="87">
        <v>12</v>
      </c>
      <c r="K99" s="87">
        <v>17.600000000000001</v>
      </c>
      <c r="L99" s="87">
        <v>37.299999999999997</v>
      </c>
      <c r="M99" s="87">
        <v>37</v>
      </c>
      <c r="N99" s="87">
        <v>25.7</v>
      </c>
      <c r="O99" s="87">
        <v>19.5</v>
      </c>
      <c r="P99" s="87">
        <v>34.5</v>
      </c>
      <c r="Q99" s="87">
        <v>37.6</v>
      </c>
      <c r="R99" s="87">
        <v>35.1</v>
      </c>
      <c r="S99" s="87">
        <v>34</v>
      </c>
      <c r="T99" s="87">
        <v>32</v>
      </c>
      <c r="U99" s="87">
        <v>27</v>
      </c>
      <c r="V99" s="87">
        <v>35</v>
      </c>
      <c r="W99" s="87">
        <v>22</v>
      </c>
      <c r="X99" s="87">
        <v>26</v>
      </c>
      <c r="Y99" s="87">
        <v>25</v>
      </c>
      <c r="Z99" s="87">
        <v>44</v>
      </c>
      <c r="AA99" s="87">
        <v>45</v>
      </c>
      <c r="AB99" s="87">
        <v>43.2</v>
      </c>
      <c r="AC99" s="87">
        <v>37.1</v>
      </c>
      <c r="AD99" s="87">
        <v>43.6</v>
      </c>
      <c r="AE99" s="87">
        <v>38.5</v>
      </c>
      <c r="AF99" s="87">
        <v>17.7</v>
      </c>
      <c r="AG99" s="151">
        <v>75</v>
      </c>
      <c r="AH99" s="54">
        <f t="shared" ref="AH99:AH105" si="24">IF(ABS(MAX(C99:AF99))&gt;ABS(MIN(C99:AF99)),MAX(C99:AF99),MIN(C99:AF99))</f>
        <v>45</v>
      </c>
      <c r="AI99" s="89">
        <f t="shared" ref="AI99:AI105" si="25">INDEX($C$9:$AF$9,1,MATCH(AH99,C99:AF99,0))</f>
        <v>0.8125</v>
      </c>
    </row>
    <row r="100" spans="1:37" x14ac:dyDescent="0.25">
      <c r="A100" s="163" t="s">
        <v>75</v>
      </c>
      <c r="B100" s="90">
        <f>-77.1-72.1</f>
        <v>-149.19999999999999</v>
      </c>
      <c r="C100" s="90">
        <f>-78.1-73.1</f>
        <v>-151.19999999999999</v>
      </c>
      <c r="D100" s="90">
        <f>-78.2-73.2</f>
        <v>-151.4</v>
      </c>
      <c r="E100" s="90">
        <f>-68.3-72.9</f>
        <v>-141.19999999999999</v>
      </c>
      <c r="F100" s="90">
        <f>-61.4-64.6</f>
        <v>-126</v>
      </c>
      <c r="G100" s="90">
        <f>-54-57.7</f>
        <v>-111.7</v>
      </c>
      <c r="H100" s="90">
        <f>-54-57.7</f>
        <v>-111.7</v>
      </c>
      <c r="I100" s="90">
        <f>-29-30.9</f>
        <v>-59.9</v>
      </c>
      <c r="J100" s="90">
        <f>-24.1-25.9</f>
        <v>-50</v>
      </c>
      <c r="K100" s="90">
        <f>-23.5-25.4</f>
        <v>-48.9</v>
      </c>
      <c r="L100" s="90">
        <f>-41.7-45</f>
        <v>-86.7</v>
      </c>
      <c r="M100" s="90">
        <v>-81.599999999999994</v>
      </c>
      <c r="N100" s="90">
        <v>-42</v>
      </c>
      <c r="O100" s="90">
        <v>-38</v>
      </c>
      <c r="P100" s="90">
        <v>-23</v>
      </c>
      <c r="Q100" s="90">
        <v>-27</v>
      </c>
      <c r="R100" s="90">
        <v>-21</v>
      </c>
      <c r="S100" s="90">
        <v>-32</v>
      </c>
      <c r="T100" s="90">
        <v>-21</v>
      </c>
      <c r="U100" s="90">
        <v>-6</v>
      </c>
      <c r="V100" s="90">
        <v>-27</v>
      </c>
      <c r="W100" s="90">
        <v>-7</v>
      </c>
      <c r="X100" s="90">
        <v>-21</v>
      </c>
      <c r="Y100" s="90">
        <v>-34</v>
      </c>
      <c r="Z100" s="90">
        <v>-29</v>
      </c>
      <c r="AA100" s="90">
        <v>-21</v>
      </c>
      <c r="AB100" s="90">
        <v>-38</v>
      </c>
      <c r="AC100" s="90">
        <f>-40-25.1</f>
        <v>-65.099999999999994</v>
      </c>
      <c r="AD100" s="90">
        <v>-72</v>
      </c>
      <c r="AE100" s="90">
        <v>-120</v>
      </c>
      <c r="AF100" s="90">
        <v>-105</v>
      </c>
      <c r="AG100" s="151">
        <v>240</v>
      </c>
      <c r="AH100" s="54">
        <f t="shared" si="24"/>
        <v>-151.4</v>
      </c>
      <c r="AI100" s="89">
        <f t="shared" si="25"/>
        <v>8.3333333333333301E-2</v>
      </c>
    </row>
    <row r="101" spans="1:37" x14ac:dyDescent="0.25">
      <c r="A101" s="163" t="s">
        <v>76</v>
      </c>
      <c r="B101" s="90">
        <v>-2.5</v>
      </c>
      <c r="C101" s="90">
        <v>-6.9</v>
      </c>
      <c r="D101" s="90">
        <v>-6.7</v>
      </c>
      <c r="E101" s="90">
        <v>-7</v>
      </c>
      <c r="F101" s="90">
        <v>-3.8</v>
      </c>
      <c r="G101" s="90">
        <v>-3.8</v>
      </c>
      <c r="H101" s="90">
        <v>-3.8</v>
      </c>
      <c r="I101" s="90">
        <v>2.9</v>
      </c>
      <c r="J101" s="90">
        <v>5.5</v>
      </c>
      <c r="K101" s="90">
        <v>14.7</v>
      </c>
      <c r="L101" s="90">
        <v>9.6</v>
      </c>
      <c r="M101" s="90">
        <v>9.8000000000000007</v>
      </c>
      <c r="N101" s="90">
        <v>14.7</v>
      </c>
      <c r="O101" s="90">
        <v>15.6</v>
      </c>
      <c r="P101" s="90">
        <v>19.8</v>
      </c>
      <c r="Q101" s="90">
        <v>20.9</v>
      </c>
      <c r="R101" s="90">
        <v>16.8</v>
      </c>
      <c r="S101" s="90">
        <v>18</v>
      </c>
      <c r="T101" s="90">
        <v>18</v>
      </c>
      <c r="U101" s="90">
        <v>18</v>
      </c>
      <c r="V101" s="90">
        <v>18</v>
      </c>
      <c r="W101" s="90">
        <v>17</v>
      </c>
      <c r="X101" s="90">
        <v>14</v>
      </c>
      <c r="Y101" s="90">
        <v>14</v>
      </c>
      <c r="Z101" s="90">
        <v>11</v>
      </c>
      <c r="AA101" s="90">
        <v>25</v>
      </c>
      <c r="AB101" s="90">
        <v>19</v>
      </c>
      <c r="AC101" s="90">
        <v>17.899999999999999</v>
      </c>
      <c r="AD101" s="90">
        <v>-4.2</v>
      </c>
      <c r="AE101" s="90">
        <v>-1.3</v>
      </c>
      <c r="AF101" s="90">
        <v>-0.5</v>
      </c>
      <c r="AG101" s="151">
        <v>60</v>
      </c>
      <c r="AH101" s="54">
        <f t="shared" si="24"/>
        <v>25</v>
      </c>
      <c r="AI101" s="89">
        <f t="shared" si="25"/>
        <v>0.8125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0</v>
      </c>
      <c r="M102" s="91">
        <v>0</v>
      </c>
      <c r="N102" s="91">
        <v>0</v>
      </c>
      <c r="O102" s="91">
        <v>0</v>
      </c>
      <c r="P102" s="91">
        <v>0</v>
      </c>
      <c r="Q102" s="91">
        <v>0</v>
      </c>
      <c r="R102" s="91">
        <v>0</v>
      </c>
      <c r="S102" s="91">
        <v>0</v>
      </c>
      <c r="T102" s="91">
        <v>0</v>
      </c>
      <c r="U102" s="91">
        <v>0</v>
      </c>
      <c r="V102" s="91">
        <v>0</v>
      </c>
      <c r="W102" s="91">
        <v>0</v>
      </c>
      <c r="X102" s="91">
        <v>0</v>
      </c>
      <c r="Y102" s="91">
        <v>0</v>
      </c>
      <c r="Z102" s="91">
        <v>0</v>
      </c>
      <c r="AA102" s="91">
        <v>0</v>
      </c>
      <c r="AB102" s="91">
        <v>0</v>
      </c>
      <c r="AC102" s="91">
        <v>0</v>
      </c>
      <c r="AD102" s="91">
        <v>0</v>
      </c>
      <c r="AE102" s="91">
        <v>0</v>
      </c>
      <c r="AF102" s="91">
        <v>0</v>
      </c>
      <c r="AG102" s="152">
        <v>120</v>
      </c>
      <c r="AH102" s="54">
        <f t="shared" si="24"/>
        <v>0</v>
      </c>
      <c r="AI102" s="89">
        <f t="shared" si="25"/>
        <v>4.1666666666666664E-2</v>
      </c>
    </row>
    <row r="103" spans="1:37" x14ac:dyDescent="0.25">
      <c r="A103" s="164">
        <v>0</v>
      </c>
      <c r="B103" s="91">
        <v>0</v>
      </c>
      <c r="C103" s="91">
        <v>8.1999999999999993</v>
      </c>
      <c r="D103" s="91">
        <v>4.0999999999999996</v>
      </c>
      <c r="E103" s="91">
        <v>16</v>
      </c>
      <c r="F103" s="91">
        <v>20.399999999999999</v>
      </c>
      <c r="G103" s="91">
        <v>31.8</v>
      </c>
      <c r="H103" s="91">
        <v>31.8</v>
      </c>
      <c r="I103" s="91">
        <v>65.3</v>
      </c>
      <c r="J103" s="91">
        <v>70.7</v>
      </c>
      <c r="K103" s="91">
        <v>63.4</v>
      </c>
      <c r="L103" s="91">
        <v>18.2</v>
      </c>
      <c r="M103" s="91">
        <v>33</v>
      </c>
      <c r="N103" s="91">
        <v>76.599999999999994</v>
      </c>
      <c r="O103" s="91">
        <v>80.599999999999994</v>
      </c>
      <c r="P103" s="91">
        <v>80.900000000000006</v>
      </c>
      <c r="Q103" s="91">
        <v>76</v>
      </c>
      <c r="R103" s="91">
        <v>72</v>
      </c>
      <c r="S103" s="91">
        <v>55</v>
      </c>
      <c r="T103" s="91">
        <v>62</v>
      </c>
      <c r="U103" s="91">
        <v>60</v>
      </c>
      <c r="V103" s="91">
        <v>62</v>
      </c>
      <c r="W103" s="91">
        <v>81</v>
      </c>
      <c r="X103" s="91">
        <v>69</v>
      </c>
      <c r="Y103" s="91">
        <v>60</v>
      </c>
      <c r="Z103" s="91">
        <v>59</v>
      </c>
      <c r="AA103" s="91">
        <v>69</v>
      </c>
      <c r="AB103" s="91">
        <v>36.4</v>
      </c>
      <c r="AC103" s="91">
        <v>49.5</v>
      </c>
      <c r="AD103" s="91">
        <v>48.6</v>
      </c>
      <c r="AE103" s="91">
        <v>3.8</v>
      </c>
      <c r="AF103" s="91">
        <v>30.2</v>
      </c>
      <c r="AG103" s="152"/>
      <c r="AH103" s="54">
        <f t="shared" si="24"/>
        <v>81</v>
      </c>
      <c r="AI103" s="89">
        <f t="shared" si="25"/>
        <v>0.72916666666666663</v>
      </c>
    </row>
    <row r="104" spans="1:37" x14ac:dyDescent="0.25">
      <c r="A104" s="164" t="s">
        <v>105</v>
      </c>
      <c r="B104" s="91">
        <v>33.299999999999997</v>
      </c>
      <c r="C104" s="91">
        <v>48</v>
      </c>
      <c r="D104" s="91">
        <v>46.9</v>
      </c>
      <c r="E104" s="91">
        <v>36.299999999999997</v>
      </c>
      <c r="F104" s="91">
        <v>33.299999999999997</v>
      </c>
      <c r="G104" s="91">
        <v>21.1</v>
      </c>
      <c r="H104" s="91">
        <v>21.1</v>
      </c>
      <c r="I104" s="91">
        <v>53.9</v>
      </c>
      <c r="J104" s="91">
        <v>60.1</v>
      </c>
      <c r="K104" s="91">
        <v>6.8</v>
      </c>
      <c r="L104" s="91">
        <v>-51</v>
      </c>
      <c r="M104" s="91">
        <v>-49.8</v>
      </c>
      <c r="N104" s="91">
        <v>-15.4</v>
      </c>
      <c r="O104" s="91">
        <v>27.8</v>
      </c>
      <c r="P104" s="91">
        <v>-8.8000000000000007</v>
      </c>
      <c r="Q104" s="91">
        <v>-15</v>
      </c>
      <c r="R104" s="91">
        <v>-1.5</v>
      </c>
      <c r="S104" s="91">
        <v>0</v>
      </c>
      <c r="T104" s="91">
        <v>17</v>
      </c>
      <c r="U104" s="91">
        <v>16</v>
      </c>
      <c r="V104" s="91">
        <v>-8</v>
      </c>
      <c r="W104" s="91">
        <v>7</v>
      </c>
      <c r="X104" s="91">
        <v>-16</v>
      </c>
      <c r="Y104" s="91">
        <v>-6</v>
      </c>
      <c r="Z104" s="91">
        <v>-26</v>
      </c>
      <c r="AA104" s="91">
        <v>-30</v>
      </c>
      <c r="AB104" s="91">
        <v>-33</v>
      </c>
      <c r="AC104" s="91">
        <v>-7.1</v>
      </c>
      <c r="AD104" s="91">
        <v>-20.8</v>
      </c>
      <c r="AE104" s="91">
        <v>-16</v>
      </c>
      <c r="AF104" s="91">
        <v>20.8</v>
      </c>
      <c r="AG104" s="153"/>
      <c r="AH104" s="54">
        <f t="shared" si="24"/>
        <v>60.1</v>
      </c>
      <c r="AI104" s="89">
        <f t="shared" si="25"/>
        <v>0.27083333333333331</v>
      </c>
    </row>
    <row r="105" spans="1:37" ht="15.75" thickBot="1" x14ac:dyDescent="0.3">
      <c r="A105" s="171" t="s">
        <v>106</v>
      </c>
      <c r="B105" s="82">
        <v>106</v>
      </c>
      <c r="C105" s="82">
        <v>115.4</v>
      </c>
      <c r="D105" s="82">
        <v>114.2</v>
      </c>
      <c r="E105" s="82">
        <v>117.1</v>
      </c>
      <c r="F105" s="82">
        <v>121.1</v>
      </c>
      <c r="G105" s="82">
        <v>120</v>
      </c>
      <c r="H105" s="82">
        <v>120</v>
      </c>
      <c r="I105" s="82">
        <v>119.1</v>
      </c>
      <c r="J105" s="82">
        <v>117.9</v>
      </c>
      <c r="K105" s="82">
        <v>113.3</v>
      </c>
      <c r="L105" s="82">
        <v>110.6</v>
      </c>
      <c r="M105" s="82">
        <v>108.8</v>
      </c>
      <c r="N105" s="82">
        <v>109.2</v>
      </c>
      <c r="O105" s="82">
        <v>109.1</v>
      </c>
      <c r="P105" s="82">
        <v>110</v>
      </c>
      <c r="Q105" s="82">
        <v>113</v>
      </c>
      <c r="R105" s="82">
        <v>110</v>
      </c>
      <c r="S105" s="82">
        <v>107</v>
      </c>
      <c r="T105" s="82">
        <v>105</v>
      </c>
      <c r="U105" s="82">
        <v>118</v>
      </c>
      <c r="V105" s="82">
        <v>120</v>
      </c>
      <c r="W105" s="82">
        <v>116</v>
      </c>
      <c r="X105" s="82">
        <v>107</v>
      </c>
      <c r="Y105" s="82">
        <v>105</v>
      </c>
      <c r="Z105" s="82">
        <v>93</v>
      </c>
      <c r="AA105" s="82">
        <v>90</v>
      </c>
      <c r="AB105" s="82">
        <v>79.3</v>
      </c>
      <c r="AC105" s="82">
        <v>82.8</v>
      </c>
      <c r="AD105" s="82">
        <v>94.7</v>
      </c>
      <c r="AE105" s="82">
        <v>101</v>
      </c>
      <c r="AF105" s="82">
        <v>98.2</v>
      </c>
      <c r="AG105" s="153"/>
      <c r="AH105" s="54">
        <f t="shared" si="24"/>
        <v>121.1</v>
      </c>
      <c r="AI105" s="89">
        <f t="shared" si="25"/>
        <v>0.16666666666666699</v>
      </c>
    </row>
    <row r="106" spans="1:37" ht="15.75" thickBot="1" x14ac:dyDescent="0.3">
      <c r="A106" s="92" t="s">
        <v>79</v>
      </c>
      <c r="B106" s="93"/>
      <c r="C106" s="93"/>
      <c r="D106" s="93"/>
      <c r="E106" s="93"/>
      <c r="F106" s="93"/>
      <c r="G106" s="93"/>
      <c r="H106" s="93"/>
      <c r="I106" s="93"/>
      <c r="J106" s="93" t="s">
        <v>243</v>
      </c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154"/>
      <c r="AH106" s="94"/>
      <c r="AI106" s="55"/>
      <c r="AK106" s="56"/>
    </row>
    <row r="107" spans="1:37" x14ac:dyDescent="0.25">
      <c r="A107" s="162" t="s">
        <v>133</v>
      </c>
      <c r="B107" s="95"/>
      <c r="C107" s="53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6">
        <v>9.94</v>
      </c>
      <c r="AH107" s="54"/>
      <c r="AI107" s="55"/>
      <c r="AK107" s="56"/>
    </row>
    <row r="108" spans="1:37" x14ac:dyDescent="0.25">
      <c r="A108" s="163" t="s">
        <v>134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/>
      <c r="AH108" s="54"/>
      <c r="AI108" s="55"/>
      <c r="AK108" s="56"/>
    </row>
    <row r="109" spans="1:37" x14ac:dyDescent="0.25">
      <c r="A109" s="163" t="s">
        <v>135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136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137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138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139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140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141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142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143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144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145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146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147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148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149</v>
      </c>
      <c r="B123" s="97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9">
        <v>9.9</v>
      </c>
      <c r="AH123" s="54"/>
      <c r="AI123" s="55"/>
      <c r="AK123" s="56"/>
    </row>
    <row r="124" spans="1:37" x14ac:dyDescent="0.25">
      <c r="A124" s="164" t="s">
        <v>80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100">
        <v>9.6579999999999995</v>
      </c>
      <c r="AH124" s="54"/>
      <c r="AI124" s="55"/>
      <c r="AK124" s="56"/>
    </row>
    <row r="125" spans="1:37" x14ac:dyDescent="0.25">
      <c r="A125" s="164" t="s">
        <v>150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</v>
      </c>
      <c r="AH125" s="54"/>
      <c r="AI125" s="55"/>
      <c r="AK125" s="56"/>
    </row>
    <row r="126" spans="1:37" x14ac:dyDescent="0.25">
      <c r="A126" s="164" t="s">
        <v>151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9.51</v>
      </c>
      <c r="AH126" s="54"/>
      <c r="AI126" s="55"/>
      <c r="AK126" s="56"/>
    </row>
    <row r="127" spans="1:37" x14ac:dyDescent="0.25">
      <c r="A127" s="164" t="s">
        <v>152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9.4</v>
      </c>
      <c r="AH127" s="54"/>
      <c r="AI127" s="55"/>
      <c r="AK127" s="56"/>
    </row>
    <row r="128" spans="1:37" x14ac:dyDescent="0.25">
      <c r="A128" s="164" t="s">
        <v>153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8.8000000000000007</v>
      </c>
      <c r="AH128" s="54"/>
      <c r="AI128" s="55"/>
      <c r="AK128" s="56"/>
    </row>
    <row r="129" spans="1:37" x14ac:dyDescent="0.25">
      <c r="A129" s="164" t="s">
        <v>154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8.5</v>
      </c>
      <c r="AH129" s="54"/>
      <c r="AI129" s="55"/>
      <c r="AK129" s="56"/>
    </row>
    <row r="130" spans="1:37" x14ac:dyDescent="0.25">
      <c r="A130" s="164" t="s">
        <v>155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156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8.4</v>
      </c>
      <c r="AH131" s="54"/>
      <c r="AI131" s="55"/>
      <c r="AK131" s="56"/>
    </row>
    <row r="132" spans="1:37" ht="13.5" customHeight="1" x14ac:dyDescent="0.25">
      <c r="A132" s="164" t="s">
        <v>157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</v>
      </c>
      <c r="AH132" s="54"/>
      <c r="AI132" s="55"/>
      <c r="AK132" s="56"/>
    </row>
    <row r="133" spans="1:37" x14ac:dyDescent="0.25">
      <c r="A133" s="164" t="s">
        <v>158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159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160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7.8</v>
      </c>
      <c r="AH135" s="54"/>
      <c r="AI135" s="55"/>
      <c r="AK135" s="56"/>
    </row>
    <row r="136" spans="1:37" x14ac:dyDescent="0.25">
      <c r="A136" s="164" t="s">
        <v>161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7.6</v>
      </c>
      <c r="AH136" s="54"/>
      <c r="AI136" s="55"/>
      <c r="AK136" s="56"/>
    </row>
    <row r="137" spans="1:37" x14ac:dyDescent="0.25">
      <c r="A137" s="164" t="s">
        <v>162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7.5</v>
      </c>
      <c r="AH137" s="54"/>
      <c r="AI137" s="55"/>
      <c r="AK137" s="56"/>
    </row>
    <row r="138" spans="1:37" x14ac:dyDescent="0.25">
      <c r="A138" s="164" t="s">
        <v>163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164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</v>
      </c>
      <c r="AH139" s="54"/>
      <c r="AI139" s="55"/>
      <c r="AK139" s="56"/>
    </row>
    <row r="140" spans="1:37" x14ac:dyDescent="0.25">
      <c r="A140" s="164" t="s">
        <v>165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166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167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168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6.6</v>
      </c>
      <c r="AH143" s="54"/>
      <c r="AI143" s="55"/>
      <c r="AK143" s="56"/>
    </row>
    <row r="144" spans="1:37" x14ac:dyDescent="0.25">
      <c r="A144" s="164" t="s">
        <v>169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170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6.4</v>
      </c>
      <c r="AH145" s="54"/>
      <c r="AI145" s="55"/>
      <c r="AK145" s="56"/>
    </row>
    <row r="146" spans="1:37" x14ac:dyDescent="0.25">
      <c r="A146" s="164" t="s">
        <v>171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</v>
      </c>
      <c r="AH146" s="54"/>
      <c r="AI146" s="55"/>
      <c r="AK146" s="56"/>
    </row>
    <row r="147" spans="1:37" x14ac:dyDescent="0.25">
      <c r="A147" s="164" t="s">
        <v>172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5.0999999999999996</v>
      </c>
      <c r="AH147" s="54"/>
      <c r="AI147" s="55"/>
      <c r="AK147" s="56"/>
    </row>
    <row r="148" spans="1:37" x14ac:dyDescent="0.25">
      <c r="A148" s="164" t="s">
        <v>173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</v>
      </c>
      <c r="AH148" s="54"/>
      <c r="AI148" s="55"/>
      <c r="AK148" s="56"/>
    </row>
    <row r="149" spans="1:37" x14ac:dyDescent="0.25">
      <c r="A149" s="163" t="s">
        <v>174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9">
        <v>5</v>
      </c>
      <c r="AH149" s="54"/>
      <c r="AI149" s="55"/>
      <c r="AK149" s="56"/>
    </row>
    <row r="150" spans="1:37" x14ac:dyDescent="0.25">
      <c r="A150" s="164" t="s">
        <v>175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100">
        <v>5</v>
      </c>
      <c r="AH150" s="54"/>
      <c r="AI150" s="55"/>
      <c r="AK150" s="56"/>
    </row>
    <row r="151" spans="1:37" x14ac:dyDescent="0.25">
      <c r="A151" s="164" t="s">
        <v>176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177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178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179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180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4.9930000000000003</v>
      </c>
      <c r="AH155" s="54"/>
      <c r="AI155" s="55"/>
      <c r="AK155" s="56"/>
    </row>
    <row r="156" spans="1:37" x14ac:dyDescent="0.25">
      <c r="A156" s="164" t="s">
        <v>181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4.9800000000000004</v>
      </c>
      <c r="AH156" s="54"/>
      <c r="AI156" s="55"/>
      <c r="AK156" s="56"/>
    </row>
    <row r="157" spans="1:37" x14ac:dyDescent="0.25">
      <c r="A157" s="164" t="s">
        <v>182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4.95</v>
      </c>
      <c r="AH157" s="54"/>
      <c r="AI157" s="55"/>
      <c r="AK157" s="56"/>
    </row>
    <row r="158" spans="1:37" x14ac:dyDescent="0.25">
      <c r="A158" s="164" t="s">
        <v>81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183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4.8</v>
      </c>
      <c r="AH159" s="54"/>
      <c r="AI159" s="55"/>
      <c r="AK159" s="56"/>
    </row>
    <row r="160" spans="1:37" x14ac:dyDescent="0.25">
      <c r="A160" s="164" t="s">
        <v>184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185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186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4.5</v>
      </c>
      <c r="AH162" s="54"/>
      <c r="AI162" s="55"/>
      <c r="AK162" s="56"/>
    </row>
    <row r="163" spans="1:37" x14ac:dyDescent="0.25">
      <c r="A163" s="164" t="s">
        <v>187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188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4.4550000000000001</v>
      </c>
      <c r="AH164" s="54"/>
      <c r="AI164" s="55"/>
      <c r="AK164" s="56"/>
    </row>
    <row r="165" spans="1:37" x14ac:dyDescent="0.25">
      <c r="A165" s="164" t="s">
        <v>189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4.41</v>
      </c>
      <c r="AH165" s="54"/>
      <c r="AI165" s="55"/>
      <c r="AK165" s="56"/>
    </row>
    <row r="166" spans="1:37" x14ac:dyDescent="0.25">
      <c r="A166" s="164" t="s">
        <v>190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4.4000000000000004</v>
      </c>
      <c r="AH166" s="54"/>
      <c r="AI166" s="55"/>
      <c r="AK166" s="56"/>
    </row>
    <row r="167" spans="1:37" x14ac:dyDescent="0.25">
      <c r="A167" s="164" t="s">
        <v>191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4.3600000000000003</v>
      </c>
      <c r="AH167" s="54"/>
      <c r="AI167" s="55"/>
      <c r="AK167" s="56"/>
    </row>
    <row r="168" spans="1:37" x14ac:dyDescent="0.25">
      <c r="A168" s="164" t="s">
        <v>192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4.2</v>
      </c>
      <c r="AH168" s="54"/>
      <c r="AI168" s="55"/>
      <c r="AK168" s="56"/>
    </row>
    <row r="169" spans="1:37" x14ac:dyDescent="0.25">
      <c r="A169" s="164" t="s">
        <v>193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</v>
      </c>
      <c r="AH169" s="54"/>
      <c r="AI169" s="55"/>
      <c r="AK169" s="56"/>
    </row>
    <row r="170" spans="1:37" x14ac:dyDescent="0.25">
      <c r="A170" s="164" t="s">
        <v>194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195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196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197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198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199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200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201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3.75</v>
      </c>
      <c r="AH177" s="54"/>
      <c r="AI177" s="55"/>
      <c r="AK177" s="56"/>
    </row>
    <row r="178" spans="1:37" x14ac:dyDescent="0.25">
      <c r="A178" s="164" t="s">
        <v>202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3.52</v>
      </c>
      <c r="AH178" s="54"/>
      <c r="AI178" s="55"/>
      <c r="AK178" s="56"/>
    </row>
    <row r="179" spans="1:37" x14ac:dyDescent="0.25">
      <c r="A179" s="164" t="s">
        <v>203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3.33</v>
      </c>
      <c r="AH179" s="54"/>
      <c r="AI179" s="55"/>
      <c r="AK179" s="56"/>
    </row>
    <row r="180" spans="1:37" x14ac:dyDescent="0.25">
      <c r="A180" s="164" t="s">
        <v>204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3.2</v>
      </c>
      <c r="AH180" s="54"/>
      <c r="AI180" s="55"/>
      <c r="AK180" s="56"/>
    </row>
    <row r="181" spans="1:37" x14ac:dyDescent="0.25">
      <c r="A181" s="164" t="s">
        <v>205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</v>
      </c>
      <c r="AH181" s="54"/>
      <c r="AI181" s="55"/>
      <c r="AK181" s="56"/>
    </row>
    <row r="182" spans="1:37" x14ac:dyDescent="0.25">
      <c r="A182" s="164" t="s">
        <v>206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207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208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209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210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211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212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213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2.83</v>
      </c>
      <c r="AH189" s="54"/>
      <c r="AI189" s="55"/>
      <c r="AK189" s="56"/>
    </row>
    <row r="190" spans="1:37" x14ac:dyDescent="0.25">
      <c r="A190" s="164" t="s">
        <v>214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2.5</v>
      </c>
      <c r="AH190" s="54"/>
      <c r="AI190" s="55"/>
      <c r="AK190" s="56"/>
    </row>
    <row r="191" spans="1:37" x14ac:dyDescent="0.25">
      <c r="A191" s="164" t="s">
        <v>215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216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2.4</v>
      </c>
      <c r="AH192" s="54"/>
      <c r="AI192" s="55"/>
      <c r="AK192" s="56"/>
    </row>
    <row r="193" spans="1:37" x14ac:dyDescent="0.25">
      <c r="A193" s="164" t="s">
        <v>217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218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2.2000000000000002</v>
      </c>
      <c r="AH194" s="54"/>
      <c r="AI194" s="55"/>
      <c r="AK194" s="56"/>
    </row>
    <row r="195" spans="1:37" x14ac:dyDescent="0.25">
      <c r="A195" s="164" t="s">
        <v>219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</v>
      </c>
      <c r="AH195" s="54"/>
      <c r="AI195" s="55"/>
      <c r="AK195" s="56"/>
    </row>
    <row r="196" spans="1:37" x14ac:dyDescent="0.25">
      <c r="A196" s="164" t="s">
        <v>220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221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222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1.8</v>
      </c>
      <c r="AH198" s="54"/>
      <c r="AI198" s="55"/>
      <c r="AK198" s="56"/>
    </row>
    <row r="199" spans="1:37" x14ac:dyDescent="0.25">
      <c r="A199" s="164" t="s">
        <v>223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224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1.65</v>
      </c>
      <c r="AH200" s="54"/>
      <c r="AI200" s="55"/>
      <c r="AK200" s="56"/>
    </row>
    <row r="201" spans="1:37" x14ac:dyDescent="0.25">
      <c r="A201" s="164" t="s">
        <v>225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1.5</v>
      </c>
      <c r="AH201" s="54"/>
      <c r="AI201" s="55"/>
      <c r="AK201" s="56"/>
    </row>
    <row r="202" spans="1:37" x14ac:dyDescent="0.25">
      <c r="A202" s="164" t="s">
        <v>226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0.998</v>
      </c>
      <c r="AH202" s="54"/>
      <c r="AI202" s="55"/>
      <c r="AK202" s="56"/>
    </row>
    <row r="203" spans="1:37" x14ac:dyDescent="0.25">
      <c r="A203" s="164" t="s">
        <v>227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0.997</v>
      </c>
      <c r="AH203" s="54"/>
      <c r="AI203" s="55"/>
      <c r="AK203" s="56"/>
    </row>
    <row r="204" spans="1:37" x14ac:dyDescent="0.25">
      <c r="A204" s="164" t="s">
        <v>228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229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0.996</v>
      </c>
      <c r="AH205" s="54"/>
      <c r="AI205" s="55"/>
      <c r="AK205" s="56"/>
    </row>
    <row r="206" spans="1:37" x14ac:dyDescent="0.25">
      <c r="A206" s="164" t="s">
        <v>230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231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232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0.995</v>
      </c>
      <c r="AH208" s="54"/>
      <c r="AI208" s="55"/>
      <c r="AK208" s="56"/>
    </row>
    <row r="209" spans="1:37" x14ac:dyDescent="0.25">
      <c r="A209" s="164" t="s">
        <v>233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0.99299999999999999</v>
      </c>
      <c r="AH209" s="54"/>
      <c r="AI209" s="55"/>
      <c r="AK209" s="56"/>
    </row>
    <row r="210" spans="1:37" x14ac:dyDescent="0.25">
      <c r="A210" s="164" t="s">
        <v>234</v>
      </c>
      <c r="B210" s="97"/>
      <c r="C210" s="53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</v>
      </c>
      <c r="AH210" s="54"/>
      <c r="AI210" s="55"/>
      <c r="AK210" s="56"/>
    </row>
    <row r="211" spans="1:37" ht="15.75" thickBot="1" x14ac:dyDescent="0.3">
      <c r="A211" s="164" t="s">
        <v>235</v>
      </c>
      <c r="B211" s="102"/>
      <c r="C211" s="166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0">
        <v>0.97899999999999998</v>
      </c>
      <c r="AH211" s="54"/>
      <c r="AI211" s="55"/>
      <c r="AK211" s="56"/>
    </row>
    <row r="212" spans="1:37" ht="15.75" thickBot="1" x14ac:dyDescent="0.3">
      <c r="A212" s="165" t="s">
        <v>82</v>
      </c>
      <c r="B212" s="167">
        <f>SUM(B107:B211)</f>
        <v>0</v>
      </c>
      <c r="C212" s="103">
        <f t="shared" ref="C212:AG212" si="26">SUM(C107:C211)</f>
        <v>0</v>
      </c>
      <c r="D212" s="103">
        <f t="shared" si="26"/>
        <v>0</v>
      </c>
      <c r="E212" s="103">
        <f t="shared" si="26"/>
        <v>0</v>
      </c>
      <c r="F212" s="103">
        <f t="shared" si="26"/>
        <v>0</v>
      </c>
      <c r="G212" s="103">
        <f t="shared" si="26"/>
        <v>0</v>
      </c>
      <c r="H212" s="103">
        <f t="shared" si="26"/>
        <v>0</v>
      </c>
      <c r="I212" s="103">
        <f t="shared" si="26"/>
        <v>0</v>
      </c>
      <c r="J212" s="103">
        <f t="shared" si="26"/>
        <v>0</v>
      </c>
      <c r="K212" s="103">
        <f t="shared" si="26"/>
        <v>0</v>
      </c>
      <c r="L212" s="103">
        <f t="shared" si="26"/>
        <v>0</v>
      </c>
      <c r="M212" s="103">
        <f t="shared" si="26"/>
        <v>0</v>
      </c>
      <c r="N212" s="103">
        <f t="shared" si="26"/>
        <v>0</v>
      </c>
      <c r="O212" s="103">
        <f t="shared" si="26"/>
        <v>0</v>
      </c>
      <c r="P212" s="103">
        <f t="shared" si="26"/>
        <v>0</v>
      </c>
      <c r="Q212" s="103">
        <f t="shared" si="26"/>
        <v>0</v>
      </c>
      <c r="R212" s="103">
        <f t="shared" si="26"/>
        <v>0</v>
      </c>
      <c r="S212" s="103">
        <f t="shared" si="26"/>
        <v>0</v>
      </c>
      <c r="T212" s="103">
        <f t="shared" si="26"/>
        <v>0</v>
      </c>
      <c r="U212" s="103">
        <f t="shared" si="26"/>
        <v>0</v>
      </c>
      <c r="V212" s="103">
        <f t="shared" si="26"/>
        <v>0</v>
      </c>
      <c r="W212" s="103">
        <f t="shared" si="26"/>
        <v>0</v>
      </c>
      <c r="X212" s="103">
        <f t="shared" si="26"/>
        <v>0</v>
      </c>
      <c r="Y212" s="103">
        <f t="shared" si="26"/>
        <v>0</v>
      </c>
      <c r="Z212" s="103">
        <f t="shared" si="26"/>
        <v>0</v>
      </c>
      <c r="AA212" s="103">
        <f t="shared" si="26"/>
        <v>0</v>
      </c>
      <c r="AB212" s="103">
        <f t="shared" si="26"/>
        <v>0</v>
      </c>
      <c r="AC212" s="103">
        <f t="shared" si="26"/>
        <v>0</v>
      </c>
      <c r="AD212" s="103">
        <f t="shared" si="26"/>
        <v>0</v>
      </c>
      <c r="AE212" s="103">
        <f t="shared" si="26"/>
        <v>0</v>
      </c>
      <c r="AF212" s="168">
        <f t="shared" si="26"/>
        <v>0</v>
      </c>
      <c r="AG212" s="169">
        <f t="shared" si="26"/>
        <v>412.72299999999984</v>
      </c>
      <c r="AH212" s="54"/>
      <c r="AI212" s="55"/>
      <c r="AK212" s="56"/>
    </row>
    <row r="213" spans="1:37" ht="15.75" thickBot="1" x14ac:dyDescent="0.3">
      <c r="A213" s="28" t="s">
        <v>35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149"/>
      <c r="AH213" s="54"/>
      <c r="AI213" s="55"/>
      <c r="AK213" s="56"/>
    </row>
    <row r="214" spans="1:37" x14ac:dyDescent="0.25">
      <c r="A214" s="170" t="s">
        <v>83</v>
      </c>
      <c r="B214" s="101">
        <f t="shared" ref="B214:B219" si="27">AF214</f>
        <v>0</v>
      </c>
      <c r="C214" s="101">
        <v>0.3</v>
      </c>
      <c r="D214" s="101">
        <f t="shared" ref="D214:P219" si="28">C214</f>
        <v>0.3</v>
      </c>
      <c r="E214" s="101">
        <f t="shared" si="28"/>
        <v>0.3</v>
      </c>
      <c r="F214" s="101">
        <f t="shared" si="28"/>
        <v>0.3</v>
      </c>
      <c r="G214" s="101">
        <f t="shared" si="28"/>
        <v>0.3</v>
      </c>
      <c r="H214" s="101">
        <f t="shared" si="28"/>
        <v>0.3</v>
      </c>
      <c r="I214" s="101">
        <f t="shared" si="28"/>
        <v>0.3</v>
      </c>
      <c r="J214" s="101">
        <f t="shared" si="28"/>
        <v>0.3</v>
      </c>
      <c r="K214" s="101">
        <f t="shared" si="28"/>
        <v>0.3</v>
      </c>
      <c r="L214" s="101">
        <f t="shared" si="28"/>
        <v>0.3</v>
      </c>
      <c r="M214" s="101">
        <f t="shared" si="28"/>
        <v>0.3</v>
      </c>
      <c r="N214" s="101">
        <f t="shared" si="28"/>
        <v>0.3</v>
      </c>
      <c r="O214" s="101">
        <f t="shared" si="28"/>
        <v>0.3</v>
      </c>
      <c r="P214" s="101">
        <f t="shared" si="28"/>
        <v>0.3</v>
      </c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55">
        <v>2.4</v>
      </c>
      <c r="AH214" s="54"/>
      <c r="AI214" s="55"/>
      <c r="AK214" s="56"/>
    </row>
    <row r="215" spans="1:37" x14ac:dyDescent="0.25">
      <c r="A215" s="163" t="s">
        <v>84</v>
      </c>
      <c r="B215" s="97">
        <f t="shared" si="27"/>
        <v>0</v>
      </c>
      <c r="C215" s="97">
        <v>0.4</v>
      </c>
      <c r="D215" s="97">
        <f t="shared" si="28"/>
        <v>0.4</v>
      </c>
      <c r="E215" s="97">
        <f t="shared" si="28"/>
        <v>0.4</v>
      </c>
      <c r="F215" s="97">
        <f t="shared" si="28"/>
        <v>0.4</v>
      </c>
      <c r="G215" s="97">
        <f t="shared" si="28"/>
        <v>0.4</v>
      </c>
      <c r="H215" s="97">
        <f t="shared" si="28"/>
        <v>0.4</v>
      </c>
      <c r="I215" s="97">
        <f t="shared" si="28"/>
        <v>0.4</v>
      </c>
      <c r="J215" s="97">
        <f t="shared" si="28"/>
        <v>0.4</v>
      </c>
      <c r="K215" s="97">
        <f t="shared" si="28"/>
        <v>0.4</v>
      </c>
      <c r="L215" s="97">
        <f t="shared" si="28"/>
        <v>0.4</v>
      </c>
      <c r="M215" s="97">
        <f t="shared" si="28"/>
        <v>0.4</v>
      </c>
      <c r="N215" s="97">
        <f t="shared" si="28"/>
        <v>0.4</v>
      </c>
      <c r="O215" s="97">
        <f t="shared" si="28"/>
        <v>0.4</v>
      </c>
      <c r="P215" s="97">
        <f t="shared" si="28"/>
        <v>0.4</v>
      </c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56">
        <v>2</v>
      </c>
      <c r="AH215" s="54"/>
      <c r="AI215" s="55"/>
      <c r="AK215" s="56"/>
    </row>
    <row r="216" spans="1:37" x14ac:dyDescent="0.25">
      <c r="A216" s="163" t="s">
        <v>85</v>
      </c>
      <c r="B216" s="97">
        <f t="shared" si="27"/>
        <v>0</v>
      </c>
      <c r="C216" s="97">
        <v>1.5</v>
      </c>
      <c r="D216" s="97">
        <f t="shared" si="28"/>
        <v>1.5</v>
      </c>
      <c r="E216" s="97">
        <f t="shared" si="28"/>
        <v>1.5</v>
      </c>
      <c r="F216" s="97">
        <f t="shared" si="28"/>
        <v>1.5</v>
      </c>
      <c r="G216" s="97">
        <f t="shared" si="28"/>
        <v>1.5</v>
      </c>
      <c r="H216" s="97">
        <f t="shared" si="28"/>
        <v>1.5</v>
      </c>
      <c r="I216" s="97">
        <f t="shared" si="28"/>
        <v>1.5</v>
      </c>
      <c r="J216" s="97">
        <f t="shared" si="28"/>
        <v>1.5</v>
      </c>
      <c r="K216" s="97">
        <f t="shared" si="28"/>
        <v>1.5</v>
      </c>
      <c r="L216" s="97">
        <f t="shared" si="28"/>
        <v>1.5</v>
      </c>
      <c r="M216" s="97">
        <f t="shared" si="28"/>
        <v>1.5</v>
      </c>
      <c r="N216" s="97">
        <f t="shared" si="28"/>
        <v>1.5</v>
      </c>
      <c r="O216" s="97">
        <f t="shared" si="28"/>
        <v>1.5</v>
      </c>
      <c r="P216" s="97">
        <f t="shared" si="28"/>
        <v>1.5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1.5</v>
      </c>
      <c r="AH216" s="54"/>
      <c r="AI216" s="55"/>
      <c r="AK216" s="56"/>
    </row>
    <row r="217" spans="1:37" x14ac:dyDescent="0.25">
      <c r="A217" s="163" t="s">
        <v>86</v>
      </c>
      <c r="B217" s="97">
        <f t="shared" si="27"/>
        <v>0</v>
      </c>
      <c r="C217" s="97">
        <v>0.3</v>
      </c>
      <c r="D217" s="97">
        <f t="shared" si="28"/>
        <v>0.3</v>
      </c>
      <c r="E217" s="97">
        <f t="shared" si="28"/>
        <v>0.3</v>
      </c>
      <c r="F217" s="97">
        <f t="shared" si="28"/>
        <v>0.3</v>
      </c>
      <c r="G217" s="97">
        <f t="shared" si="28"/>
        <v>0.3</v>
      </c>
      <c r="H217" s="97">
        <f t="shared" si="28"/>
        <v>0.3</v>
      </c>
      <c r="I217" s="97">
        <f t="shared" si="28"/>
        <v>0.3</v>
      </c>
      <c r="J217" s="97">
        <f t="shared" si="28"/>
        <v>0.3</v>
      </c>
      <c r="K217" s="97">
        <f t="shared" si="28"/>
        <v>0.3</v>
      </c>
      <c r="L217" s="97">
        <f t="shared" si="28"/>
        <v>0.3</v>
      </c>
      <c r="M217" s="97">
        <f t="shared" si="28"/>
        <v>0.3</v>
      </c>
      <c r="N217" s="97">
        <f t="shared" si="28"/>
        <v>0.3</v>
      </c>
      <c r="O217" s="97">
        <f t="shared" si="28"/>
        <v>0.3</v>
      </c>
      <c r="P217" s="97">
        <f t="shared" si="28"/>
        <v>0.3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</v>
      </c>
      <c r="AH217" s="54"/>
      <c r="AI217" s="55"/>
      <c r="AK217" s="56"/>
    </row>
    <row r="218" spans="1:37" x14ac:dyDescent="0.25">
      <c r="A218" s="163" t="s">
        <v>87</v>
      </c>
      <c r="B218" s="97">
        <f t="shared" si="27"/>
        <v>0</v>
      </c>
      <c r="C218" s="97">
        <v>0.4</v>
      </c>
      <c r="D218" s="97">
        <f t="shared" si="28"/>
        <v>0.4</v>
      </c>
      <c r="E218" s="97">
        <f t="shared" si="28"/>
        <v>0.4</v>
      </c>
      <c r="F218" s="97">
        <f t="shared" si="28"/>
        <v>0.4</v>
      </c>
      <c r="G218" s="97">
        <f t="shared" si="28"/>
        <v>0.4</v>
      </c>
      <c r="H218" s="97">
        <f t="shared" si="28"/>
        <v>0.4</v>
      </c>
      <c r="I218" s="97">
        <f t="shared" si="28"/>
        <v>0.4</v>
      </c>
      <c r="J218" s="97">
        <f t="shared" si="28"/>
        <v>0.4</v>
      </c>
      <c r="K218" s="97">
        <f t="shared" si="28"/>
        <v>0.4</v>
      </c>
      <c r="L218" s="97">
        <f t="shared" si="28"/>
        <v>0.4</v>
      </c>
      <c r="M218" s="97">
        <f t="shared" si="28"/>
        <v>0.4</v>
      </c>
      <c r="N218" s="97">
        <f t="shared" si="28"/>
        <v>0.4</v>
      </c>
      <c r="O218" s="97">
        <f t="shared" si="28"/>
        <v>0.4</v>
      </c>
      <c r="P218" s="97">
        <f t="shared" si="28"/>
        <v>0.4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ht="15.75" thickBot="1" x14ac:dyDescent="0.3">
      <c r="A219" s="164" t="s">
        <v>88</v>
      </c>
      <c r="B219" s="102">
        <f t="shared" si="27"/>
        <v>0</v>
      </c>
      <c r="C219" s="102">
        <v>0.64</v>
      </c>
      <c r="D219" s="102">
        <f t="shared" si="28"/>
        <v>0.64</v>
      </c>
      <c r="E219" s="102">
        <f t="shared" si="28"/>
        <v>0.64</v>
      </c>
      <c r="F219" s="102">
        <f t="shared" si="28"/>
        <v>0.64</v>
      </c>
      <c r="G219" s="102">
        <f t="shared" si="28"/>
        <v>0.64</v>
      </c>
      <c r="H219" s="102">
        <f t="shared" si="28"/>
        <v>0.64</v>
      </c>
      <c r="I219" s="102">
        <f t="shared" si="28"/>
        <v>0.64</v>
      </c>
      <c r="J219" s="102">
        <f t="shared" si="28"/>
        <v>0.64</v>
      </c>
      <c r="K219" s="102">
        <f t="shared" si="28"/>
        <v>0.64</v>
      </c>
      <c r="L219" s="102">
        <f t="shared" si="28"/>
        <v>0.64</v>
      </c>
      <c r="M219" s="102">
        <f t="shared" si="28"/>
        <v>0.64</v>
      </c>
      <c r="N219" s="102">
        <f t="shared" si="28"/>
        <v>0.64</v>
      </c>
      <c r="O219" s="102">
        <f t="shared" si="28"/>
        <v>0.64</v>
      </c>
      <c r="P219" s="102">
        <f t="shared" si="28"/>
        <v>0.64</v>
      </c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57">
        <v>0.66</v>
      </c>
      <c r="AH219" s="54"/>
      <c r="AI219" s="55"/>
    </row>
    <row r="220" spans="1:37" ht="15.75" thickBot="1" x14ac:dyDescent="0.3">
      <c r="A220" s="173" t="s">
        <v>35</v>
      </c>
      <c r="B220" s="103">
        <f>SUM(B214:B219)</f>
        <v>0</v>
      </c>
      <c r="C220" s="103">
        <f>SUM(C214:C219)</f>
        <v>3.54</v>
      </c>
      <c r="D220" s="103">
        <f t="shared" ref="D220:L220" si="29">SUM(D214:D219)</f>
        <v>3.54</v>
      </c>
      <c r="E220" s="103">
        <f t="shared" si="29"/>
        <v>3.54</v>
      </c>
      <c r="F220" s="103">
        <f t="shared" si="29"/>
        <v>3.54</v>
      </c>
      <c r="G220" s="103">
        <f t="shared" si="29"/>
        <v>3.54</v>
      </c>
      <c r="H220" s="103">
        <f t="shared" si="29"/>
        <v>3.54</v>
      </c>
      <c r="I220" s="103">
        <f t="shared" si="29"/>
        <v>3.54</v>
      </c>
      <c r="J220" s="103">
        <f t="shared" si="29"/>
        <v>3.54</v>
      </c>
      <c r="K220" s="103">
        <f t="shared" si="29"/>
        <v>3.54</v>
      </c>
      <c r="L220" s="103">
        <f t="shared" si="29"/>
        <v>3.54</v>
      </c>
      <c r="M220" s="103">
        <f>SUM(M214:M219)</f>
        <v>3.54</v>
      </c>
      <c r="N220" s="103">
        <f t="shared" ref="N220:S220" si="30">SUM(N214:N219)</f>
        <v>3.54</v>
      </c>
      <c r="O220" s="103">
        <f t="shared" si="30"/>
        <v>3.54</v>
      </c>
      <c r="P220" s="103">
        <f t="shared" si="30"/>
        <v>3.54</v>
      </c>
      <c r="Q220" s="103">
        <f t="shared" si="30"/>
        <v>0</v>
      </c>
      <c r="R220" s="103">
        <f t="shared" si="30"/>
        <v>0</v>
      </c>
      <c r="S220" s="103">
        <f t="shared" si="30"/>
        <v>0</v>
      </c>
      <c r="T220" s="103">
        <f>SUM(T214:T219)</f>
        <v>0</v>
      </c>
      <c r="U220" s="103">
        <f t="shared" ref="U220:AG220" si="31">SUM(U214:U219)</f>
        <v>0</v>
      </c>
      <c r="V220" s="103">
        <f t="shared" si="31"/>
        <v>0</v>
      </c>
      <c r="W220" s="103">
        <f t="shared" si="31"/>
        <v>0</v>
      </c>
      <c r="X220" s="103">
        <f t="shared" si="31"/>
        <v>0</v>
      </c>
      <c r="Y220" s="103">
        <f t="shared" si="31"/>
        <v>0</v>
      </c>
      <c r="Z220" s="103">
        <f t="shared" si="31"/>
        <v>0</v>
      </c>
      <c r="AA220" s="103">
        <f t="shared" si="31"/>
        <v>0</v>
      </c>
      <c r="AB220" s="103">
        <f t="shared" si="31"/>
        <v>0</v>
      </c>
      <c r="AC220" s="103">
        <f t="shared" si="31"/>
        <v>0</v>
      </c>
      <c r="AD220" s="103">
        <f t="shared" si="31"/>
        <v>0</v>
      </c>
      <c r="AE220" s="103">
        <f t="shared" si="31"/>
        <v>0</v>
      </c>
      <c r="AF220" s="103">
        <f t="shared" si="31"/>
        <v>0</v>
      </c>
      <c r="AG220" s="158">
        <f t="shared" si="31"/>
        <v>8.56</v>
      </c>
      <c r="AH220" s="54"/>
      <c r="AI220" s="55"/>
    </row>
    <row r="221" spans="1:37" ht="15.75" thickBot="1" x14ac:dyDescent="0.3"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  <c r="AC221" s="179"/>
      <c r="AD221" s="179"/>
      <c r="AE221" s="179"/>
      <c r="AF221" s="179"/>
      <c r="AG221" s="84"/>
      <c r="AH221" s="179"/>
    </row>
    <row r="222" spans="1:37" x14ac:dyDescent="0.25">
      <c r="A222" s="79" t="s">
        <v>89</v>
      </c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5"/>
      <c r="AG222" s="179"/>
      <c r="AH222" s="54"/>
      <c r="AI222" s="55"/>
    </row>
    <row r="223" spans="1:37" x14ac:dyDescent="0.25">
      <c r="A223" s="106" t="s">
        <v>90</v>
      </c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8"/>
      <c r="AG223" s="109"/>
      <c r="AH223" s="54"/>
      <c r="AI223" s="55"/>
    </row>
    <row r="224" spans="1:37" x14ac:dyDescent="0.25">
      <c r="A224" s="81" t="s">
        <v>91</v>
      </c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1"/>
      <c r="AG224" s="109"/>
      <c r="AH224" s="54"/>
      <c r="AI224" s="55"/>
    </row>
    <row r="225" spans="1:50" x14ac:dyDescent="0.25">
      <c r="A225" s="81" t="s">
        <v>92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ht="15.75" thickBot="1" x14ac:dyDescent="0.3">
      <c r="A226" s="112" t="s">
        <v>93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4"/>
      <c r="AG226" s="109"/>
      <c r="AH226" s="54"/>
      <c r="AI226" s="55"/>
    </row>
    <row r="227" spans="1:50" x14ac:dyDescent="0.25"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  <c r="AC227" s="179"/>
      <c r="AD227" s="179"/>
      <c r="AE227" s="179"/>
      <c r="AF227" s="179"/>
      <c r="AG227" s="179"/>
      <c r="AH227" s="179"/>
    </row>
    <row r="228" spans="1:50" x14ac:dyDescent="0.25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  <c r="AC228" s="179"/>
      <c r="AD228" s="179"/>
      <c r="AE228" s="179"/>
      <c r="AF228" s="179"/>
      <c r="AG228" s="179"/>
      <c r="AH228" s="179"/>
    </row>
    <row r="229" spans="1:50" x14ac:dyDescent="0.25">
      <c r="A229" s="115" t="s">
        <v>94</v>
      </c>
      <c r="B229" s="116">
        <f>MAX(G79:N79)</f>
        <v>1739.0400000000002</v>
      </c>
      <c r="C229" s="117">
        <f>INDEX(G9:N9,1,MATCH(MAX(G79:N79),G79:N79,0))</f>
        <v>0.33333333333333331</v>
      </c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  <c r="AC229" s="179"/>
      <c r="AD229" s="179"/>
      <c r="AE229" s="179"/>
      <c r="AF229" s="179"/>
      <c r="AG229" s="179"/>
      <c r="AH229" s="179"/>
    </row>
    <row r="230" spans="1:50" x14ac:dyDescent="0.25"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18" t="str">
        <f ca="1">MID(CELL("filename",C7),FIND("]",CELL("filename",C7))+1,600)</f>
        <v>15</v>
      </c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79"/>
      <c r="AH230" s="179"/>
    </row>
    <row r="231" spans="1:50" x14ac:dyDescent="0.25">
      <c r="A231" s="208" t="s">
        <v>95</v>
      </c>
      <c r="B231" s="208"/>
      <c r="C231" s="179"/>
      <c r="D231" s="118" t="str">
        <f ca="1">"Pie Chart of Daily Peak Demand(Inclusive of Export) of Nepal ("&amp;A4&amp;" "&amp;B4&amp;")"</f>
        <v>Pie Chart of Daily Peak Demand(Inclusive of Export) of Nepal (Nepali Date: 2079/02/15)</v>
      </c>
      <c r="E231" s="179"/>
      <c r="F231" s="179"/>
      <c r="G231" s="118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18" t="str">
        <f ca="1">"Daily Load Curve(Excluding of Export) of Nepal ("&amp;A4&amp;" "&amp;B4&amp;")"</f>
        <v>Daily Load Curve(Excluding of Export) of Nepal (Nepali Date: 2079/02/15)</v>
      </c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  <c r="AE231" s="179"/>
      <c r="AF231" s="179"/>
      <c r="AG231" s="179"/>
      <c r="AH231" s="179"/>
    </row>
    <row r="232" spans="1:50" ht="12.75" customHeight="1" thickBot="1" x14ac:dyDescent="0.3">
      <c r="A232" s="119" t="s">
        <v>7</v>
      </c>
      <c r="B232" s="120"/>
      <c r="C232" s="179"/>
      <c r="D232" s="121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  <c r="AC232" s="179"/>
      <c r="AD232" s="179"/>
      <c r="AE232" s="179"/>
      <c r="AF232" s="179"/>
      <c r="AG232" s="179"/>
      <c r="AH232" s="179"/>
    </row>
    <row r="233" spans="1:50" ht="15.75" thickTop="1" x14ac:dyDescent="0.25">
      <c r="A233" s="119" t="s">
        <v>96</v>
      </c>
      <c r="B233" s="120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22" t="s">
        <v>97</v>
      </c>
      <c r="T233" s="123">
        <v>0</v>
      </c>
      <c r="U233" s="124">
        <v>4.1666666666666664E-2</v>
      </c>
      <c r="V233" s="125">
        <v>8.3333333333333301E-2</v>
      </c>
      <c r="W233" s="125">
        <v>0.125</v>
      </c>
      <c r="X233" s="125">
        <v>0.16666666666666699</v>
      </c>
      <c r="Y233" s="125">
        <v>0.20833333333333301</v>
      </c>
      <c r="Z233" s="125">
        <v>0.22916666666666666</v>
      </c>
      <c r="AA233" s="125">
        <v>0.25</v>
      </c>
      <c r="AB233" s="125">
        <v>0.27083333333333331</v>
      </c>
      <c r="AC233" s="125">
        <v>0.29166666666666669</v>
      </c>
      <c r="AD233" s="125">
        <v>0.3125</v>
      </c>
      <c r="AE233" s="126">
        <v>0.33333333333333331</v>
      </c>
      <c r="AF233" s="126">
        <v>0.375</v>
      </c>
      <c r="AG233" s="126">
        <v>0.41666666666666702</v>
      </c>
      <c r="AH233" s="126">
        <v>0.45833333333333298</v>
      </c>
      <c r="AI233" s="126">
        <v>0.5</v>
      </c>
      <c r="AJ233" s="126">
        <v>0.54166666666666696</v>
      </c>
      <c r="AK233" s="126">
        <v>0.58333333333333304</v>
      </c>
      <c r="AL233" s="126">
        <v>0.625</v>
      </c>
      <c r="AM233" s="126">
        <v>0.66666666666666696</v>
      </c>
      <c r="AN233" s="126">
        <v>0.70833333333333304</v>
      </c>
      <c r="AO233" s="126">
        <v>0.72916666666666663</v>
      </c>
      <c r="AP233" s="126">
        <v>0.75</v>
      </c>
      <c r="AQ233" s="126">
        <v>0.77083333333333337</v>
      </c>
      <c r="AR233" s="126">
        <v>0.79166666666666663</v>
      </c>
      <c r="AS233" s="126">
        <v>0.8125</v>
      </c>
      <c r="AT233" s="125">
        <v>0.83333333333333337</v>
      </c>
      <c r="AU233" s="125">
        <v>0.85416666666666663</v>
      </c>
      <c r="AV233" s="125">
        <v>0.875</v>
      </c>
      <c r="AW233" s="125">
        <v>0.91666666666666696</v>
      </c>
      <c r="AX233" s="125">
        <v>0.95833333333333304</v>
      </c>
    </row>
    <row r="234" spans="1:50" x14ac:dyDescent="0.25">
      <c r="A234" s="119" t="s">
        <v>98</v>
      </c>
      <c r="B234" s="120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 t="s">
        <v>99</v>
      </c>
      <c r="T234" s="127">
        <f t="shared" ref="T234:AX234" si="32">B79</f>
        <v>1760.3400000000001</v>
      </c>
      <c r="U234" s="127">
        <f t="shared" si="32"/>
        <v>1706.64</v>
      </c>
      <c r="V234" s="127">
        <f t="shared" si="32"/>
        <v>1691.14</v>
      </c>
      <c r="W234" s="127">
        <f t="shared" si="32"/>
        <v>1655.14</v>
      </c>
      <c r="X234" s="127">
        <f t="shared" si="32"/>
        <v>1639.3400000000001</v>
      </c>
      <c r="Y234" s="127">
        <f t="shared" si="32"/>
        <v>1638.0400000000002</v>
      </c>
      <c r="Z234" s="127">
        <f t="shared" si="32"/>
        <v>1518.0400000000002</v>
      </c>
      <c r="AA234" s="127">
        <f t="shared" si="32"/>
        <v>1606.64</v>
      </c>
      <c r="AB234" s="127">
        <f t="shared" si="32"/>
        <v>1610.64</v>
      </c>
      <c r="AC234" s="127">
        <f t="shared" si="32"/>
        <v>1644.5400000000002</v>
      </c>
      <c r="AD234" s="127">
        <f t="shared" si="32"/>
        <v>1689.64</v>
      </c>
      <c r="AE234" s="127">
        <f t="shared" si="32"/>
        <v>1739.0400000000002</v>
      </c>
      <c r="AF234" s="127">
        <f t="shared" si="32"/>
        <v>1688.7400000000002</v>
      </c>
      <c r="AG234" s="127">
        <f t="shared" si="32"/>
        <v>1708.0400000000002</v>
      </c>
      <c r="AH234" s="127">
        <f t="shared" si="32"/>
        <v>1687.8400000000001</v>
      </c>
      <c r="AI234" s="127">
        <f t="shared" si="32"/>
        <v>1679.74</v>
      </c>
      <c r="AJ234" s="127">
        <f t="shared" si="32"/>
        <v>1626.8400000000001</v>
      </c>
      <c r="AK234" s="127">
        <f t="shared" si="32"/>
        <v>1636.14</v>
      </c>
      <c r="AL234" s="127">
        <f t="shared" si="32"/>
        <v>1676.94</v>
      </c>
      <c r="AM234" s="127">
        <f t="shared" si="32"/>
        <v>1676.04</v>
      </c>
      <c r="AN234" s="127">
        <f t="shared" si="32"/>
        <v>1695.14</v>
      </c>
      <c r="AO234" s="127">
        <f t="shared" si="32"/>
        <v>1639.24</v>
      </c>
      <c r="AP234" s="127">
        <f t="shared" si="32"/>
        <v>1640.24</v>
      </c>
      <c r="AQ234" s="127">
        <f t="shared" si="32"/>
        <v>1666.94</v>
      </c>
      <c r="AR234" s="127">
        <f t="shared" si="32"/>
        <v>1769.14</v>
      </c>
      <c r="AS234" s="127">
        <f t="shared" si="32"/>
        <v>1850.3400000000001</v>
      </c>
      <c r="AT234" s="127">
        <f t="shared" si="32"/>
        <v>1873.94</v>
      </c>
      <c r="AU234" s="127">
        <f t="shared" si="32"/>
        <v>1860.34</v>
      </c>
      <c r="AV234" s="127">
        <f t="shared" si="32"/>
        <v>1825.44</v>
      </c>
      <c r="AW234" s="127">
        <f t="shared" si="32"/>
        <v>1775.74</v>
      </c>
      <c r="AX234" s="127">
        <f t="shared" si="32"/>
        <v>1683.74</v>
      </c>
    </row>
    <row r="235" spans="1:50" x14ac:dyDescent="0.25">
      <c r="A235" s="119" t="s">
        <v>100</v>
      </c>
      <c r="B235" s="120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  <c r="AC235" s="179"/>
      <c r="AD235" s="179"/>
      <c r="AE235" s="179"/>
      <c r="AF235" s="179"/>
      <c r="AG235" s="179"/>
      <c r="AH235" s="179"/>
    </row>
    <row r="236" spans="1:50" x14ac:dyDescent="0.25">
      <c r="A236" s="119" t="s">
        <v>101</v>
      </c>
      <c r="B236" s="120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79"/>
      <c r="AE236" s="179"/>
      <c r="AF236" s="179"/>
      <c r="AG236" s="179"/>
      <c r="AH236" s="179"/>
    </row>
    <row r="237" spans="1:50" x14ac:dyDescent="0.25">
      <c r="A237" s="119" t="s">
        <v>102</v>
      </c>
      <c r="B237" s="120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  <c r="AE237" s="179"/>
      <c r="AF237" s="179"/>
      <c r="AG237" s="179"/>
      <c r="AH237" s="179"/>
    </row>
    <row r="238" spans="1:50" x14ac:dyDescent="0.25">
      <c r="A238" s="119" t="s">
        <v>103</v>
      </c>
      <c r="B238" s="128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  <c r="AE238" s="179"/>
      <c r="AF238" s="179"/>
      <c r="AG238" s="179"/>
      <c r="AH238" s="179"/>
    </row>
    <row r="239" spans="1:50" x14ac:dyDescent="0.25">
      <c r="A239" s="119" t="s">
        <v>104</v>
      </c>
      <c r="B239" s="120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</row>
    <row r="240" spans="1:50" x14ac:dyDescent="0.25"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  <c r="AD240" s="179"/>
      <c r="AE240" s="179"/>
      <c r="AF240" s="179"/>
      <c r="AG240" s="179"/>
      <c r="AH240" s="179"/>
    </row>
    <row r="241" spans="1:36" x14ac:dyDescent="0.25"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  <c r="AC241" s="179"/>
      <c r="AD241" s="179"/>
      <c r="AE241" s="179"/>
      <c r="AF241" s="179"/>
      <c r="AG241" s="179"/>
      <c r="AH241" s="179"/>
    </row>
    <row r="242" spans="1:36" x14ac:dyDescent="0.25"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  <c r="AC242" s="179"/>
      <c r="AD242" s="179"/>
      <c r="AE242" s="179"/>
      <c r="AF242" s="179"/>
      <c r="AG242" s="179"/>
      <c r="AH242" s="179"/>
    </row>
    <row r="243" spans="1:36" x14ac:dyDescent="0.25"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  <c r="AC243" s="179"/>
      <c r="AD243" s="179"/>
      <c r="AE243" s="179"/>
      <c r="AF243" s="179"/>
      <c r="AG243" s="179"/>
      <c r="AH243" s="179"/>
    </row>
    <row r="244" spans="1:36" x14ac:dyDescent="0.25"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  <c r="AC244" s="179"/>
      <c r="AD244" s="179"/>
      <c r="AE244" s="179"/>
      <c r="AF244" s="179"/>
      <c r="AG244" s="179"/>
      <c r="AH244" s="179"/>
    </row>
    <row r="245" spans="1:36" x14ac:dyDescent="0.25"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  <c r="AG245" s="179"/>
      <c r="AH245" s="179"/>
    </row>
    <row r="246" spans="1:36" x14ac:dyDescent="0.25"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  <c r="AC246" s="179"/>
      <c r="AD246" s="179"/>
      <c r="AE246" s="179"/>
      <c r="AF246" s="179"/>
      <c r="AG246" s="179"/>
      <c r="AH246" s="179"/>
      <c r="AJ246"/>
    </row>
    <row r="247" spans="1:36" x14ac:dyDescent="0.25"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  <c r="AC247" s="179"/>
      <c r="AD247" s="179"/>
      <c r="AE247" s="179"/>
      <c r="AF247" s="179"/>
      <c r="AG247" s="179"/>
      <c r="AH247" s="179"/>
      <c r="AJ247"/>
    </row>
    <row r="248" spans="1:36" x14ac:dyDescent="0.25"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  <c r="AC248" s="179"/>
      <c r="AD248" s="179"/>
      <c r="AE248" s="179"/>
      <c r="AF248" s="179"/>
      <c r="AG248" s="179"/>
      <c r="AH248" s="179"/>
      <c r="AJ248"/>
    </row>
    <row r="249" spans="1:36" x14ac:dyDescent="0.25"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  <c r="AC249" s="179"/>
      <c r="AD249" s="179"/>
      <c r="AE249" s="179"/>
      <c r="AF249" s="179"/>
      <c r="AG249" s="179"/>
      <c r="AH249" s="179"/>
      <c r="AJ249"/>
    </row>
    <row r="250" spans="1:36" x14ac:dyDescent="0.25"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  <c r="AC250" s="179"/>
      <c r="AD250" s="179"/>
      <c r="AE250" s="179"/>
      <c r="AF250" s="179"/>
      <c r="AG250" s="179"/>
      <c r="AH250" s="179"/>
      <c r="AJ250"/>
    </row>
    <row r="251" spans="1:36" x14ac:dyDescent="0.25"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  <c r="AE251" s="179"/>
      <c r="AF251" s="179"/>
      <c r="AG251" s="179"/>
      <c r="AH251" s="179"/>
      <c r="AJ251"/>
    </row>
    <row r="252" spans="1:36" x14ac:dyDescent="0.25"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  <c r="AC252" s="179"/>
      <c r="AD252" s="179"/>
      <c r="AE252" s="179"/>
      <c r="AF252" s="179"/>
      <c r="AG252" s="179"/>
      <c r="AH252" s="179"/>
      <c r="AJ252"/>
    </row>
    <row r="253" spans="1:36" x14ac:dyDescent="0.25"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J253"/>
    </row>
    <row r="254" spans="1:36" x14ac:dyDescent="0.25"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  <c r="AE254" s="179"/>
      <c r="AF254" s="179"/>
      <c r="AG254" s="179"/>
      <c r="AH254" s="179"/>
      <c r="AJ254"/>
    </row>
    <row r="255" spans="1:36" x14ac:dyDescent="0.25">
      <c r="A255" s="129" t="s">
        <v>89</v>
      </c>
      <c r="B255" s="130">
        <f t="shared" ref="B255:AE255" si="33">C219</f>
        <v>0.64</v>
      </c>
      <c r="C255" s="130">
        <f t="shared" si="33"/>
        <v>0.64</v>
      </c>
      <c r="D255" s="130">
        <f t="shared" si="33"/>
        <v>0.64</v>
      </c>
      <c r="E255" s="130">
        <f t="shared" si="33"/>
        <v>0.64</v>
      </c>
      <c r="F255" s="130">
        <f t="shared" si="33"/>
        <v>0.64</v>
      </c>
      <c r="G255" s="130">
        <f t="shared" si="33"/>
        <v>0.64</v>
      </c>
      <c r="H255" s="130">
        <f t="shared" si="33"/>
        <v>0.64</v>
      </c>
      <c r="I255" s="130">
        <f t="shared" si="33"/>
        <v>0.64</v>
      </c>
      <c r="J255" s="130">
        <f t="shared" si="33"/>
        <v>0.64</v>
      </c>
      <c r="K255" s="130">
        <f t="shared" si="33"/>
        <v>0.64</v>
      </c>
      <c r="L255" s="130">
        <f t="shared" si="33"/>
        <v>0.64</v>
      </c>
      <c r="M255" s="130">
        <f t="shared" si="33"/>
        <v>0.64</v>
      </c>
      <c r="N255" s="130">
        <f t="shared" si="33"/>
        <v>0.64</v>
      </c>
      <c r="O255" s="130">
        <f t="shared" si="33"/>
        <v>0.64</v>
      </c>
      <c r="P255" s="130">
        <f t="shared" si="33"/>
        <v>0</v>
      </c>
      <c r="Q255" s="130">
        <f t="shared" si="33"/>
        <v>0</v>
      </c>
      <c r="R255" s="130">
        <f t="shared" si="33"/>
        <v>0</v>
      </c>
      <c r="S255" s="130">
        <f t="shared" si="33"/>
        <v>0</v>
      </c>
      <c r="T255" s="130">
        <f t="shared" si="33"/>
        <v>0</v>
      </c>
      <c r="U255" s="130">
        <f t="shared" si="33"/>
        <v>0</v>
      </c>
      <c r="V255" s="130">
        <f t="shared" si="33"/>
        <v>0</v>
      </c>
      <c r="W255" s="130">
        <f t="shared" si="33"/>
        <v>0</v>
      </c>
      <c r="X255" s="130">
        <f t="shared" si="33"/>
        <v>0</v>
      </c>
      <c r="Y255" s="130">
        <f t="shared" si="33"/>
        <v>0</v>
      </c>
      <c r="Z255" s="130">
        <f t="shared" si="33"/>
        <v>0</v>
      </c>
      <c r="AA255" s="130">
        <f t="shared" si="33"/>
        <v>0</v>
      </c>
      <c r="AB255" s="130">
        <f t="shared" si="33"/>
        <v>0</v>
      </c>
      <c r="AC255" s="130">
        <f t="shared" si="33"/>
        <v>0</v>
      </c>
      <c r="AD255" s="130">
        <f t="shared" si="33"/>
        <v>0</v>
      </c>
      <c r="AE255" s="130">
        <f t="shared" si="33"/>
        <v>0</v>
      </c>
      <c r="AF255" s="130">
        <f>B219</f>
        <v>0</v>
      </c>
      <c r="AG255" s="179"/>
      <c r="AH255" s="179"/>
      <c r="AJ255"/>
    </row>
    <row r="256" spans="1:36" x14ac:dyDescent="0.25">
      <c r="A256" s="88" t="str">
        <f>A223</f>
        <v>KGA</v>
      </c>
      <c r="B256" s="88" t="str">
        <f>IF(B223&lt;100,"",B223-520)</f>
        <v/>
      </c>
      <c r="C256" s="88" t="str">
        <f t="shared" ref="C256:AF256" si="34">IF(C223&lt;100,"",C223-520)</f>
        <v/>
      </c>
      <c r="D256" s="88" t="str">
        <f t="shared" si="34"/>
        <v/>
      </c>
      <c r="E256" s="88" t="str">
        <f t="shared" si="34"/>
        <v/>
      </c>
      <c r="F256" s="88" t="str">
        <f t="shared" si="34"/>
        <v/>
      </c>
      <c r="G256" s="88" t="str">
        <f t="shared" si="34"/>
        <v/>
      </c>
      <c r="H256" s="88" t="str">
        <f t="shared" si="34"/>
        <v/>
      </c>
      <c r="I256" s="88" t="str">
        <f t="shared" si="34"/>
        <v/>
      </c>
      <c r="J256" s="88" t="str">
        <f t="shared" si="34"/>
        <v/>
      </c>
      <c r="K256" s="88" t="str">
        <f t="shared" si="34"/>
        <v/>
      </c>
      <c r="L256" s="88" t="str">
        <f t="shared" si="34"/>
        <v/>
      </c>
      <c r="M256" s="88" t="str">
        <f t="shared" si="34"/>
        <v/>
      </c>
      <c r="N256" s="88" t="str">
        <f t="shared" si="34"/>
        <v/>
      </c>
      <c r="O256" s="88" t="str">
        <f t="shared" si="34"/>
        <v/>
      </c>
      <c r="P256" s="88" t="str">
        <f t="shared" si="34"/>
        <v/>
      </c>
      <c r="Q256" s="88" t="str">
        <f t="shared" si="34"/>
        <v/>
      </c>
      <c r="R256" s="88" t="str">
        <f t="shared" si="34"/>
        <v/>
      </c>
      <c r="S256" s="88" t="str">
        <f t="shared" si="34"/>
        <v/>
      </c>
      <c r="T256" s="88" t="str">
        <f t="shared" si="34"/>
        <v/>
      </c>
      <c r="U256" s="88" t="str">
        <f t="shared" si="34"/>
        <v/>
      </c>
      <c r="V256" s="88" t="str">
        <f t="shared" si="34"/>
        <v/>
      </c>
      <c r="W256" s="88" t="str">
        <f t="shared" si="34"/>
        <v/>
      </c>
      <c r="X256" s="88" t="str">
        <f t="shared" si="34"/>
        <v/>
      </c>
      <c r="Y256" s="88" t="str">
        <f t="shared" si="34"/>
        <v/>
      </c>
      <c r="Z256" s="88" t="str">
        <f t="shared" si="34"/>
        <v/>
      </c>
      <c r="AA256" s="88" t="str">
        <f t="shared" si="34"/>
        <v/>
      </c>
      <c r="AB256" s="88" t="str">
        <f t="shared" si="34"/>
        <v/>
      </c>
      <c r="AC256" s="88" t="str">
        <f t="shared" si="34"/>
        <v/>
      </c>
      <c r="AD256" s="88" t="str">
        <f t="shared" si="34"/>
        <v/>
      </c>
      <c r="AE256" s="88" t="str">
        <f t="shared" si="34"/>
        <v/>
      </c>
      <c r="AF256" s="88" t="str">
        <f t="shared" si="34"/>
        <v/>
      </c>
      <c r="AG256" s="179"/>
      <c r="AH256" s="179"/>
      <c r="AJ256"/>
    </row>
    <row r="257" spans="1:36" x14ac:dyDescent="0.25">
      <c r="A257" s="88" t="str">
        <f>A224</f>
        <v>MMRS</v>
      </c>
      <c r="B257" s="88" t="str">
        <f t="shared" ref="B257:AF257" si="35">IF(B224&lt;100,"",B224-620)</f>
        <v/>
      </c>
      <c r="C257" s="88" t="str">
        <f t="shared" si="35"/>
        <v/>
      </c>
      <c r="D257" s="88" t="str">
        <f t="shared" si="35"/>
        <v/>
      </c>
      <c r="E257" s="88" t="str">
        <f t="shared" si="35"/>
        <v/>
      </c>
      <c r="F257" s="88" t="str">
        <f t="shared" si="35"/>
        <v/>
      </c>
      <c r="G257" s="88" t="str">
        <f t="shared" si="35"/>
        <v/>
      </c>
      <c r="H257" s="88" t="str">
        <f t="shared" si="35"/>
        <v/>
      </c>
      <c r="I257" s="88" t="str">
        <f t="shared" si="35"/>
        <v/>
      </c>
      <c r="J257" s="88" t="str">
        <f t="shared" si="35"/>
        <v/>
      </c>
      <c r="K257" s="88" t="str">
        <f t="shared" si="35"/>
        <v/>
      </c>
      <c r="L257" s="88" t="str">
        <f t="shared" si="35"/>
        <v/>
      </c>
      <c r="M257" s="88" t="str">
        <f t="shared" si="35"/>
        <v/>
      </c>
      <c r="N257" s="88" t="str">
        <f t="shared" si="35"/>
        <v/>
      </c>
      <c r="O257" s="88" t="str">
        <f t="shared" si="35"/>
        <v/>
      </c>
      <c r="P257" s="88" t="str">
        <f t="shared" si="35"/>
        <v/>
      </c>
      <c r="Q257" s="88" t="str">
        <f t="shared" si="35"/>
        <v/>
      </c>
      <c r="R257" s="88" t="str">
        <f t="shared" si="35"/>
        <v/>
      </c>
      <c r="S257" s="88" t="str">
        <f t="shared" si="35"/>
        <v/>
      </c>
      <c r="T257" s="88" t="str">
        <f t="shared" si="35"/>
        <v/>
      </c>
      <c r="U257" s="88" t="str">
        <f t="shared" si="35"/>
        <v/>
      </c>
      <c r="V257" s="88" t="str">
        <f t="shared" si="35"/>
        <v/>
      </c>
      <c r="W257" s="88" t="str">
        <f t="shared" si="35"/>
        <v/>
      </c>
      <c r="X257" s="88" t="str">
        <f t="shared" si="35"/>
        <v/>
      </c>
      <c r="Y257" s="88" t="str">
        <f t="shared" si="35"/>
        <v/>
      </c>
      <c r="Z257" s="88" t="str">
        <f t="shared" si="35"/>
        <v/>
      </c>
      <c r="AA257" s="88" t="str">
        <f t="shared" si="35"/>
        <v/>
      </c>
      <c r="AB257" s="88" t="str">
        <f t="shared" si="35"/>
        <v/>
      </c>
      <c r="AC257" s="88" t="str">
        <f t="shared" si="35"/>
        <v/>
      </c>
      <c r="AD257" s="88" t="str">
        <f t="shared" si="35"/>
        <v/>
      </c>
      <c r="AE257" s="88" t="str">
        <f t="shared" si="35"/>
        <v/>
      </c>
      <c r="AF257" s="88" t="str">
        <f t="shared" si="35"/>
        <v/>
      </c>
      <c r="AG257" s="179"/>
      <c r="AH257" s="179"/>
      <c r="AJ257"/>
    </row>
    <row r="258" spans="1:36" x14ac:dyDescent="0.25">
      <c r="A258" s="88" t="str">
        <f>A225</f>
        <v>MRS</v>
      </c>
      <c r="B258" s="88" t="str">
        <f t="shared" ref="B258:AF258" si="36">IF(B225&lt;100,"",B225-330)</f>
        <v/>
      </c>
      <c r="C258" s="88" t="str">
        <f t="shared" si="36"/>
        <v/>
      </c>
      <c r="D258" s="88" t="str">
        <f t="shared" si="36"/>
        <v/>
      </c>
      <c r="E258" s="88" t="str">
        <f t="shared" si="36"/>
        <v/>
      </c>
      <c r="F258" s="88" t="str">
        <f t="shared" si="36"/>
        <v/>
      </c>
      <c r="G258" s="88" t="str">
        <f t="shared" si="36"/>
        <v/>
      </c>
      <c r="H258" s="88" t="str">
        <f t="shared" si="36"/>
        <v/>
      </c>
      <c r="I258" s="88" t="str">
        <f t="shared" si="36"/>
        <v/>
      </c>
      <c r="J258" s="88" t="str">
        <f t="shared" si="36"/>
        <v/>
      </c>
      <c r="K258" s="88" t="str">
        <f t="shared" si="36"/>
        <v/>
      </c>
      <c r="L258" s="88" t="str">
        <f t="shared" si="36"/>
        <v/>
      </c>
      <c r="M258" s="88" t="str">
        <f t="shared" si="36"/>
        <v/>
      </c>
      <c r="N258" s="88" t="str">
        <f t="shared" si="36"/>
        <v/>
      </c>
      <c r="O258" s="88" t="str">
        <f t="shared" si="36"/>
        <v/>
      </c>
      <c r="P258" s="88" t="str">
        <f t="shared" si="36"/>
        <v/>
      </c>
      <c r="Q258" s="88" t="str">
        <f t="shared" si="36"/>
        <v/>
      </c>
      <c r="R258" s="88" t="str">
        <f t="shared" si="36"/>
        <v/>
      </c>
      <c r="S258" s="88" t="str">
        <f t="shared" si="36"/>
        <v/>
      </c>
      <c r="T258" s="88" t="str">
        <f t="shared" si="36"/>
        <v/>
      </c>
      <c r="U258" s="88" t="str">
        <f t="shared" si="36"/>
        <v/>
      </c>
      <c r="V258" s="88" t="str">
        <f t="shared" si="36"/>
        <v/>
      </c>
      <c r="W258" s="88" t="str">
        <f t="shared" si="36"/>
        <v/>
      </c>
      <c r="X258" s="88" t="str">
        <f t="shared" si="36"/>
        <v/>
      </c>
      <c r="Y258" s="88" t="str">
        <f t="shared" si="36"/>
        <v/>
      </c>
      <c r="Z258" s="88" t="str">
        <f t="shared" si="36"/>
        <v/>
      </c>
      <c r="AA258" s="88" t="str">
        <f t="shared" si="36"/>
        <v/>
      </c>
      <c r="AB258" s="88" t="str">
        <f t="shared" si="36"/>
        <v/>
      </c>
      <c r="AC258" s="88" t="str">
        <f t="shared" si="36"/>
        <v/>
      </c>
      <c r="AD258" s="88" t="str">
        <f t="shared" si="36"/>
        <v/>
      </c>
      <c r="AE258" s="88" t="str">
        <f t="shared" si="36"/>
        <v/>
      </c>
      <c r="AF258" s="88" t="str">
        <f t="shared" si="36"/>
        <v/>
      </c>
      <c r="AG258" s="179"/>
      <c r="AH258" s="179"/>
      <c r="AJ258"/>
    </row>
    <row r="259" spans="1:36" x14ac:dyDescent="0.25">
      <c r="A259" s="88" t="str">
        <f>A226</f>
        <v>KL 1</v>
      </c>
      <c r="B259" s="88" t="str">
        <f>IF(B226&lt;100,"",B226-1500)</f>
        <v/>
      </c>
      <c r="C259" s="88" t="str">
        <f t="shared" ref="C259:AF259" si="37">IF(C226&lt;100,"",C226-1500)</f>
        <v/>
      </c>
      <c r="D259" s="88" t="str">
        <f t="shared" si="37"/>
        <v/>
      </c>
      <c r="E259" s="88" t="str">
        <f t="shared" si="37"/>
        <v/>
      </c>
      <c r="F259" s="88" t="str">
        <f t="shared" si="37"/>
        <v/>
      </c>
      <c r="G259" s="88" t="str">
        <f t="shared" si="37"/>
        <v/>
      </c>
      <c r="H259" s="88" t="str">
        <f t="shared" si="37"/>
        <v/>
      </c>
      <c r="I259" s="88" t="str">
        <f t="shared" si="37"/>
        <v/>
      </c>
      <c r="J259" s="88" t="str">
        <f t="shared" si="37"/>
        <v/>
      </c>
      <c r="K259" s="88" t="str">
        <f t="shared" si="37"/>
        <v/>
      </c>
      <c r="L259" s="88" t="str">
        <f t="shared" si="37"/>
        <v/>
      </c>
      <c r="M259" s="88" t="str">
        <f t="shared" si="37"/>
        <v/>
      </c>
      <c r="N259" s="88" t="str">
        <f t="shared" si="37"/>
        <v/>
      </c>
      <c r="O259" s="88" t="str">
        <f t="shared" si="37"/>
        <v/>
      </c>
      <c r="P259" s="88" t="str">
        <f t="shared" si="37"/>
        <v/>
      </c>
      <c r="Q259" s="88" t="str">
        <f t="shared" si="37"/>
        <v/>
      </c>
      <c r="R259" s="88" t="str">
        <f t="shared" si="37"/>
        <v/>
      </c>
      <c r="S259" s="88" t="str">
        <f t="shared" si="37"/>
        <v/>
      </c>
      <c r="T259" s="88" t="str">
        <f t="shared" si="37"/>
        <v/>
      </c>
      <c r="U259" s="88" t="str">
        <f t="shared" si="37"/>
        <v/>
      </c>
      <c r="V259" s="88" t="str">
        <f t="shared" si="37"/>
        <v/>
      </c>
      <c r="W259" s="88" t="str">
        <f t="shared" si="37"/>
        <v/>
      </c>
      <c r="X259" s="88" t="str">
        <f t="shared" si="37"/>
        <v/>
      </c>
      <c r="Y259" s="88" t="str">
        <f t="shared" si="37"/>
        <v/>
      </c>
      <c r="Z259" s="88" t="str">
        <f t="shared" si="37"/>
        <v/>
      </c>
      <c r="AA259" s="88" t="str">
        <f t="shared" si="37"/>
        <v/>
      </c>
      <c r="AB259" s="88" t="str">
        <f t="shared" si="37"/>
        <v/>
      </c>
      <c r="AC259" s="88" t="str">
        <f t="shared" si="37"/>
        <v/>
      </c>
      <c r="AD259" s="88" t="str">
        <f t="shared" si="37"/>
        <v/>
      </c>
      <c r="AE259" s="88" t="str">
        <f t="shared" si="37"/>
        <v/>
      </c>
      <c r="AF259" s="88" t="str">
        <f t="shared" si="37"/>
        <v/>
      </c>
      <c r="AG259" s="179"/>
      <c r="AH259" s="179"/>
      <c r="AJ259"/>
    </row>
    <row r="260" spans="1:36" x14ac:dyDescent="0.25"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  <c r="AC260" s="179"/>
      <c r="AD260" s="179"/>
      <c r="AE260" s="179"/>
      <c r="AF260" s="179"/>
      <c r="AG260" s="179"/>
      <c r="AH260" s="179"/>
      <c r="AJ260"/>
    </row>
    <row r="261" spans="1:36" x14ac:dyDescent="0.25"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  <c r="AJ261"/>
    </row>
    <row r="262" spans="1:36" x14ac:dyDescent="0.25"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  <c r="AE262" s="179"/>
      <c r="AF262" s="179"/>
      <c r="AG262" s="179"/>
      <c r="AH262" s="179"/>
      <c r="AJ262"/>
    </row>
    <row r="263" spans="1:36" x14ac:dyDescent="0.25"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  <c r="AC263" s="179"/>
      <c r="AD263" s="179"/>
      <c r="AE263" s="179"/>
      <c r="AF263" s="179"/>
      <c r="AG263" s="179"/>
      <c r="AH263" s="179"/>
      <c r="AJ263"/>
    </row>
    <row r="264" spans="1:36" x14ac:dyDescent="0.25"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  <c r="AC264" s="179"/>
      <c r="AD264" s="179"/>
      <c r="AE264" s="179"/>
      <c r="AF264" s="179"/>
      <c r="AG264" s="179"/>
      <c r="AH264" s="179"/>
      <c r="AJ264"/>
    </row>
    <row r="265" spans="1:36" x14ac:dyDescent="0.25"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  <c r="AC265" s="179"/>
      <c r="AD265" s="179"/>
      <c r="AE265" s="179"/>
      <c r="AF265" s="179"/>
      <c r="AG265" s="179"/>
      <c r="AH265" s="179"/>
      <c r="AJ265"/>
    </row>
    <row r="266" spans="1:36" x14ac:dyDescent="0.25"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  <c r="AC266" s="179"/>
      <c r="AD266" s="179"/>
      <c r="AE266" s="179"/>
      <c r="AF266" s="179"/>
      <c r="AJ266"/>
    </row>
    <row r="490" spans="36:38" x14ac:dyDescent="0.25">
      <c r="AK490" s="1"/>
    </row>
    <row r="491" spans="36:38" x14ac:dyDescent="0.25">
      <c r="AK491" s="1"/>
      <c r="AL491" s="1"/>
    </row>
    <row r="492" spans="36:38" x14ac:dyDescent="0.25">
      <c r="AJ49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1:B23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3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D214:AF220 B214:B220 B212:AF212 U233:AF233 B9:AF10 C99:AF105 AB11:AF11">
    <cfRule type="expression" dxfId="3977" priority="229">
      <formula>B$9&gt;=20/24</formula>
    </cfRule>
    <cfRule type="expression" dxfId="3976" priority="230">
      <formula>AND(B$9&gt;=14/24,B$9&lt;20/24)</formula>
    </cfRule>
    <cfRule type="expression" dxfId="3975" priority="231">
      <formula>AND(B$9&gt;=8/24,B$9&lt;14/24)</formula>
    </cfRule>
    <cfRule type="expression" dxfId="3974" priority="232">
      <formula>B$9&lt;8/24</formula>
    </cfRule>
  </conditionalFormatting>
  <conditionalFormatting sqref="AL4:AL6">
    <cfRule type="iconSet" priority="228">
      <iconSet iconSet="3TrafficLights2" reverse="1">
        <cfvo type="percent" val="0"/>
        <cfvo type="num" val="1"/>
        <cfvo type="num" val="1"/>
      </iconSet>
    </cfRule>
  </conditionalFormatting>
  <conditionalFormatting sqref="AB37:AF37">
    <cfRule type="expression" dxfId="3973" priority="224">
      <formula>AB$9&gt;=20/24</formula>
    </cfRule>
    <cfRule type="expression" dxfId="3972" priority="225">
      <formula>AND(AB$9&gt;=14/24,AB$9&lt;20/24)</formula>
    </cfRule>
    <cfRule type="expression" dxfId="3971" priority="226">
      <formula>AND(AB$9&gt;=8/24,AB$9&lt;14/24)</formula>
    </cfRule>
    <cfRule type="expression" dxfId="3970" priority="227">
      <formula>AB$9&lt;8/24</formula>
    </cfRule>
  </conditionalFormatting>
  <conditionalFormatting sqref="AG55 B12:P16 Q11:AF16 B35:AF35 AB37:AF37">
    <cfRule type="expression" dxfId="3969" priority="223">
      <formula>B11&gt;$AG11</formula>
    </cfRule>
  </conditionalFormatting>
  <conditionalFormatting sqref="A89:A102 A11:A14 A49:A76 A85:A87 A190:A220 A16:A30 A36:A47 A106:A177 A32:A33 A81:A83 A78:A79">
    <cfRule type="expression" dxfId="3968" priority="222">
      <formula>$AH11=0</formula>
    </cfRule>
  </conditionalFormatting>
  <conditionalFormatting sqref="A103">
    <cfRule type="expression" dxfId="3967" priority="221">
      <formula>$AH103=0</formula>
    </cfRule>
  </conditionalFormatting>
  <conditionalFormatting sqref="AL33">
    <cfRule type="iconSet" priority="220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3966" priority="219">
      <formula>$AH35=0</formula>
    </cfRule>
  </conditionalFormatting>
  <conditionalFormatting sqref="A88">
    <cfRule type="expression" dxfId="3965" priority="218">
      <formula>$AH88=0</formula>
    </cfRule>
  </conditionalFormatting>
  <conditionalFormatting sqref="A15">
    <cfRule type="expression" dxfId="3964" priority="217">
      <formula>$AH15=0</formula>
    </cfRule>
  </conditionalFormatting>
  <conditionalFormatting sqref="A184:A189">
    <cfRule type="expression" dxfId="3963" priority="216">
      <formula>$AH184=0</formula>
    </cfRule>
  </conditionalFormatting>
  <conditionalFormatting sqref="A178:A183">
    <cfRule type="expression" dxfId="3962" priority="215">
      <formula>$AH178=0</formula>
    </cfRule>
  </conditionalFormatting>
  <conditionalFormatting sqref="A48">
    <cfRule type="expression" dxfId="3961" priority="214">
      <formula>$AH48=0</formula>
    </cfRule>
  </conditionalFormatting>
  <conditionalFormatting sqref="A84">
    <cfRule type="expression" dxfId="3960" priority="213">
      <formula>$AH84=0</formula>
    </cfRule>
  </conditionalFormatting>
  <conditionalFormatting sqref="C89:AF89">
    <cfRule type="expression" dxfId="3959" priority="209">
      <formula>C$9&gt;=20/24</formula>
    </cfRule>
    <cfRule type="expression" dxfId="3958" priority="210">
      <formula>AND(C$9&gt;=14/24,C$9&lt;20/24)</formula>
    </cfRule>
    <cfRule type="expression" dxfId="3957" priority="211">
      <formula>AND(C$9&gt;=8/24,C$9&lt;14/24)</formula>
    </cfRule>
    <cfRule type="expression" dxfId="3956" priority="212">
      <formula>C$9&lt;8/24</formula>
    </cfRule>
  </conditionalFormatting>
  <conditionalFormatting sqref="AL34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955" priority="235">
      <formula>C$9&gt;=20/24</formula>
    </cfRule>
    <cfRule type="expression" dxfId="3954" priority="236">
      <formula>AND(C$9&gt;=14/24,C$9&lt;20/24)</formula>
    </cfRule>
    <cfRule type="expression" dxfId="3953" priority="237">
      <formula>AND(C$9&gt;=8/24,C$9&lt;14/24)</formula>
    </cfRule>
    <cfRule type="expression" dxfId="3952" priority="238">
      <formula>C$9&lt;8/24</formula>
    </cfRule>
  </conditionalFormatting>
  <conditionalFormatting sqref="A221">
    <cfRule type="expression" dxfId="3951" priority="239">
      <formula>$AH221=0</formula>
    </cfRule>
  </conditionalFormatting>
  <conditionalFormatting sqref="AG233">
    <cfRule type="expression" dxfId="3950" priority="240">
      <formula>B$9&gt;=20/24</formula>
    </cfRule>
    <cfRule type="expression" dxfId="3949" priority="241">
      <formula>AND(B$9&gt;=14/24,B$9&lt;20/24)</formula>
    </cfRule>
    <cfRule type="expression" dxfId="3948" priority="242">
      <formula>AND(B$9&gt;=8/24,B$9&lt;14/24)</formula>
    </cfRule>
    <cfRule type="expression" dxfId="3947" priority="243">
      <formula>B$9&lt;8/24</formula>
    </cfRule>
  </conditionalFormatting>
  <conditionalFormatting sqref="S8">
    <cfRule type="expression" dxfId="3946" priority="204">
      <formula>U$9&gt;=20/24</formula>
    </cfRule>
    <cfRule type="expression" dxfId="3945" priority="205">
      <formula>AND(U$9&gt;=14/24,U$9&lt;20/24)</formula>
    </cfRule>
    <cfRule type="expression" dxfId="3944" priority="206">
      <formula>AND(U$9&gt;=8/24,U$9&lt;14/24)</formula>
    </cfRule>
    <cfRule type="expression" dxfId="3943" priority="207">
      <formula>U$9&lt;8/24</formula>
    </cfRule>
  </conditionalFormatting>
  <conditionalFormatting sqref="AB8">
    <cfRule type="expression" dxfId="3942" priority="200">
      <formula>AD$9&gt;=20/24</formula>
    </cfRule>
    <cfRule type="expression" dxfId="3941" priority="201">
      <formula>AND(AD$9&gt;=14/24,AD$9&lt;20/24)</formula>
    </cfRule>
    <cfRule type="expression" dxfId="3940" priority="202">
      <formula>AND(AD$9&gt;=8/24,AD$9&lt;14/24)</formula>
    </cfRule>
    <cfRule type="expression" dxfId="3939" priority="203">
      <formula>AD$9&lt;8/24</formula>
    </cfRule>
  </conditionalFormatting>
  <conditionalFormatting sqref="AH233:AX233">
    <cfRule type="expression" dxfId="3938" priority="244">
      <formula>AG$9&gt;=20/24</formula>
    </cfRule>
    <cfRule type="expression" dxfId="3937" priority="245">
      <formula>AND(AG$9&gt;=14/24,AG$9&lt;20/24)</formula>
    </cfRule>
    <cfRule type="expression" dxfId="3936" priority="246">
      <formula>AND(AG$9&gt;=8/24,AG$9&lt;14/24)</formula>
    </cfRule>
    <cfRule type="expression" dxfId="3935" priority="247">
      <formula>AG$9&lt;8/24</formula>
    </cfRule>
  </conditionalFormatting>
  <conditionalFormatting sqref="T233">
    <cfRule type="expression" dxfId="3934" priority="248">
      <formula>AX$9&gt;=20/24</formula>
    </cfRule>
    <cfRule type="expression" dxfId="3933" priority="249">
      <formula>AND(AX$9&gt;=14/24,AX$9&lt;20/24)</formula>
    </cfRule>
    <cfRule type="expression" dxfId="3932" priority="250">
      <formula>AND(AX$9&gt;=8/24,AX$9&lt;14/24)</formula>
    </cfRule>
    <cfRule type="expression" dxfId="3931" priority="251">
      <formula>AX$9&lt;8/24</formula>
    </cfRule>
  </conditionalFormatting>
  <conditionalFormatting sqref="A104:A105">
    <cfRule type="expression" dxfId="3930" priority="199">
      <formula>$AH104=0</formula>
    </cfRule>
  </conditionalFormatting>
  <conditionalFormatting sqref="E44:L45 E61:AF61 AB36:AF36 S44:AF45">
    <cfRule type="expression" dxfId="3929" priority="195">
      <formula>E$9&gt;=20/24</formula>
    </cfRule>
    <cfRule type="expression" dxfId="3928" priority="196">
      <formula>AND(E$9&gt;=14/24,E$9&lt;20/24)</formula>
    </cfRule>
    <cfRule type="expression" dxfId="3927" priority="197">
      <formula>AND(E$9&gt;=8/24,E$9&lt;14/24)</formula>
    </cfRule>
    <cfRule type="expression" dxfId="3926" priority="198">
      <formula>E$9&lt;8/24</formula>
    </cfRule>
  </conditionalFormatting>
  <conditionalFormatting sqref="E43:L43 S43:AF43">
    <cfRule type="expression" dxfId="3925" priority="191">
      <formula>E$9&gt;=20/24</formula>
    </cfRule>
    <cfRule type="expression" dxfId="3924" priority="192">
      <formula>AND(E$9&gt;=14/24,E$9&lt;20/24)</formula>
    </cfRule>
    <cfRule type="expression" dxfId="3923" priority="193">
      <formula>AND(E$9&gt;=8/24,E$9&lt;14/24)</formula>
    </cfRule>
    <cfRule type="expression" dxfId="3922" priority="194">
      <formula>E$9&lt;8/24</formula>
    </cfRule>
  </conditionalFormatting>
  <conditionalFormatting sqref="E43:L45 AB36:AF36 S43:AF45">
    <cfRule type="expression" dxfId="3921" priority="190">
      <formula>E36&gt;$AG36</formula>
    </cfRule>
  </conditionalFormatting>
  <conditionalFormatting sqref="Q36:R36 C86:AF86 M37:R37 I62:R63 E62:H67 M64:R71 I64:L67 E71:L71 Q11:AA14 S36:AA37 AB12:AF14 Q16:AF16 Q18:AF22 Q32:AF32 Q28:AF30 S62:AF71 C73:AF76 C90:AF96 C57:AF59 Q24:AF26">
    <cfRule type="expression" dxfId="3920" priority="186">
      <formula>C$9&gt;=20/24</formula>
    </cfRule>
    <cfRule type="expression" dxfId="3919" priority="187">
      <formula>AND(C$9&gt;=14/24,C$9&lt;20/24)</formula>
    </cfRule>
    <cfRule type="expression" dxfId="3918" priority="188">
      <formula>AND(C$9&gt;=8/24,C$9&lt;14/24)</formula>
    </cfRule>
    <cfRule type="expression" dxfId="3917" priority="189">
      <formula>C$9&lt;8/24</formula>
    </cfRule>
  </conditionalFormatting>
  <conditionalFormatting sqref="Q33:AF33">
    <cfRule type="expression" dxfId="3916" priority="182">
      <formula>Q$9&gt;=20/24</formula>
    </cfRule>
    <cfRule type="expression" dxfId="3915" priority="183">
      <formula>AND(Q$9&gt;=14/24,Q$9&lt;20/24)</formula>
    </cfRule>
    <cfRule type="expression" dxfId="3914" priority="184">
      <formula>AND(Q$9&gt;=8/24,Q$9&lt;14/24)</formula>
    </cfRule>
    <cfRule type="expression" dxfId="3913" priority="185">
      <formula>Q$9&lt;8/24</formula>
    </cfRule>
  </conditionalFormatting>
  <conditionalFormatting sqref="Q36:R36 C55:AF55 K46:L46 E46:J47 C37:R37 L47:L48 K47 Q11:AA11 S36:AA37 Q18:AF22 Q32:AF33 AB46:AF47 C57:AF59 Q24:AF30">
    <cfRule type="expression" dxfId="3912" priority="181">
      <formula>C11&gt;$AG11</formula>
    </cfRule>
  </conditionalFormatting>
  <conditionalFormatting sqref="Q35:AF35">
    <cfRule type="expression" dxfId="3911" priority="177">
      <formula>Q$9&gt;=20/24</formula>
    </cfRule>
    <cfRule type="expression" dxfId="3910" priority="178">
      <formula>AND(Q$9&gt;=14/24,Q$9&lt;20/24)</formula>
    </cfRule>
    <cfRule type="expression" dxfId="3909" priority="179">
      <formula>AND(Q$9&gt;=8/24,Q$9&lt;14/24)</formula>
    </cfRule>
    <cfRule type="expression" dxfId="3908" priority="180">
      <formula>Q$9&lt;8/24</formula>
    </cfRule>
  </conditionalFormatting>
  <conditionalFormatting sqref="Q15:AF15">
    <cfRule type="expression" dxfId="3907" priority="173">
      <formula>Q$9&gt;=20/24</formula>
    </cfRule>
    <cfRule type="expression" dxfId="3906" priority="174">
      <formula>AND(Q$9&gt;=14/24,Q$9&lt;20/24)</formula>
    </cfRule>
    <cfRule type="expression" dxfId="3905" priority="175">
      <formula>AND(Q$9&gt;=8/24,Q$9&lt;14/24)</formula>
    </cfRule>
    <cfRule type="expression" dxfId="3904" priority="176">
      <formula>Q$9&lt;8/24</formula>
    </cfRule>
  </conditionalFormatting>
  <conditionalFormatting sqref="Q34:AF34">
    <cfRule type="expression" dxfId="3903" priority="169">
      <formula>Q$9&gt;=20/24</formula>
    </cfRule>
    <cfRule type="expression" dxfId="3902" priority="170">
      <formula>AND(Q$9&gt;=14/24,Q$9&lt;20/24)</formula>
    </cfRule>
    <cfRule type="expression" dxfId="3901" priority="171">
      <formula>AND(Q$9&gt;=8/24,Q$9&lt;14/24)</formula>
    </cfRule>
    <cfRule type="expression" dxfId="3900" priority="172">
      <formula>Q$9&lt;8/24</formula>
    </cfRule>
  </conditionalFormatting>
  <conditionalFormatting sqref="Q34:AF34">
    <cfRule type="expression" dxfId="3899" priority="168">
      <formula>Q34&gt;$AG34</formula>
    </cfRule>
  </conditionalFormatting>
  <conditionalFormatting sqref="AB48:AF54">
    <cfRule type="expression" dxfId="3898" priority="160">
      <formula>AB$9&gt;=20/24</formula>
    </cfRule>
    <cfRule type="expression" dxfId="3897" priority="161">
      <formula>AND(AB$9&gt;=14/24,AB$9&lt;20/24)</formula>
    </cfRule>
    <cfRule type="expression" dxfId="3896" priority="162">
      <formula>AND(AB$9&gt;=8/24,AB$9&lt;14/24)</formula>
    </cfRule>
    <cfRule type="expression" dxfId="3895" priority="163">
      <formula>AB$9&lt;8/24</formula>
    </cfRule>
  </conditionalFormatting>
  <conditionalFormatting sqref="AB48:AF54">
    <cfRule type="expression" dxfId="3894" priority="159">
      <formula>AB48&gt;$AG48</formula>
    </cfRule>
  </conditionalFormatting>
  <conditionalFormatting sqref="R43:R54 S46:AA54">
    <cfRule type="expression" dxfId="3893" priority="155">
      <formula>R$9&gt;=20/24</formula>
    </cfRule>
    <cfRule type="expression" dxfId="3892" priority="156">
      <formula>AND(R$9&gt;=14/24,R$9&lt;20/24)</formula>
    </cfRule>
    <cfRule type="expression" dxfId="3891" priority="157">
      <formula>AND(R$9&gt;=8/24,R$9&lt;14/24)</formula>
    </cfRule>
    <cfRule type="expression" dxfId="3890" priority="158">
      <formula>R$9&lt;8/24</formula>
    </cfRule>
  </conditionalFormatting>
  <conditionalFormatting sqref="R43:R54 S46:AA54">
    <cfRule type="expression" dxfId="3889" priority="154">
      <formula>R43&gt;$AG43</formula>
    </cfRule>
  </conditionalFormatting>
  <conditionalFormatting sqref="Q27:AF27">
    <cfRule type="expression" dxfId="3888" priority="150">
      <formula>Q$9&gt;=20/24</formula>
    </cfRule>
    <cfRule type="expression" dxfId="3887" priority="151">
      <formula>AND(Q$9&gt;=14/24,Q$9&lt;20/24)</formula>
    </cfRule>
    <cfRule type="expression" dxfId="3886" priority="152">
      <formula>AND(Q$9&gt;=8/24,Q$9&lt;14/24)</formula>
    </cfRule>
    <cfRule type="expression" dxfId="3885" priority="153">
      <formula>Q$9&lt;8/24</formula>
    </cfRule>
  </conditionalFormatting>
  <conditionalFormatting sqref="Q17:AF17 Q23:AF23">
    <cfRule type="expression" dxfId="3884" priority="146">
      <formula>Q$9&gt;=20/24</formula>
    </cfRule>
    <cfRule type="expression" dxfId="3883" priority="147">
      <formula>AND(Q$9&gt;=14/24,Q$9&lt;20/24)</formula>
    </cfRule>
    <cfRule type="expression" dxfId="3882" priority="148">
      <formula>AND(Q$9&gt;=8/24,Q$9&lt;14/24)</formula>
    </cfRule>
    <cfRule type="expression" dxfId="3881" priority="149">
      <formula>Q$9&lt;8/24</formula>
    </cfRule>
  </conditionalFormatting>
  <conditionalFormatting sqref="Q17:AF17 Q23:AF23">
    <cfRule type="expression" dxfId="3880" priority="141">
      <formula>Q17&gt;$AG17</formula>
    </cfRule>
  </conditionalFormatting>
  <conditionalFormatting sqref="E68:L70">
    <cfRule type="expression" dxfId="3879" priority="115">
      <formula>E$9&gt;=20/24</formula>
    </cfRule>
    <cfRule type="expression" dxfId="3878" priority="116">
      <formula>AND(E$9&gt;=14/24,E$9&lt;20/24)</formula>
    </cfRule>
    <cfRule type="expression" dxfId="3877" priority="117">
      <formula>AND(E$9&gt;=8/24,E$9&lt;14/24)</formula>
    </cfRule>
    <cfRule type="expression" dxfId="3876" priority="118">
      <formula>E$9&lt;8/24</formula>
    </cfRule>
  </conditionalFormatting>
  <conditionalFormatting sqref="L49:L52">
    <cfRule type="expression" dxfId="3875" priority="109">
      <formula>L49&gt;$AG49</formula>
    </cfRule>
  </conditionalFormatting>
  <conditionalFormatting sqref="L49:L52">
    <cfRule type="expression" dxfId="3874" priority="110">
      <formula>L$9&gt;=20/24</formula>
    </cfRule>
    <cfRule type="expression" dxfId="3873" priority="111">
      <formula>AND(L$9&gt;=14/24,L$9&lt;20/24)</formula>
    </cfRule>
    <cfRule type="expression" dxfId="3872" priority="112">
      <formula>AND(L$9&gt;=8/24,L$9&lt;14/24)</formula>
    </cfRule>
    <cfRule type="expression" dxfId="3871" priority="113">
      <formula>L$9&lt;8/24</formula>
    </cfRule>
  </conditionalFormatting>
  <conditionalFormatting sqref="B99:B105 B78:AF78 B87:AF87 B11:P11">
    <cfRule type="expression" dxfId="3870" priority="96">
      <formula>B$9&gt;=20/24</formula>
    </cfRule>
    <cfRule type="expression" dxfId="3869" priority="97">
      <formula>AND(B$9&gt;=14/24,B$9&lt;20/24)</formula>
    </cfRule>
    <cfRule type="expression" dxfId="3868" priority="98">
      <formula>AND(B$9&gt;=8/24,B$9&lt;14/24)</formula>
    </cfRule>
    <cfRule type="expression" dxfId="3867" priority="99">
      <formula>B$9&lt;8/24</formula>
    </cfRule>
  </conditionalFormatting>
  <conditionalFormatting sqref="B37">
    <cfRule type="expression" dxfId="3866" priority="92">
      <formula>B$9&gt;=20/24</formula>
    </cfRule>
    <cfRule type="expression" dxfId="3865" priority="93">
      <formula>AND(B$9&gt;=14/24,B$9&lt;20/24)</formula>
    </cfRule>
    <cfRule type="expression" dxfId="3864" priority="94">
      <formula>AND(B$9&gt;=8/24,B$9&lt;14/24)</formula>
    </cfRule>
    <cfRule type="expression" dxfId="3863" priority="95">
      <formula>B$9&lt;8/24</formula>
    </cfRule>
  </conditionalFormatting>
  <conditionalFormatting sqref="B37 B11:P11">
    <cfRule type="expression" dxfId="3862" priority="91">
      <formula>B11&gt;$AG11</formula>
    </cfRule>
  </conditionalFormatting>
  <conditionalFormatting sqref="B89">
    <cfRule type="expression" dxfId="3861" priority="87">
      <formula>B$9&gt;=20/24</formula>
    </cfRule>
    <cfRule type="expression" dxfId="3860" priority="88">
      <formula>AND(B$9&gt;=14/24,B$9&lt;20/24)</formula>
    </cfRule>
    <cfRule type="expression" dxfId="3859" priority="89">
      <formula>AND(B$9&gt;=8/24,B$9&lt;14/24)</formula>
    </cfRule>
    <cfRule type="expression" dxfId="3858" priority="90">
      <formula>B$9&lt;8/24</formula>
    </cfRule>
  </conditionalFormatting>
  <conditionalFormatting sqref="B44:D45 B61:D61 B36:P36">
    <cfRule type="expression" dxfId="3857" priority="83">
      <formula>B$9&gt;=20/24</formula>
    </cfRule>
    <cfRule type="expression" dxfId="3856" priority="84">
      <formula>AND(B$9&gt;=14/24,B$9&lt;20/24)</formula>
    </cfRule>
    <cfRule type="expression" dxfId="3855" priority="85">
      <formula>AND(B$9&gt;=8/24,B$9&lt;14/24)</formula>
    </cfRule>
    <cfRule type="expression" dxfId="3854" priority="86">
      <formula>B$9&lt;8/24</formula>
    </cfRule>
  </conditionalFormatting>
  <conditionalFormatting sqref="B43:D43">
    <cfRule type="expression" dxfId="3853" priority="79">
      <formula>B$9&gt;=20/24</formula>
    </cfRule>
    <cfRule type="expression" dxfId="3852" priority="80">
      <formula>AND(B$9&gt;=14/24,B$9&lt;20/24)</formula>
    </cfRule>
    <cfRule type="expression" dxfId="3851" priority="81">
      <formula>AND(B$9&gt;=8/24,B$9&lt;14/24)</formula>
    </cfRule>
    <cfRule type="expression" dxfId="3850" priority="82">
      <formula>B$9&lt;8/24</formula>
    </cfRule>
  </conditionalFormatting>
  <conditionalFormatting sqref="B43:D45 B36:P36">
    <cfRule type="expression" dxfId="3849" priority="78">
      <formula>B36&gt;$AG36</formula>
    </cfRule>
  </conditionalFormatting>
  <conditionalFormatting sqref="B90:B96 B57:B60 B73:B77 B79:AF79 B86 C60:AG60 C77:AG77 B88:AF88 B62:D71 B12:P14 B16:P16 B18:P22 B24:P26 B32:P32 B28:P30">
    <cfRule type="expression" dxfId="3848" priority="74">
      <formula>B$9&gt;=20/24</formula>
    </cfRule>
    <cfRule type="expression" dxfId="3847" priority="75">
      <formula>AND(B$9&gt;=14/24,B$9&lt;20/24)</formula>
    </cfRule>
    <cfRule type="expression" dxfId="3846" priority="76">
      <formula>AND(B$9&gt;=8/24,B$9&lt;14/24)</formula>
    </cfRule>
    <cfRule type="expression" dxfId="3845" priority="77">
      <formula>B$9&lt;8/24</formula>
    </cfRule>
  </conditionalFormatting>
  <conditionalFormatting sqref="B33:P33">
    <cfRule type="expression" dxfId="3844" priority="70">
      <formula>B$9&gt;=20/24</formula>
    </cfRule>
    <cfRule type="expression" dxfId="3843" priority="71">
      <formula>AND(B$9&gt;=14/24,B$9&lt;20/24)</formula>
    </cfRule>
    <cfRule type="expression" dxfId="3842" priority="72">
      <formula>AND(B$9&gt;=8/24,B$9&lt;14/24)</formula>
    </cfRule>
    <cfRule type="expression" dxfId="3841" priority="73">
      <formula>B$9&lt;8/24</formula>
    </cfRule>
  </conditionalFormatting>
  <conditionalFormatting sqref="B55:B60 B38:AG38 C56:AG56 C60:AG60 B46:D47 B18:P22 B32:P33 B24:P30">
    <cfRule type="expression" dxfId="3840" priority="69">
      <formula>B18&gt;$AG18</formula>
    </cfRule>
  </conditionalFormatting>
  <conditionalFormatting sqref="B35:P35">
    <cfRule type="expression" dxfId="3839" priority="65">
      <formula>B$9&gt;=20/24</formula>
    </cfRule>
    <cfRule type="expression" dxfId="3838" priority="66">
      <formula>AND(B$9&gt;=14/24,B$9&lt;20/24)</formula>
    </cfRule>
    <cfRule type="expression" dxfId="3837" priority="67">
      <formula>AND(B$9&gt;=8/24,B$9&lt;14/24)</formula>
    </cfRule>
    <cfRule type="expression" dxfId="3836" priority="68">
      <formula>B$9&lt;8/24</formula>
    </cfRule>
  </conditionalFormatting>
  <conditionalFormatting sqref="B15:P15">
    <cfRule type="expression" dxfId="3835" priority="61">
      <formula>B$9&gt;=20/24</formula>
    </cfRule>
    <cfRule type="expression" dxfId="3834" priority="62">
      <formula>AND(B$9&gt;=14/24,B$9&lt;20/24)</formula>
    </cfRule>
    <cfRule type="expression" dxfId="3833" priority="63">
      <formula>AND(B$9&gt;=8/24,B$9&lt;14/24)</formula>
    </cfRule>
    <cfRule type="expression" dxfId="3832" priority="64">
      <formula>B$9&lt;8/24</formula>
    </cfRule>
  </conditionalFormatting>
  <conditionalFormatting sqref="B34:P34">
    <cfRule type="expression" dxfId="3831" priority="57">
      <formula>B$9&gt;=20/24</formula>
    </cfRule>
    <cfRule type="expression" dxfId="3830" priority="58">
      <formula>AND(B$9&gt;=14/24,B$9&lt;20/24)</formula>
    </cfRule>
    <cfRule type="expression" dxfId="3829" priority="59">
      <formula>AND(B$9&gt;=8/24,B$9&lt;14/24)</formula>
    </cfRule>
    <cfRule type="expression" dxfId="3828" priority="60">
      <formula>B$9&lt;8/24</formula>
    </cfRule>
  </conditionalFormatting>
  <conditionalFormatting sqref="B34:P34">
    <cfRule type="expression" dxfId="3827" priority="56">
      <formula>B34&gt;$AG34</formula>
    </cfRule>
  </conditionalFormatting>
  <conditionalFormatting sqref="B48:K54 L53:L54">
    <cfRule type="expression" dxfId="3826" priority="52">
      <formula>B$9&gt;=20/24</formula>
    </cfRule>
    <cfRule type="expression" dxfId="3825" priority="53">
      <formula>AND(B$9&gt;=14/24,B$9&lt;20/24)</formula>
    </cfRule>
    <cfRule type="expression" dxfId="3824" priority="54">
      <formula>AND(B$9&gt;=8/24,B$9&lt;14/24)</formula>
    </cfRule>
    <cfRule type="expression" dxfId="3823" priority="55">
      <formula>B$9&lt;8/24</formula>
    </cfRule>
  </conditionalFormatting>
  <conditionalFormatting sqref="B48:K54 L53:L54">
    <cfRule type="expression" dxfId="3822" priority="51">
      <formula>B48&gt;$AG48</formula>
    </cfRule>
  </conditionalFormatting>
  <conditionalFormatting sqref="B27:P27">
    <cfRule type="expression" dxfId="3821" priority="47">
      <formula>B$9&gt;=20/24</formula>
    </cfRule>
    <cfRule type="expression" dxfId="3820" priority="48">
      <formula>AND(B$9&gt;=14/24,B$9&lt;20/24)</formula>
    </cfRule>
    <cfRule type="expression" dxfId="3819" priority="49">
      <formula>AND(B$9&gt;=8/24,B$9&lt;14/24)</formula>
    </cfRule>
    <cfRule type="expression" dxfId="3818" priority="50">
      <formula>B$9&lt;8/24</formula>
    </cfRule>
  </conditionalFormatting>
  <conditionalFormatting sqref="B17:P17 B23:P23">
    <cfRule type="expression" dxfId="3817" priority="43">
      <formula>B$9&gt;=20/24</formula>
    </cfRule>
    <cfRule type="expression" dxfId="3816" priority="44">
      <formula>AND(B$9&gt;=14/24,B$9&lt;20/24)</formula>
    </cfRule>
    <cfRule type="expression" dxfId="3815" priority="45">
      <formula>AND(B$9&gt;=8/24,B$9&lt;14/24)</formula>
    </cfRule>
    <cfRule type="expression" dxfId="3814" priority="46">
      <formula>B$9&lt;8/24</formula>
    </cfRule>
  </conditionalFormatting>
  <conditionalFormatting sqref="B17:P17 B23:P23">
    <cfRule type="expression" dxfId="3813" priority="42">
      <formula>B17&gt;$AG17</formula>
    </cfRule>
  </conditionalFormatting>
  <conditionalFormatting sqref="A34">
    <cfRule type="expression" dxfId="3812" priority="41">
      <formula>$AH34=0</formula>
    </cfRule>
  </conditionalFormatting>
  <conditionalFormatting sqref="B72:AF72">
    <cfRule type="expression" dxfId="3811" priority="37">
      <formula>B$9&gt;=20/24</formula>
    </cfRule>
    <cfRule type="expression" dxfId="3810" priority="38">
      <formula>AND(B$9&gt;=14/24,B$9&lt;20/24)</formula>
    </cfRule>
    <cfRule type="expression" dxfId="3809" priority="39">
      <formula>AND(B$9&gt;=8/24,B$9&lt;14/24)</formula>
    </cfRule>
    <cfRule type="expression" dxfId="3808" priority="40">
      <formula>B$9&lt;8/24</formula>
    </cfRule>
  </conditionalFormatting>
  <conditionalFormatting sqref="B81:AF85">
    <cfRule type="expression" dxfId="3807" priority="33">
      <formula>B$9&gt;=20/24</formula>
    </cfRule>
    <cfRule type="expression" dxfId="3806" priority="34">
      <formula>AND(B$9&gt;=14/24,B$9&lt;20/24)</formula>
    </cfRule>
    <cfRule type="expression" dxfId="3805" priority="35">
      <formula>AND(B$9&gt;=8/24,B$9&lt;14/24)</formula>
    </cfRule>
    <cfRule type="expression" dxfId="3804" priority="36">
      <formula>B$9&lt;8/24</formula>
    </cfRule>
  </conditionalFormatting>
  <conditionalFormatting sqref="AL35 AL7:AL30 AL32">
    <cfRule type="iconSet" priority="252">
      <iconSet iconSet="3TrafficLights2" reverse="1">
        <cfvo type="percent" val="0"/>
        <cfvo type="num" val="1"/>
        <cfvo type="num" val="1"/>
      </iconSet>
    </cfRule>
  </conditionalFormatting>
  <conditionalFormatting sqref="I39:AF41">
    <cfRule type="expression" dxfId="3803" priority="29">
      <formula>I$9&gt;=20/24</formula>
    </cfRule>
    <cfRule type="expression" dxfId="3802" priority="30">
      <formula>AND(I$9&gt;=14/24,I$9&lt;20/24)</formula>
    </cfRule>
    <cfRule type="expression" dxfId="3801" priority="31">
      <formula>AND(I$9&gt;=8/24,I$9&lt;14/24)</formula>
    </cfRule>
    <cfRule type="expression" dxfId="3800" priority="32">
      <formula>I$9&lt;8/24</formula>
    </cfRule>
  </conditionalFormatting>
  <conditionalFormatting sqref="I39:AF41">
    <cfRule type="expression" dxfId="3799" priority="28">
      <formula>I39&gt;$AG39</formula>
    </cfRule>
  </conditionalFormatting>
  <conditionalFormatting sqref="B39:B42 C42:AG42 C39:H41">
    <cfRule type="expression" dxfId="3798" priority="24">
      <formula>B$9&gt;=20/24</formula>
    </cfRule>
    <cfRule type="expression" dxfId="3797" priority="25">
      <formula>AND(B$9&gt;=14/24,B$9&lt;20/24)</formula>
    </cfRule>
    <cfRule type="expression" dxfId="3796" priority="26">
      <formula>AND(B$9&gt;=8/24,B$9&lt;14/24)</formula>
    </cfRule>
    <cfRule type="expression" dxfId="3795" priority="27">
      <formula>B$9&lt;8/24</formula>
    </cfRule>
  </conditionalFormatting>
  <conditionalFormatting sqref="B39:B42 C42:AG42 C39:H41">
    <cfRule type="expression" dxfId="3794" priority="23">
      <formula>B39&gt;$AG39</formula>
    </cfRule>
  </conditionalFormatting>
  <conditionalFormatting sqref="C97:AF97">
    <cfRule type="expression" dxfId="3793" priority="19">
      <formula>C$9&gt;=20/24</formula>
    </cfRule>
    <cfRule type="expression" dxfId="3792" priority="20">
      <formula>AND(C$9&gt;=14/24,C$9&lt;20/24)</formula>
    </cfRule>
    <cfRule type="expression" dxfId="3791" priority="21">
      <formula>AND(C$9&gt;=8/24,C$9&lt;14/24)</formula>
    </cfRule>
    <cfRule type="expression" dxfId="3790" priority="22">
      <formula>C$9&lt;8/24</formula>
    </cfRule>
  </conditionalFormatting>
  <conditionalFormatting sqref="B97">
    <cfRule type="expression" dxfId="3789" priority="15">
      <formula>B$9&gt;=20/24</formula>
    </cfRule>
    <cfRule type="expression" dxfId="3788" priority="16">
      <formula>AND(B$9&gt;=14/24,B$9&lt;20/24)</formula>
    </cfRule>
    <cfRule type="expression" dxfId="3787" priority="17">
      <formula>AND(B$9&gt;=8/24,B$9&lt;14/24)</formula>
    </cfRule>
    <cfRule type="expression" dxfId="3786" priority="18">
      <formula>B$9&lt;8/24</formula>
    </cfRule>
  </conditionalFormatting>
  <conditionalFormatting sqref="AL31">
    <cfRule type="iconSet" priority="14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3785" priority="8">
      <formula>$AH31=0</formula>
    </cfRule>
  </conditionalFormatting>
  <conditionalFormatting sqref="A80">
    <cfRule type="expression" dxfId="3784" priority="6">
      <formula>$AH80=0</formula>
    </cfRule>
  </conditionalFormatting>
  <conditionalFormatting sqref="A77">
    <cfRule type="expression" dxfId="3783" priority="7">
      <formula>$AH77=0</formula>
    </cfRule>
  </conditionalFormatting>
  <conditionalFormatting sqref="M43:Q54">
    <cfRule type="expression" dxfId="3782" priority="2">
      <formula>M$9&gt;=20/24</formula>
    </cfRule>
    <cfRule type="expression" dxfId="3781" priority="3">
      <formula>AND(M$9&gt;=14/24,M$9&lt;20/24)</formula>
    </cfRule>
    <cfRule type="expression" dxfId="3780" priority="4">
      <formula>AND(M$9&gt;=8/24,M$9&lt;14/24)</formula>
    </cfRule>
    <cfRule type="expression" dxfId="3779" priority="5">
      <formula>M$9&lt;8/24</formula>
    </cfRule>
  </conditionalFormatting>
  <conditionalFormatting sqref="M43:Q54">
    <cfRule type="expression" dxfId="3778" priority="1">
      <formula>M43&gt;$AG43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D75F796E-85FD-4BF2-B3DA-96A8DAEE0772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" id="{39D32A0C-BD8B-4F35-8398-4713109C22F8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" id="{228E95FC-A942-45F1-A7B6-7F59ADC5B102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" id="{31287C22-0408-4ABB-A5AB-0406F00AE8D5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9" id="{D7C95DE6-FF2F-4F5C-9451-F6F18AA0090F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P84" sqref="P84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2079/02/16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("&amp;ROUND(B237,0)&amp;" MW)"&amp;"    IPP   = "&amp;ROUND(B232,0)&amp;" MW     NEA RoR = "&amp;ROUND(B233,0)&amp;" MWImport   = "&amp;ROUND(B235,0)&amp;" MW      KL1+KL2+K3 = "&amp;ROUND(B234,0) &amp;" MW    EXPORT = "&amp;ROUND(B236,0)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0</v>
      </c>
      <c r="C5" s="32">
        <f t="shared" si="0"/>
        <v>0</v>
      </c>
      <c r="D5" s="32">
        <f t="shared" si="0"/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0</v>
      </c>
      <c r="O5" s="32">
        <f t="shared" si="0"/>
        <v>19.8</v>
      </c>
      <c r="P5" s="32">
        <f t="shared" si="0"/>
        <v>0</v>
      </c>
      <c r="Q5" s="32">
        <f t="shared" si="0"/>
        <v>0</v>
      </c>
      <c r="R5" s="32">
        <f t="shared" si="0"/>
        <v>0</v>
      </c>
      <c r="S5" s="32">
        <f t="shared" si="0"/>
        <v>0</v>
      </c>
      <c r="T5" s="32">
        <f t="shared" si="0"/>
        <v>0</v>
      </c>
      <c r="U5" s="32">
        <f t="shared" si="0"/>
        <v>0</v>
      </c>
      <c r="V5" s="32">
        <f t="shared" si="0"/>
        <v>0</v>
      </c>
      <c r="W5" s="32">
        <f t="shared" si="0"/>
        <v>0</v>
      </c>
      <c r="X5" s="32">
        <f t="shared" si="0"/>
        <v>0</v>
      </c>
      <c r="Y5" s="32">
        <f t="shared" si="0"/>
        <v>0</v>
      </c>
      <c r="Z5" s="32">
        <f t="shared" si="0"/>
        <v>0</v>
      </c>
      <c r="AA5" s="32">
        <f t="shared" si="0"/>
        <v>0</v>
      </c>
      <c r="AB5" s="32">
        <f t="shared" si="0"/>
        <v>0</v>
      </c>
      <c r="AC5" s="32">
        <f t="shared" si="0"/>
        <v>0</v>
      </c>
      <c r="AD5" s="32">
        <f t="shared" si="0"/>
        <v>0</v>
      </c>
      <c r="AE5" s="32">
        <f t="shared" si="0"/>
        <v>0</v>
      </c>
      <c r="AF5" s="32">
        <f>B72</f>
        <v>3.9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"&amp;ROUND(B237,0)&amp;"MW at "&amp;TRUNC(B238*24,0)&amp;":"&amp;ROUND((B238*24-TRUNC(B238*24,0))*60,0)&amp;"hr at "&amp;ROUND(B239,1)&amp;"Hz     "&amp;A229&amp;" "&amp;ROUND(B229,0)&amp;"MW at "&amp;TRUNC(C229*24,0)&amp;":"&amp;ROUND((C229*24-TRUNC(C229*24,0))*6,0)&amp;"0hr"</f>
        <v>Evening Peak 0MW at 0:0hr at 0Hz     Morning Peak 1700MW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Load=1567</v>
      </c>
      <c r="B7" s="37">
        <f>B79</f>
        <v>1651.44</v>
      </c>
      <c r="C7" s="37">
        <f t="shared" ref="C7:AF7" si="1">C79</f>
        <v>1660.24</v>
      </c>
      <c r="D7" s="37">
        <f t="shared" si="1"/>
        <v>1608.6399999999999</v>
      </c>
      <c r="E7" s="37">
        <f t="shared" si="1"/>
        <v>1596.84</v>
      </c>
      <c r="F7" s="37">
        <f t="shared" si="1"/>
        <v>1571.44</v>
      </c>
      <c r="G7" s="37">
        <f t="shared" si="1"/>
        <v>1571.44</v>
      </c>
      <c r="H7" s="37">
        <f t="shared" si="1"/>
        <v>1566.8400000000001</v>
      </c>
      <c r="I7" s="37">
        <f t="shared" si="1"/>
        <v>1582.94</v>
      </c>
      <c r="J7" s="37">
        <f t="shared" si="1"/>
        <v>1582.94</v>
      </c>
      <c r="K7" s="37">
        <f t="shared" si="1"/>
        <v>1582.94</v>
      </c>
      <c r="L7" s="37">
        <f t="shared" si="1"/>
        <v>1595.54</v>
      </c>
      <c r="M7" s="37">
        <f t="shared" si="1"/>
        <v>1677.1399999999999</v>
      </c>
      <c r="N7" s="37">
        <f t="shared" si="1"/>
        <v>1700.44</v>
      </c>
      <c r="O7" s="37">
        <f t="shared" si="1"/>
        <v>1674.64</v>
      </c>
      <c r="P7" s="37">
        <f t="shared" si="1"/>
        <v>1706.44</v>
      </c>
      <c r="Q7" s="37">
        <f t="shared" si="1"/>
        <v>1747.14</v>
      </c>
      <c r="R7" s="37">
        <f t="shared" si="1"/>
        <v>1730.54</v>
      </c>
      <c r="S7" s="37">
        <f t="shared" si="1"/>
        <v>1730.74</v>
      </c>
      <c r="T7" s="37">
        <f t="shared" si="1"/>
        <v>1737.44</v>
      </c>
      <c r="U7" s="37">
        <f t="shared" si="1"/>
        <v>1737.44</v>
      </c>
      <c r="V7" s="37">
        <f t="shared" si="1"/>
        <v>1694.1399999999999</v>
      </c>
      <c r="W7" s="37">
        <f t="shared" si="1"/>
        <v>1683.34</v>
      </c>
      <c r="X7" s="37">
        <f t="shared" si="1"/>
        <v>1683.34</v>
      </c>
      <c r="Y7" s="37">
        <f t="shared" si="1"/>
        <v>1705.34</v>
      </c>
      <c r="Z7" s="37">
        <f t="shared" si="1"/>
        <v>1763.24</v>
      </c>
      <c r="AA7" s="37">
        <f t="shared" si="1"/>
        <v>1840.64</v>
      </c>
      <c r="AB7" s="37">
        <f t="shared" si="1"/>
        <v>1835.94</v>
      </c>
      <c r="AC7" s="37">
        <f t="shared" si="1"/>
        <v>1813.44</v>
      </c>
      <c r="AD7" s="37">
        <f t="shared" si="1"/>
        <v>1780.44</v>
      </c>
      <c r="AE7" s="37">
        <f t="shared" si="1"/>
        <v>1737.64</v>
      </c>
      <c r="AF7" s="37">
        <f t="shared" si="1"/>
        <v>1654.44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179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0">
        <v>44.4</v>
      </c>
      <c r="C11" s="50">
        <v>45.2</v>
      </c>
      <c r="D11" s="49">
        <v>42.3</v>
      </c>
      <c r="E11" s="49">
        <v>53</v>
      </c>
      <c r="F11" s="49">
        <v>53</v>
      </c>
      <c r="G11" s="49">
        <v>53</v>
      </c>
      <c r="H11" s="49">
        <v>53</v>
      </c>
      <c r="I11" s="49">
        <v>53</v>
      </c>
      <c r="J11" s="49">
        <v>53</v>
      </c>
      <c r="K11" s="49">
        <v>53</v>
      </c>
      <c r="L11" s="49">
        <v>53.6</v>
      </c>
      <c r="M11" s="49">
        <v>53.6</v>
      </c>
      <c r="N11" s="49">
        <v>53.6</v>
      </c>
      <c r="O11" s="49">
        <v>53.6</v>
      </c>
      <c r="P11" s="49">
        <v>53.6</v>
      </c>
      <c r="Q11" s="49">
        <v>53.6</v>
      </c>
      <c r="R11" s="49">
        <v>53.6</v>
      </c>
      <c r="S11" s="49">
        <v>53.6</v>
      </c>
      <c r="T11" s="49">
        <v>53.6</v>
      </c>
      <c r="U11" s="49">
        <v>53.6</v>
      </c>
      <c r="V11" s="49">
        <v>53.6</v>
      </c>
      <c r="W11" s="49">
        <v>53.6</v>
      </c>
      <c r="X11" s="49">
        <v>53.6</v>
      </c>
      <c r="Y11" s="49">
        <v>53.6</v>
      </c>
      <c r="Z11" s="49">
        <v>53.6</v>
      </c>
      <c r="AA11" s="49">
        <v>53.6</v>
      </c>
      <c r="AB11" s="52">
        <v>53.6</v>
      </c>
      <c r="AC11" s="52">
        <v>53.7</v>
      </c>
      <c r="AD11" s="52">
        <v>53.6</v>
      </c>
      <c r="AE11" s="52">
        <v>53.6</v>
      </c>
      <c r="AF11" s="52">
        <v>53.4</v>
      </c>
      <c r="AG11" s="133">
        <v>52.4</v>
      </c>
      <c r="AH11" s="54">
        <f>MAX(B11:AF11)</f>
        <v>53.7</v>
      </c>
      <c r="AI11" s="55">
        <f>MIN(B11:AF11)</f>
        <v>42.3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50.2</v>
      </c>
      <c r="C12" s="50">
        <v>50.2</v>
      </c>
      <c r="D12" s="50">
        <v>50.2</v>
      </c>
      <c r="E12" s="50">
        <v>50.2</v>
      </c>
      <c r="F12" s="50">
        <v>50.2</v>
      </c>
      <c r="G12" s="50">
        <v>50.2</v>
      </c>
      <c r="H12" s="50">
        <v>50.3</v>
      </c>
      <c r="I12" s="50">
        <v>50.3</v>
      </c>
      <c r="J12" s="50">
        <v>50.3</v>
      </c>
      <c r="K12" s="50">
        <v>50.3</v>
      </c>
      <c r="L12" s="50">
        <v>50.3</v>
      </c>
      <c r="M12" s="50">
        <v>50.3</v>
      </c>
      <c r="N12" s="50">
        <v>50.3</v>
      </c>
      <c r="O12" s="50">
        <v>50.3</v>
      </c>
      <c r="P12" s="50">
        <v>50.3</v>
      </c>
      <c r="Q12" s="50">
        <v>50.3</v>
      </c>
      <c r="R12" s="50">
        <v>50.3</v>
      </c>
      <c r="S12" s="50">
        <v>50.3</v>
      </c>
      <c r="T12" s="50">
        <v>50.3</v>
      </c>
      <c r="U12" s="50">
        <v>50.3</v>
      </c>
      <c r="V12" s="50">
        <v>50.3</v>
      </c>
      <c r="W12" s="50">
        <v>50.3</v>
      </c>
      <c r="X12" s="50">
        <v>50.3</v>
      </c>
      <c r="Y12" s="50">
        <v>50.3</v>
      </c>
      <c r="Z12" s="50">
        <v>50.3</v>
      </c>
      <c r="AA12" s="50">
        <v>50.3</v>
      </c>
      <c r="AB12" s="50">
        <v>50.2</v>
      </c>
      <c r="AC12" s="50">
        <v>50.3</v>
      </c>
      <c r="AD12" s="50">
        <v>50.4</v>
      </c>
      <c r="AE12" s="50">
        <v>50.4</v>
      </c>
      <c r="AF12" s="50">
        <v>49.9</v>
      </c>
      <c r="AG12" s="134">
        <v>50</v>
      </c>
      <c r="AH12" s="54">
        <f t="shared" ref="AH12:AH79" si="2">MAX(B12:AF12)</f>
        <v>50.4</v>
      </c>
      <c r="AI12" s="55">
        <f t="shared" ref="AI12:AI79" si="3">MIN(B12:AF12)</f>
        <v>49.9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46</v>
      </c>
      <c r="C13" s="50">
        <v>42.6</v>
      </c>
      <c r="D13" s="50">
        <v>42.6</v>
      </c>
      <c r="E13" s="50">
        <v>42.6</v>
      </c>
      <c r="F13" s="50">
        <v>42.6</v>
      </c>
      <c r="G13" s="50">
        <v>42.6</v>
      </c>
      <c r="H13" s="50">
        <v>42.9</v>
      </c>
      <c r="I13" s="50">
        <v>42.9</v>
      </c>
      <c r="J13" s="50">
        <v>42.9</v>
      </c>
      <c r="K13" s="50">
        <v>42.9</v>
      </c>
      <c r="L13" s="50">
        <v>45.7</v>
      </c>
      <c r="M13" s="50">
        <v>45.7</v>
      </c>
      <c r="N13" s="50">
        <v>45.7</v>
      </c>
      <c r="O13" s="50">
        <v>45.7</v>
      </c>
      <c r="P13" s="50">
        <v>45.7</v>
      </c>
      <c r="Q13" s="50">
        <v>45.7</v>
      </c>
      <c r="R13" s="50">
        <v>45.7</v>
      </c>
      <c r="S13" s="50">
        <v>45.7</v>
      </c>
      <c r="T13" s="50">
        <v>45.7</v>
      </c>
      <c r="U13" s="50">
        <v>45.7</v>
      </c>
      <c r="V13" s="50">
        <v>45.7</v>
      </c>
      <c r="W13" s="50">
        <v>45.7</v>
      </c>
      <c r="X13" s="50">
        <v>45.7</v>
      </c>
      <c r="Y13" s="50">
        <v>45.7</v>
      </c>
      <c r="Z13" s="50">
        <v>45.7</v>
      </c>
      <c r="AA13" s="50">
        <v>46.1</v>
      </c>
      <c r="AB13" s="50">
        <v>46.3</v>
      </c>
      <c r="AC13" s="50">
        <v>46.2</v>
      </c>
      <c r="AD13" s="50">
        <v>46.2</v>
      </c>
      <c r="AE13" s="50">
        <v>46.2</v>
      </c>
      <c r="AF13" s="50">
        <v>46.2</v>
      </c>
      <c r="AG13" s="134">
        <v>45</v>
      </c>
      <c r="AH13" s="54">
        <f t="shared" si="2"/>
        <v>46.3</v>
      </c>
      <c r="AI13" s="55">
        <f t="shared" si="3"/>
        <v>42.6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0</v>
      </c>
      <c r="C14" s="50">
        <v>26</v>
      </c>
      <c r="D14" s="50">
        <v>26</v>
      </c>
      <c r="E14" s="50">
        <v>26</v>
      </c>
      <c r="F14" s="50">
        <v>26</v>
      </c>
      <c r="G14" s="50">
        <v>26</v>
      </c>
      <c r="H14" s="50">
        <v>26</v>
      </c>
      <c r="I14" s="50">
        <v>26</v>
      </c>
      <c r="J14" s="50">
        <v>26</v>
      </c>
      <c r="K14" s="50">
        <v>26</v>
      </c>
      <c r="L14" s="50">
        <v>26</v>
      </c>
      <c r="M14" s="50">
        <v>35</v>
      </c>
      <c r="N14" s="50">
        <v>35</v>
      </c>
      <c r="O14" s="50">
        <v>14</v>
      </c>
      <c r="P14" s="50">
        <v>35</v>
      </c>
      <c r="Q14" s="50">
        <v>35</v>
      </c>
      <c r="R14" s="50">
        <v>35</v>
      </c>
      <c r="S14" s="50">
        <v>35</v>
      </c>
      <c r="T14" s="50">
        <v>35</v>
      </c>
      <c r="U14" s="50">
        <v>35</v>
      </c>
      <c r="V14" s="50">
        <v>35</v>
      </c>
      <c r="W14" s="50">
        <v>35</v>
      </c>
      <c r="X14" s="50">
        <v>35</v>
      </c>
      <c r="Y14" s="50">
        <v>35</v>
      </c>
      <c r="Z14" s="50">
        <v>35</v>
      </c>
      <c r="AA14" s="50">
        <v>35</v>
      </c>
      <c r="AB14" s="50">
        <v>35</v>
      </c>
      <c r="AC14" s="50">
        <v>32</v>
      </c>
      <c r="AD14" s="50">
        <v>35</v>
      </c>
      <c r="AE14" s="50">
        <v>28</v>
      </c>
      <c r="AF14" s="50">
        <v>26</v>
      </c>
      <c r="AG14" s="134">
        <v>42</v>
      </c>
      <c r="AH14" s="54">
        <f t="shared" si="2"/>
        <v>35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0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20</v>
      </c>
      <c r="N15" s="50">
        <v>30</v>
      </c>
      <c r="O15" s="50">
        <v>30</v>
      </c>
      <c r="P15" s="50">
        <v>30</v>
      </c>
      <c r="Q15" s="50">
        <v>30</v>
      </c>
      <c r="R15" s="50">
        <v>20</v>
      </c>
      <c r="S15" s="50">
        <v>20</v>
      </c>
      <c r="T15" s="50">
        <v>20</v>
      </c>
      <c r="U15" s="50">
        <v>20</v>
      </c>
      <c r="V15" s="50">
        <v>20</v>
      </c>
      <c r="W15" s="50">
        <v>20</v>
      </c>
      <c r="X15" s="50">
        <v>20</v>
      </c>
      <c r="Y15" s="50">
        <v>20</v>
      </c>
      <c r="Z15" s="50">
        <v>30</v>
      </c>
      <c r="AA15" s="50">
        <v>30</v>
      </c>
      <c r="AB15" s="50">
        <v>30</v>
      </c>
      <c r="AC15" s="50">
        <v>30</v>
      </c>
      <c r="AD15" s="50">
        <v>30</v>
      </c>
      <c r="AE15" s="50">
        <v>20</v>
      </c>
      <c r="AF15" s="50">
        <v>0</v>
      </c>
      <c r="AG15" s="135">
        <v>30</v>
      </c>
      <c r="AH15" s="54">
        <f t="shared" si="2"/>
        <v>30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26</v>
      </c>
      <c r="C16" s="50">
        <v>21</v>
      </c>
      <c r="D16" s="50">
        <v>26</v>
      </c>
      <c r="E16" s="50">
        <v>26</v>
      </c>
      <c r="F16" s="50">
        <v>26</v>
      </c>
      <c r="G16" s="50">
        <v>26</v>
      </c>
      <c r="H16" s="50">
        <v>26</v>
      </c>
      <c r="I16" s="50">
        <v>26</v>
      </c>
      <c r="J16" s="50">
        <v>26</v>
      </c>
      <c r="K16" s="50">
        <v>26</v>
      </c>
      <c r="L16" s="50">
        <v>26</v>
      </c>
      <c r="M16" s="50">
        <v>26</v>
      </c>
      <c r="N16" s="50">
        <v>26</v>
      </c>
      <c r="O16" s="50">
        <v>26</v>
      </c>
      <c r="P16" s="50">
        <v>26</v>
      </c>
      <c r="Q16" s="50">
        <v>26</v>
      </c>
      <c r="R16" s="50">
        <v>25.4</v>
      </c>
      <c r="S16" s="50">
        <v>25.4</v>
      </c>
      <c r="T16" s="50">
        <v>25.4</v>
      </c>
      <c r="U16" s="50">
        <v>25.4</v>
      </c>
      <c r="V16" s="50">
        <v>25.4</v>
      </c>
      <c r="W16" s="50">
        <v>25.4</v>
      </c>
      <c r="X16" s="50">
        <v>25.4</v>
      </c>
      <c r="Y16" s="50">
        <v>25.4</v>
      </c>
      <c r="Z16" s="50">
        <v>25.4</v>
      </c>
      <c r="AA16" s="50">
        <v>25.4</v>
      </c>
      <c r="AB16" s="50">
        <v>24.9</v>
      </c>
      <c r="AC16" s="50">
        <v>25</v>
      </c>
      <c r="AD16" s="50">
        <v>25</v>
      </c>
      <c r="AE16" s="50">
        <v>25</v>
      </c>
      <c r="AF16" s="50">
        <v>25.3</v>
      </c>
      <c r="AG16" s="134">
        <v>25</v>
      </c>
      <c r="AH16" s="54">
        <f t="shared" si="2"/>
        <v>26</v>
      </c>
      <c r="AI16" s="55">
        <f t="shared" si="3"/>
        <v>21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24</v>
      </c>
      <c r="D17" s="50">
        <v>12</v>
      </c>
      <c r="E17" s="50">
        <v>12</v>
      </c>
      <c r="F17" s="50">
        <v>12</v>
      </c>
      <c r="G17" s="50">
        <v>12</v>
      </c>
      <c r="H17" s="50">
        <v>12</v>
      </c>
      <c r="I17" s="50">
        <v>12</v>
      </c>
      <c r="J17" s="50">
        <v>12</v>
      </c>
      <c r="K17" s="50">
        <v>12</v>
      </c>
      <c r="L17" s="50">
        <v>12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12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23</v>
      </c>
      <c r="D18" s="50">
        <v>23</v>
      </c>
      <c r="E18" s="50">
        <v>23</v>
      </c>
      <c r="F18" s="50">
        <v>23</v>
      </c>
      <c r="G18" s="50">
        <v>23</v>
      </c>
      <c r="H18" s="50">
        <v>23</v>
      </c>
      <c r="I18" s="50">
        <v>23</v>
      </c>
      <c r="J18" s="50">
        <v>23</v>
      </c>
      <c r="K18" s="50">
        <v>23</v>
      </c>
      <c r="L18" s="50">
        <v>23</v>
      </c>
      <c r="M18" s="50">
        <v>23</v>
      </c>
      <c r="N18" s="50">
        <v>23</v>
      </c>
      <c r="O18" s="50">
        <v>23</v>
      </c>
      <c r="P18" s="50">
        <v>23</v>
      </c>
      <c r="Q18" s="50">
        <v>23</v>
      </c>
      <c r="R18" s="50">
        <v>23</v>
      </c>
      <c r="S18" s="50">
        <v>23</v>
      </c>
      <c r="T18" s="50">
        <v>23</v>
      </c>
      <c r="U18" s="50">
        <v>23</v>
      </c>
      <c r="V18" s="50">
        <v>23</v>
      </c>
      <c r="W18" s="50">
        <v>23</v>
      </c>
      <c r="X18" s="50">
        <v>23</v>
      </c>
      <c r="Y18" s="50">
        <v>23</v>
      </c>
      <c r="Z18" s="50">
        <v>23</v>
      </c>
      <c r="AA18" s="50">
        <v>23</v>
      </c>
      <c r="AB18" s="50">
        <v>23</v>
      </c>
      <c r="AC18" s="50">
        <v>23</v>
      </c>
      <c r="AD18" s="50">
        <v>23</v>
      </c>
      <c r="AE18" s="50">
        <v>23</v>
      </c>
      <c r="AF18" s="50">
        <v>23</v>
      </c>
      <c r="AG18" s="134">
        <v>25</v>
      </c>
      <c r="AH18" s="54">
        <f t="shared" si="2"/>
        <v>25</v>
      </c>
      <c r="AI18" s="55">
        <f t="shared" si="3"/>
        <v>23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24</v>
      </c>
      <c r="C19" s="50">
        <v>24</v>
      </c>
      <c r="D19" s="50">
        <v>24</v>
      </c>
      <c r="E19" s="50">
        <v>24</v>
      </c>
      <c r="F19" s="50">
        <v>24</v>
      </c>
      <c r="G19" s="50">
        <v>24</v>
      </c>
      <c r="H19" s="50">
        <v>24</v>
      </c>
      <c r="I19" s="50">
        <v>24</v>
      </c>
      <c r="J19" s="50">
        <v>24</v>
      </c>
      <c r="K19" s="50">
        <v>24</v>
      </c>
      <c r="L19" s="50">
        <v>24</v>
      </c>
      <c r="M19" s="50">
        <v>24</v>
      </c>
      <c r="N19" s="50">
        <v>24</v>
      </c>
      <c r="O19" s="50">
        <v>19.899999999999999</v>
      </c>
      <c r="P19" s="50">
        <v>19.899999999999999</v>
      </c>
      <c r="Q19" s="50">
        <v>25</v>
      </c>
      <c r="R19" s="50">
        <v>25.9</v>
      </c>
      <c r="S19" s="50">
        <v>25.9</v>
      </c>
      <c r="T19" s="50">
        <v>25.9</v>
      </c>
      <c r="U19" s="50">
        <v>25.9</v>
      </c>
      <c r="V19" s="50">
        <v>25.9</v>
      </c>
      <c r="W19" s="50">
        <v>25.9</v>
      </c>
      <c r="X19" s="50">
        <v>25.9</v>
      </c>
      <c r="Y19" s="50">
        <v>25.9</v>
      </c>
      <c r="Z19" s="50">
        <v>33.1</v>
      </c>
      <c r="AA19" s="50">
        <v>33.1</v>
      </c>
      <c r="AB19" s="50">
        <v>33</v>
      </c>
      <c r="AC19" s="50">
        <v>33</v>
      </c>
      <c r="AD19" s="50">
        <v>33.1</v>
      </c>
      <c r="AE19" s="50">
        <v>33.1</v>
      </c>
      <c r="AF19" s="50">
        <v>25.4</v>
      </c>
      <c r="AG19" s="134">
        <v>24.2</v>
      </c>
      <c r="AH19" s="54">
        <f t="shared" si="2"/>
        <v>33.1</v>
      </c>
      <c r="AI19" s="55">
        <f t="shared" si="3"/>
        <v>19.899999999999999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24</v>
      </c>
      <c r="C20" s="50">
        <v>24</v>
      </c>
      <c r="D20" s="50">
        <v>24</v>
      </c>
      <c r="E20" s="50">
        <v>24</v>
      </c>
      <c r="F20" s="50">
        <v>24</v>
      </c>
      <c r="G20" s="50">
        <v>24</v>
      </c>
      <c r="H20" s="50">
        <v>24</v>
      </c>
      <c r="I20" s="50">
        <v>24</v>
      </c>
      <c r="J20" s="50">
        <v>24</v>
      </c>
      <c r="K20" s="50">
        <v>24</v>
      </c>
      <c r="L20" s="50">
        <v>24</v>
      </c>
      <c r="M20" s="50">
        <v>24</v>
      </c>
      <c r="N20" s="50">
        <v>24</v>
      </c>
      <c r="O20" s="50">
        <v>24</v>
      </c>
      <c r="P20" s="50">
        <v>24</v>
      </c>
      <c r="Q20" s="50">
        <v>24</v>
      </c>
      <c r="R20" s="50">
        <v>24</v>
      </c>
      <c r="S20" s="50">
        <v>24</v>
      </c>
      <c r="T20" s="50">
        <v>24</v>
      </c>
      <c r="U20" s="50">
        <v>24</v>
      </c>
      <c r="V20" s="50">
        <v>24</v>
      </c>
      <c r="W20" s="50">
        <v>24</v>
      </c>
      <c r="X20" s="50">
        <v>24</v>
      </c>
      <c r="Y20" s="50">
        <v>24</v>
      </c>
      <c r="Z20" s="50">
        <v>24</v>
      </c>
      <c r="AA20" s="50">
        <v>24</v>
      </c>
      <c r="AB20" s="50">
        <v>23.3</v>
      </c>
      <c r="AC20" s="50">
        <v>23.3</v>
      </c>
      <c r="AD20" s="50">
        <v>23.3</v>
      </c>
      <c r="AE20" s="50">
        <v>23.3</v>
      </c>
      <c r="AF20" s="50">
        <v>23.7</v>
      </c>
      <c r="AG20" s="134">
        <v>23.5</v>
      </c>
      <c r="AH20" s="54">
        <f t="shared" si="2"/>
        <v>24</v>
      </c>
      <c r="AI20" s="55">
        <f t="shared" si="3"/>
        <v>23.3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11</v>
      </c>
      <c r="C21" s="50">
        <v>11</v>
      </c>
      <c r="D21" s="50">
        <v>11</v>
      </c>
      <c r="E21" s="50">
        <v>11</v>
      </c>
      <c r="F21" s="50">
        <v>11</v>
      </c>
      <c r="G21" s="50">
        <v>11</v>
      </c>
      <c r="H21" s="50">
        <v>11</v>
      </c>
      <c r="I21" s="50">
        <v>11</v>
      </c>
      <c r="J21" s="50">
        <v>11</v>
      </c>
      <c r="K21" s="50">
        <v>11</v>
      </c>
      <c r="L21" s="50">
        <v>11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134">
        <v>22.2</v>
      </c>
      <c r="AH21" s="54">
        <f t="shared" si="2"/>
        <v>22</v>
      </c>
      <c r="AI21" s="55">
        <f t="shared" si="3"/>
        <v>11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22</v>
      </c>
      <c r="C22" s="50">
        <v>22</v>
      </c>
      <c r="D22" s="50">
        <v>10</v>
      </c>
      <c r="E22" s="50">
        <v>10</v>
      </c>
      <c r="F22" s="50">
        <v>10</v>
      </c>
      <c r="G22" s="50">
        <v>10</v>
      </c>
      <c r="H22" s="50">
        <v>10</v>
      </c>
      <c r="I22" s="50">
        <v>10</v>
      </c>
      <c r="J22" s="50">
        <v>10</v>
      </c>
      <c r="K22" s="50">
        <v>10</v>
      </c>
      <c r="L22" s="50">
        <v>10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134">
        <v>22.1</v>
      </c>
      <c r="AH22" s="54">
        <f t="shared" si="2"/>
        <v>22</v>
      </c>
      <c r="AI22" s="55">
        <f t="shared" si="3"/>
        <v>10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22</v>
      </c>
      <c r="C23" s="50">
        <v>20</v>
      </c>
      <c r="D23" s="50">
        <v>12</v>
      </c>
      <c r="E23" s="50">
        <v>12</v>
      </c>
      <c r="F23" s="50">
        <v>12</v>
      </c>
      <c r="G23" s="50">
        <v>12</v>
      </c>
      <c r="H23" s="50">
        <v>12</v>
      </c>
      <c r="I23" s="50">
        <v>12</v>
      </c>
      <c r="J23" s="50">
        <v>12</v>
      </c>
      <c r="K23" s="50">
        <v>12</v>
      </c>
      <c r="L23" s="50">
        <v>12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20</v>
      </c>
      <c r="AG23" s="134">
        <v>22</v>
      </c>
      <c r="AH23" s="54">
        <f t="shared" si="2"/>
        <v>22</v>
      </c>
      <c r="AI23" s="55">
        <f t="shared" si="3"/>
        <v>12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18</v>
      </c>
      <c r="C24" s="50">
        <v>18</v>
      </c>
      <c r="D24" s="50">
        <v>18</v>
      </c>
      <c r="E24" s="50">
        <v>18</v>
      </c>
      <c r="F24" s="50">
        <v>18</v>
      </c>
      <c r="G24" s="50">
        <v>18</v>
      </c>
      <c r="H24" s="50">
        <v>18</v>
      </c>
      <c r="I24" s="50">
        <v>18</v>
      </c>
      <c r="J24" s="50">
        <v>18</v>
      </c>
      <c r="K24" s="50">
        <v>18</v>
      </c>
      <c r="L24" s="50">
        <v>18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22</v>
      </c>
      <c r="AI24" s="55">
        <f t="shared" si="3"/>
        <v>18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0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12</v>
      </c>
      <c r="O25" s="50">
        <v>12</v>
      </c>
      <c r="P25" s="50">
        <v>12</v>
      </c>
      <c r="Q25" s="50">
        <v>12</v>
      </c>
      <c r="R25" s="50">
        <v>5</v>
      </c>
      <c r="S25" s="50">
        <v>5</v>
      </c>
      <c r="T25" s="50">
        <v>5</v>
      </c>
      <c r="U25" s="50">
        <v>5</v>
      </c>
      <c r="V25" s="50">
        <v>5</v>
      </c>
      <c r="W25" s="50">
        <v>5</v>
      </c>
      <c r="X25" s="50">
        <v>5</v>
      </c>
      <c r="Y25" s="50">
        <v>5</v>
      </c>
      <c r="Z25" s="50">
        <v>20</v>
      </c>
      <c r="AA25" s="50">
        <v>20</v>
      </c>
      <c r="AB25" s="50">
        <v>20</v>
      </c>
      <c r="AC25" s="50">
        <v>18</v>
      </c>
      <c r="AD25" s="50">
        <v>18</v>
      </c>
      <c r="AE25" s="50">
        <v>18</v>
      </c>
      <c r="AF25" s="50">
        <v>0</v>
      </c>
      <c r="AG25" s="134">
        <v>20</v>
      </c>
      <c r="AH25" s="54">
        <f t="shared" si="2"/>
        <v>20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14.9</v>
      </c>
      <c r="C26" s="50">
        <v>14.9</v>
      </c>
      <c r="D26" s="50">
        <v>10</v>
      </c>
      <c r="E26" s="50">
        <v>10</v>
      </c>
      <c r="F26" s="50">
        <v>10</v>
      </c>
      <c r="G26" s="50">
        <v>10</v>
      </c>
      <c r="H26" s="50">
        <v>10</v>
      </c>
      <c r="I26" s="50">
        <v>10</v>
      </c>
      <c r="J26" s="50">
        <v>10</v>
      </c>
      <c r="K26" s="50">
        <v>10</v>
      </c>
      <c r="L26" s="50">
        <v>10</v>
      </c>
      <c r="M26" s="50">
        <v>14.9</v>
      </c>
      <c r="N26" s="50">
        <v>14.9</v>
      </c>
      <c r="O26" s="50">
        <v>14.9</v>
      </c>
      <c r="P26" s="50">
        <v>14.9</v>
      </c>
      <c r="Q26" s="50">
        <v>14.9</v>
      </c>
      <c r="R26" s="50">
        <v>14.9</v>
      </c>
      <c r="S26" s="50">
        <v>14.9</v>
      </c>
      <c r="T26" s="50">
        <v>14.9</v>
      </c>
      <c r="U26" s="50">
        <v>14.9</v>
      </c>
      <c r="V26" s="50">
        <v>14.9</v>
      </c>
      <c r="W26" s="50">
        <v>14.9</v>
      </c>
      <c r="X26" s="50">
        <v>14.9</v>
      </c>
      <c r="Y26" s="50">
        <v>14.9</v>
      </c>
      <c r="Z26" s="50">
        <v>14.9</v>
      </c>
      <c r="AA26" s="50">
        <v>14.9</v>
      </c>
      <c r="AB26" s="50">
        <v>14.9</v>
      </c>
      <c r="AC26" s="50">
        <v>14.9</v>
      </c>
      <c r="AD26" s="50">
        <v>14.9</v>
      </c>
      <c r="AE26" s="50">
        <v>14.9</v>
      </c>
      <c r="AF26" s="50">
        <v>14.9</v>
      </c>
      <c r="AG26" s="134">
        <v>14.9</v>
      </c>
      <c r="AH26" s="54">
        <f t="shared" si="2"/>
        <v>14.9</v>
      </c>
      <c r="AI26" s="55">
        <f t="shared" si="3"/>
        <v>10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10</v>
      </c>
      <c r="C27" s="50">
        <v>10</v>
      </c>
      <c r="D27" s="50">
        <v>10</v>
      </c>
      <c r="E27" s="50">
        <v>10</v>
      </c>
      <c r="F27" s="50">
        <v>10</v>
      </c>
      <c r="G27" s="50">
        <v>10</v>
      </c>
      <c r="H27" s="50">
        <v>10</v>
      </c>
      <c r="I27" s="50">
        <v>10</v>
      </c>
      <c r="J27" s="50">
        <v>10</v>
      </c>
      <c r="K27" s="50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134">
        <v>13.6</v>
      </c>
      <c r="AH27" s="54">
        <f t="shared" si="2"/>
        <v>10</v>
      </c>
      <c r="AI27" s="55">
        <f t="shared" si="3"/>
        <v>10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13</v>
      </c>
      <c r="C28" s="50">
        <v>13</v>
      </c>
      <c r="D28" s="50">
        <v>13</v>
      </c>
      <c r="E28" s="50">
        <v>13</v>
      </c>
      <c r="F28" s="50">
        <v>13</v>
      </c>
      <c r="G28" s="50">
        <v>13</v>
      </c>
      <c r="H28" s="50">
        <v>13</v>
      </c>
      <c r="I28" s="50">
        <v>13</v>
      </c>
      <c r="J28" s="50">
        <v>13</v>
      </c>
      <c r="K28" s="50">
        <v>13</v>
      </c>
      <c r="L28" s="50">
        <v>13</v>
      </c>
      <c r="M28" s="50">
        <v>13</v>
      </c>
      <c r="N28" s="50">
        <v>13</v>
      </c>
      <c r="O28" s="50">
        <v>13</v>
      </c>
      <c r="P28" s="50">
        <v>13</v>
      </c>
      <c r="Q28" s="50">
        <v>13</v>
      </c>
      <c r="R28" s="50">
        <v>13</v>
      </c>
      <c r="S28" s="50">
        <v>13</v>
      </c>
      <c r="T28" s="50">
        <v>13</v>
      </c>
      <c r="U28" s="50">
        <v>13</v>
      </c>
      <c r="V28" s="50">
        <v>13</v>
      </c>
      <c r="W28" s="50">
        <v>13</v>
      </c>
      <c r="X28" s="50">
        <v>13</v>
      </c>
      <c r="Y28" s="50">
        <v>13</v>
      </c>
      <c r="Z28" s="50">
        <v>13</v>
      </c>
      <c r="AA28" s="50">
        <v>13</v>
      </c>
      <c r="AB28" s="50">
        <v>13</v>
      </c>
      <c r="AC28" s="50">
        <v>13</v>
      </c>
      <c r="AD28" s="50">
        <v>13</v>
      </c>
      <c r="AE28" s="50">
        <v>13</v>
      </c>
      <c r="AF28" s="50">
        <v>13</v>
      </c>
      <c r="AG28" s="134">
        <v>13</v>
      </c>
      <c r="AH28" s="54">
        <f t="shared" si="2"/>
        <v>13</v>
      </c>
      <c r="AI28" s="55">
        <f t="shared" si="3"/>
        <v>13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12</v>
      </c>
      <c r="C29" s="50">
        <v>12</v>
      </c>
      <c r="D29" s="50">
        <v>12</v>
      </c>
      <c r="E29" s="50">
        <v>12</v>
      </c>
      <c r="F29" s="50">
        <v>12</v>
      </c>
      <c r="G29" s="50">
        <v>12</v>
      </c>
      <c r="H29" s="50">
        <v>12</v>
      </c>
      <c r="I29" s="50">
        <v>12</v>
      </c>
      <c r="J29" s="50">
        <v>12</v>
      </c>
      <c r="K29" s="50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134">
        <v>12</v>
      </c>
      <c r="AH29" s="54">
        <f t="shared" si="2"/>
        <v>12</v>
      </c>
      <c r="AI29" s="55">
        <f t="shared" si="3"/>
        <v>12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7</v>
      </c>
      <c r="C30" s="50">
        <v>7</v>
      </c>
      <c r="D30" s="50">
        <v>7</v>
      </c>
      <c r="E30" s="50">
        <v>7</v>
      </c>
      <c r="F30" s="50">
        <v>7</v>
      </c>
      <c r="G30" s="50">
        <v>7</v>
      </c>
      <c r="H30" s="50">
        <v>7</v>
      </c>
      <c r="I30" s="50">
        <v>7</v>
      </c>
      <c r="J30" s="50">
        <v>7</v>
      </c>
      <c r="K30" s="50">
        <v>7</v>
      </c>
      <c r="L30" s="50">
        <v>7</v>
      </c>
      <c r="M30" s="50">
        <v>7</v>
      </c>
      <c r="N30" s="50">
        <v>7</v>
      </c>
      <c r="O30" s="50">
        <v>7</v>
      </c>
      <c r="P30" s="50">
        <v>7</v>
      </c>
      <c r="Q30" s="50">
        <v>7</v>
      </c>
      <c r="R30" s="50">
        <v>7</v>
      </c>
      <c r="S30" s="50">
        <v>7</v>
      </c>
      <c r="T30" s="50">
        <v>7</v>
      </c>
      <c r="U30" s="50">
        <v>7</v>
      </c>
      <c r="V30" s="50">
        <v>7</v>
      </c>
      <c r="W30" s="50">
        <v>7</v>
      </c>
      <c r="X30" s="50">
        <v>7</v>
      </c>
      <c r="Y30" s="50">
        <v>7</v>
      </c>
      <c r="Z30" s="50">
        <v>7</v>
      </c>
      <c r="AA30" s="50">
        <v>7</v>
      </c>
      <c r="AB30" s="50">
        <v>7</v>
      </c>
      <c r="AC30" s="50">
        <v>7</v>
      </c>
      <c r="AD30" s="50">
        <v>7</v>
      </c>
      <c r="AE30" s="50">
        <v>7</v>
      </c>
      <c r="AF30" s="50">
        <v>7</v>
      </c>
      <c r="AG30" s="134">
        <v>12</v>
      </c>
      <c r="AH30" s="54">
        <f t="shared" si="2"/>
        <v>7</v>
      </c>
      <c r="AI30" s="55">
        <f t="shared" si="3"/>
        <v>7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9</v>
      </c>
      <c r="C31" s="50">
        <v>9</v>
      </c>
      <c r="D31" s="50">
        <v>9</v>
      </c>
      <c r="E31" s="50">
        <v>9</v>
      </c>
      <c r="F31" s="50">
        <v>9</v>
      </c>
      <c r="G31" s="50">
        <v>9</v>
      </c>
      <c r="H31" s="50">
        <v>9</v>
      </c>
      <c r="I31" s="50">
        <v>9</v>
      </c>
      <c r="J31" s="50">
        <v>9</v>
      </c>
      <c r="K31" s="50">
        <v>9</v>
      </c>
      <c r="L31" s="50">
        <v>9</v>
      </c>
      <c r="M31" s="50">
        <v>9</v>
      </c>
      <c r="N31" s="50">
        <v>9</v>
      </c>
      <c r="O31" s="50">
        <v>9</v>
      </c>
      <c r="P31" s="50">
        <v>9</v>
      </c>
      <c r="Q31" s="50">
        <v>9</v>
      </c>
      <c r="R31" s="50">
        <v>9</v>
      </c>
      <c r="S31" s="50">
        <v>9</v>
      </c>
      <c r="T31" s="50">
        <v>9</v>
      </c>
      <c r="U31" s="50">
        <v>9</v>
      </c>
      <c r="V31" s="50">
        <v>9</v>
      </c>
      <c r="W31" s="50">
        <v>9</v>
      </c>
      <c r="X31" s="50">
        <v>9</v>
      </c>
      <c r="Y31" s="50">
        <v>9</v>
      </c>
      <c r="Z31" s="50">
        <v>9</v>
      </c>
      <c r="AA31" s="50">
        <v>9</v>
      </c>
      <c r="AB31" s="50">
        <v>9</v>
      </c>
      <c r="AC31" s="50">
        <v>9</v>
      </c>
      <c r="AD31" s="50">
        <v>9</v>
      </c>
      <c r="AE31" s="50">
        <v>9</v>
      </c>
      <c r="AF31" s="50">
        <v>9</v>
      </c>
      <c r="AG31" s="178">
        <v>22</v>
      </c>
      <c r="AH31" s="54">
        <f>MAX(B31:AF31)</f>
        <v>9</v>
      </c>
      <c r="AI31" s="55">
        <f>MIN(B31:AF31)</f>
        <v>9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6</v>
      </c>
      <c r="C32" s="50">
        <v>6</v>
      </c>
      <c r="D32" s="50">
        <v>6</v>
      </c>
      <c r="E32" s="50">
        <v>6</v>
      </c>
      <c r="F32" s="50">
        <v>6</v>
      </c>
      <c r="G32" s="50">
        <v>6</v>
      </c>
      <c r="H32" s="50">
        <v>6</v>
      </c>
      <c r="I32" s="50">
        <v>6</v>
      </c>
      <c r="J32" s="50">
        <v>6</v>
      </c>
      <c r="K32" s="50">
        <v>6</v>
      </c>
      <c r="L32" s="50">
        <v>6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135">
        <v>11.88</v>
      </c>
      <c r="AH32" s="54">
        <f t="shared" si="2"/>
        <v>6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11</v>
      </c>
      <c r="D33" s="50">
        <v>11</v>
      </c>
      <c r="E33" s="50">
        <v>11</v>
      </c>
      <c r="F33" s="50">
        <v>11</v>
      </c>
      <c r="G33" s="50">
        <v>11</v>
      </c>
      <c r="H33" s="50">
        <v>11</v>
      </c>
      <c r="I33" s="50">
        <v>11</v>
      </c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11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10</v>
      </c>
      <c r="C34" s="50">
        <v>10</v>
      </c>
      <c r="D34" s="50">
        <v>10</v>
      </c>
      <c r="E34" s="50">
        <v>10</v>
      </c>
      <c r="F34" s="50">
        <v>10</v>
      </c>
      <c r="G34" s="50">
        <v>10</v>
      </c>
      <c r="H34" s="50">
        <v>10</v>
      </c>
      <c r="I34" s="50">
        <v>10</v>
      </c>
      <c r="J34" s="50">
        <v>10</v>
      </c>
      <c r="K34" s="50">
        <v>10</v>
      </c>
      <c r="L34" s="50">
        <v>10</v>
      </c>
      <c r="M34" s="50">
        <v>10</v>
      </c>
      <c r="N34" s="50">
        <v>10</v>
      </c>
      <c r="O34" s="50">
        <v>10</v>
      </c>
      <c r="P34" s="50">
        <v>10</v>
      </c>
      <c r="Q34" s="50">
        <v>10</v>
      </c>
      <c r="R34" s="50">
        <v>10</v>
      </c>
      <c r="S34" s="50">
        <v>10</v>
      </c>
      <c r="T34" s="50">
        <v>10</v>
      </c>
      <c r="U34" s="50">
        <v>10</v>
      </c>
      <c r="V34" s="50">
        <v>10</v>
      </c>
      <c r="W34" s="50">
        <v>10</v>
      </c>
      <c r="X34" s="50">
        <v>10</v>
      </c>
      <c r="Y34" s="50">
        <v>10</v>
      </c>
      <c r="Z34" s="50">
        <v>10</v>
      </c>
      <c r="AA34" s="50">
        <v>10</v>
      </c>
      <c r="AB34" s="50">
        <v>10</v>
      </c>
      <c r="AC34" s="50">
        <v>10</v>
      </c>
      <c r="AD34" s="50">
        <v>10</v>
      </c>
      <c r="AE34" s="50">
        <v>10</v>
      </c>
      <c r="AF34" s="50">
        <v>10</v>
      </c>
      <c r="AG34" s="136">
        <v>10</v>
      </c>
      <c r="AH34" s="54">
        <f t="shared" si="2"/>
        <v>10</v>
      </c>
      <c r="AI34" s="55">
        <f t="shared" si="3"/>
        <v>10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136">
        <v>10</v>
      </c>
      <c r="AH35" s="54">
        <f t="shared" si="2"/>
        <v>2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300</v>
      </c>
      <c r="C36" s="62">
        <v>300</v>
      </c>
      <c r="D36" s="62">
        <v>300</v>
      </c>
      <c r="E36" s="62">
        <v>300</v>
      </c>
      <c r="F36" s="62">
        <v>300</v>
      </c>
      <c r="G36" s="62">
        <v>300</v>
      </c>
      <c r="H36" s="62">
        <v>300</v>
      </c>
      <c r="I36" s="62">
        <v>300</v>
      </c>
      <c r="J36" s="62">
        <v>300</v>
      </c>
      <c r="K36" s="62">
        <v>300</v>
      </c>
      <c r="L36" s="62">
        <v>300</v>
      </c>
      <c r="M36" s="62">
        <v>300</v>
      </c>
      <c r="N36" s="62">
        <v>300</v>
      </c>
      <c r="O36" s="62">
        <v>300</v>
      </c>
      <c r="P36" s="62">
        <v>300</v>
      </c>
      <c r="Q36" s="62">
        <v>300</v>
      </c>
      <c r="R36" s="62">
        <v>300</v>
      </c>
      <c r="S36" s="62">
        <v>300</v>
      </c>
      <c r="T36" s="62">
        <v>300</v>
      </c>
      <c r="U36" s="62">
        <v>300</v>
      </c>
      <c r="V36" s="62">
        <v>300</v>
      </c>
      <c r="W36" s="62">
        <v>300</v>
      </c>
      <c r="X36" s="62">
        <v>300</v>
      </c>
      <c r="Y36" s="62">
        <v>300</v>
      </c>
      <c r="Z36" s="62">
        <v>300</v>
      </c>
      <c r="AA36" s="62">
        <v>300</v>
      </c>
      <c r="AB36" s="62">
        <v>300</v>
      </c>
      <c r="AC36" s="62">
        <v>300</v>
      </c>
      <c r="AD36" s="62">
        <v>300</v>
      </c>
      <c r="AE36" s="62">
        <v>300</v>
      </c>
      <c r="AF36" s="62">
        <v>300</v>
      </c>
      <c r="AG36" s="136">
        <v>85</v>
      </c>
      <c r="AH36" s="54">
        <f t="shared" si="2"/>
        <v>300</v>
      </c>
      <c r="AI36" s="55">
        <f t="shared" si="3"/>
        <v>300</v>
      </c>
      <c r="AK36" s="56"/>
    </row>
    <row r="37" spans="1:88" ht="15.75" thickBot="1" x14ac:dyDescent="0.3">
      <c r="A37" s="63" t="s">
        <v>21</v>
      </c>
      <c r="B37" s="64">
        <v>170</v>
      </c>
      <c r="C37" s="64">
        <v>165</v>
      </c>
      <c r="D37" s="64">
        <v>110</v>
      </c>
      <c r="E37" s="64">
        <f>52.2+98.3</f>
        <v>150.5</v>
      </c>
      <c r="F37" s="64">
        <f t="shared" ref="F37:G37" si="4">52.2+98.3</f>
        <v>150.5</v>
      </c>
      <c r="G37" s="64">
        <f t="shared" si="4"/>
        <v>150.5</v>
      </c>
      <c r="H37" s="64">
        <f>66.3+97.7</f>
        <v>164</v>
      </c>
      <c r="I37" s="64">
        <f>60.9+97.4</f>
        <v>158.30000000000001</v>
      </c>
      <c r="J37" s="64">
        <f t="shared" ref="J37:K37" si="5">60.9+97.4</f>
        <v>158.30000000000001</v>
      </c>
      <c r="K37" s="64">
        <f t="shared" si="5"/>
        <v>158.30000000000001</v>
      </c>
      <c r="L37" s="64">
        <v>159</v>
      </c>
      <c r="M37" s="62">
        <f>70.1+97.5</f>
        <v>167.6</v>
      </c>
      <c r="N37" s="62">
        <f>71.7+95.3</f>
        <v>167</v>
      </c>
      <c r="O37" s="62">
        <f>72.1+98.3</f>
        <v>170.39999999999998</v>
      </c>
      <c r="P37" s="62">
        <f>72.5+98.3</f>
        <v>170.8</v>
      </c>
      <c r="Q37" s="62">
        <v>169</v>
      </c>
      <c r="R37" s="62">
        <f>72.4+94.1</f>
        <v>166.5</v>
      </c>
      <c r="S37" s="62">
        <f>72.4+94.1</f>
        <v>166.5</v>
      </c>
      <c r="T37" s="62">
        <f>72.4+94.1</f>
        <v>166.5</v>
      </c>
      <c r="U37" s="62">
        <f>72.4+94.1</f>
        <v>166.5</v>
      </c>
      <c r="V37" s="62">
        <f t="shared" ref="V37:AA37" si="6">70+96</f>
        <v>166</v>
      </c>
      <c r="W37" s="62">
        <f t="shared" si="6"/>
        <v>166</v>
      </c>
      <c r="X37" s="62">
        <f t="shared" si="6"/>
        <v>166</v>
      </c>
      <c r="Y37" s="62">
        <f t="shared" si="6"/>
        <v>166</v>
      </c>
      <c r="Z37" s="62">
        <f t="shared" si="6"/>
        <v>166</v>
      </c>
      <c r="AA37" s="62">
        <f t="shared" si="6"/>
        <v>166</v>
      </c>
      <c r="AB37" s="64">
        <f>95.9+66.3</f>
        <v>162.19999999999999</v>
      </c>
      <c r="AC37" s="64">
        <f>96+66.3</f>
        <v>162.30000000000001</v>
      </c>
      <c r="AD37" s="64">
        <f>96.5+71.1</f>
        <v>167.6</v>
      </c>
      <c r="AE37" s="64">
        <f>98.6+71.3</f>
        <v>169.89999999999998</v>
      </c>
      <c r="AF37" s="64">
        <f>95.3+71.7</f>
        <v>167</v>
      </c>
      <c r="AG37" s="136">
        <v>240</v>
      </c>
      <c r="AH37" s="54">
        <f t="shared" si="2"/>
        <v>170.8</v>
      </c>
      <c r="AI37" s="55">
        <f t="shared" si="3"/>
        <v>110</v>
      </c>
      <c r="AK37" s="56"/>
    </row>
    <row r="38" spans="1:88" ht="15.75" thickBot="1" x14ac:dyDescent="0.3">
      <c r="A38" s="131" t="s">
        <v>22</v>
      </c>
      <c r="B38" s="66">
        <f t="shared" ref="B38:AG38" si="7">SUM(B11:B36)</f>
        <v>730.5</v>
      </c>
      <c r="C38" s="66">
        <f t="shared" si="7"/>
        <v>743.9</v>
      </c>
      <c r="D38" s="66">
        <f t="shared" si="7"/>
        <v>709.1</v>
      </c>
      <c r="E38" s="66">
        <f t="shared" si="7"/>
        <v>719.8</v>
      </c>
      <c r="F38" s="66">
        <f t="shared" si="7"/>
        <v>719.8</v>
      </c>
      <c r="G38" s="66">
        <f t="shared" si="7"/>
        <v>719.8</v>
      </c>
      <c r="H38" s="66">
        <f t="shared" si="7"/>
        <v>720.2</v>
      </c>
      <c r="I38" s="66">
        <f t="shared" si="7"/>
        <v>720.2</v>
      </c>
      <c r="J38" s="66">
        <f t="shared" si="7"/>
        <v>720.2</v>
      </c>
      <c r="K38" s="66">
        <f t="shared" si="7"/>
        <v>720.2</v>
      </c>
      <c r="L38" s="66">
        <f t="shared" si="7"/>
        <v>723.6</v>
      </c>
      <c r="M38" s="66">
        <f t="shared" si="7"/>
        <v>803.5</v>
      </c>
      <c r="N38" s="66">
        <f t="shared" si="7"/>
        <v>825.5</v>
      </c>
      <c r="O38" s="66">
        <f t="shared" si="7"/>
        <v>800.4</v>
      </c>
      <c r="P38" s="66">
        <f t="shared" si="7"/>
        <v>821.4</v>
      </c>
      <c r="Q38" s="66">
        <f t="shared" si="7"/>
        <v>826.5</v>
      </c>
      <c r="R38" s="66">
        <f t="shared" si="7"/>
        <v>809.8</v>
      </c>
      <c r="S38" s="66">
        <f t="shared" si="7"/>
        <v>809.8</v>
      </c>
      <c r="T38" s="66">
        <f t="shared" si="7"/>
        <v>809.8</v>
      </c>
      <c r="U38" s="66">
        <f t="shared" si="7"/>
        <v>809.8</v>
      </c>
      <c r="V38" s="66">
        <f t="shared" si="7"/>
        <v>809.8</v>
      </c>
      <c r="W38" s="66">
        <f t="shared" si="7"/>
        <v>809.8</v>
      </c>
      <c r="X38" s="66">
        <f t="shared" si="7"/>
        <v>809.8</v>
      </c>
      <c r="Y38" s="66">
        <f t="shared" si="7"/>
        <v>809.8</v>
      </c>
      <c r="Z38" s="66">
        <f t="shared" si="7"/>
        <v>842</v>
      </c>
      <c r="AA38" s="66">
        <f t="shared" si="7"/>
        <v>842.4</v>
      </c>
      <c r="AB38" s="66">
        <f t="shared" si="7"/>
        <v>839.2</v>
      </c>
      <c r="AC38" s="66">
        <f t="shared" si="7"/>
        <v>834.4</v>
      </c>
      <c r="AD38" s="66">
        <f t="shared" si="7"/>
        <v>837.5</v>
      </c>
      <c r="AE38" s="66">
        <f t="shared" si="7"/>
        <v>820.5</v>
      </c>
      <c r="AF38" s="66">
        <f t="shared" si="7"/>
        <v>770.8</v>
      </c>
      <c r="AG38" s="143">
        <f t="shared" si="7"/>
        <v>665.78</v>
      </c>
      <c r="AH38" s="54">
        <f t="shared" si="2"/>
        <v>842.4</v>
      </c>
      <c r="AI38" s="55">
        <f t="shared" si="3"/>
        <v>709.1</v>
      </c>
      <c r="AK38" s="56"/>
    </row>
    <row r="39" spans="1:88" x14ac:dyDescent="0.25">
      <c r="A39" s="159" t="s">
        <v>130</v>
      </c>
      <c r="B39" s="50">
        <v>456</v>
      </c>
      <c r="C39" s="50">
        <v>456</v>
      </c>
      <c r="D39" s="50">
        <v>456</v>
      </c>
      <c r="E39" s="50">
        <v>439.7</v>
      </c>
      <c r="F39" s="50">
        <v>439.7</v>
      </c>
      <c r="G39" s="50">
        <v>439.7</v>
      </c>
      <c r="H39" s="50">
        <v>439.7</v>
      </c>
      <c r="I39" s="50">
        <v>439.7</v>
      </c>
      <c r="J39" s="50">
        <v>439.7</v>
      </c>
      <c r="K39" s="50">
        <v>439.7</v>
      </c>
      <c r="L39" s="50">
        <v>456</v>
      </c>
      <c r="M39" s="50">
        <v>456</v>
      </c>
      <c r="N39" s="50">
        <v>456</v>
      </c>
      <c r="O39" s="50">
        <v>456.6</v>
      </c>
      <c r="P39" s="50">
        <v>456</v>
      </c>
      <c r="Q39" s="50">
        <v>456</v>
      </c>
      <c r="R39" s="50">
        <v>456</v>
      </c>
      <c r="S39" s="50">
        <v>456</v>
      </c>
      <c r="T39" s="50">
        <v>456</v>
      </c>
      <c r="U39" s="50">
        <v>456</v>
      </c>
      <c r="V39" s="50">
        <v>456</v>
      </c>
      <c r="W39" s="50">
        <v>456</v>
      </c>
      <c r="X39" s="50">
        <v>456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456</v>
      </c>
      <c r="AF39" s="50">
        <v>430</v>
      </c>
      <c r="AG39" s="135">
        <v>456</v>
      </c>
      <c r="AH39" s="54">
        <f t="shared" si="2"/>
        <v>456.6</v>
      </c>
      <c r="AI39" s="55">
        <f t="shared" si="3"/>
        <v>430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f>SUM(B39:B41)</f>
        <v>538</v>
      </c>
      <c r="C42" s="66">
        <f t="shared" ref="C42:AG42" si="8">SUM(C39:C41)</f>
        <v>538</v>
      </c>
      <c r="D42" s="66">
        <f t="shared" si="8"/>
        <v>538</v>
      </c>
      <c r="E42" s="66">
        <f t="shared" si="8"/>
        <v>521.70000000000005</v>
      </c>
      <c r="F42" s="66">
        <f t="shared" si="8"/>
        <v>521.70000000000005</v>
      </c>
      <c r="G42" s="66">
        <f t="shared" si="8"/>
        <v>521.70000000000005</v>
      </c>
      <c r="H42" s="66">
        <f t="shared" si="8"/>
        <v>521.70000000000005</v>
      </c>
      <c r="I42" s="66">
        <f t="shared" si="8"/>
        <v>521.70000000000005</v>
      </c>
      <c r="J42" s="66">
        <f t="shared" si="8"/>
        <v>521.70000000000005</v>
      </c>
      <c r="K42" s="66">
        <f t="shared" si="8"/>
        <v>521.70000000000005</v>
      </c>
      <c r="L42" s="66">
        <f t="shared" si="8"/>
        <v>538</v>
      </c>
      <c r="M42" s="66">
        <f t="shared" si="8"/>
        <v>538</v>
      </c>
      <c r="N42" s="66">
        <f t="shared" si="8"/>
        <v>538</v>
      </c>
      <c r="O42" s="66">
        <f t="shared" si="8"/>
        <v>538.6</v>
      </c>
      <c r="P42" s="66">
        <f t="shared" si="8"/>
        <v>538</v>
      </c>
      <c r="Q42" s="66">
        <f t="shared" si="8"/>
        <v>538</v>
      </c>
      <c r="R42" s="66">
        <f t="shared" si="8"/>
        <v>538</v>
      </c>
      <c r="S42" s="66">
        <f t="shared" si="8"/>
        <v>538</v>
      </c>
      <c r="T42" s="66">
        <f t="shared" si="8"/>
        <v>538</v>
      </c>
      <c r="U42" s="66">
        <f t="shared" si="8"/>
        <v>538</v>
      </c>
      <c r="V42" s="66">
        <f t="shared" si="8"/>
        <v>538</v>
      </c>
      <c r="W42" s="66">
        <f t="shared" si="8"/>
        <v>538</v>
      </c>
      <c r="X42" s="66">
        <f t="shared" si="8"/>
        <v>538</v>
      </c>
      <c r="Y42" s="66">
        <f t="shared" si="8"/>
        <v>538</v>
      </c>
      <c r="Z42" s="66">
        <f t="shared" si="8"/>
        <v>538</v>
      </c>
      <c r="AA42" s="66">
        <f t="shared" si="8"/>
        <v>538</v>
      </c>
      <c r="AB42" s="66">
        <f t="shared" si="8"/>
        <v>538</v>
      </c>
      <c r="AC42" s="66">
        <f t="shared" si="8"/>
        <v>538</v>
      </c>
      <c r="AD42" s="66">
        <f t="shared" si="8"/>
        <v>538</v>
      </c>
      <c r="AE42" s="66">
        <f t="shared" si="8"/>
        <v>538</v>
      </c>
      <c r="AF42" s="66">
        <f t="shared" si="8"/>
        <v>512</v>
      </c>
      <c r="AG42" s="143">
        <f t="shared" si="8"/>
        <v>538.1</v>
      </c>
      <c r="AH42" s="54">
        <f t="shared" si="2"/>
        <v>538.6</v>
      </c>
      <c r="AI42" s="55">
        <f t="shared" si="3"/>
        <v>512</v>
      </c>
      <c r="AK42" s="56"/>
    </row>
    <row r="43" spans="1:88" x14ac:dyDescent="0.25">
      <c r="A43" s="57" t="s">
        <v>23</v>
      </c>
      <c r="B43" s="50">
        <v>138</v>
      </c>
      <c r="C43" s="50">
        <v>123</v>
      </c>
      <c r="D43" s="50">
        <v>106</v>
      </c>
      <c r="E43" s="50">
        <v>106.3</v>
      </c>
      <c r="F43" s="50">
        <v>106.3</v>
      </c>
      <c r="G43" s="50">
        <v>106.3</v>
      </c>
      <c r="H43" s="50">
        <v>106.3</v>
      </c>
      <c r="I43" s="50">
        <v>106.4</v>
      </c>
      <c r="J43" s="50">
        <v>106.4</v>
      </c>
      <c r="K43" s="50">
        <v>106.4</v>
      </c>
      <c r="L43" s="50">
        <v>106.4</v>
      </c>
      <c r="M43" s="50">
        <v>106.2</v>
      </c>
      <c r="N43" s="50">
        <v>106.4</v>
      </c>
      <c r="O43" s="50">
        <v>78</v>
      </c>
      <c r="P43" s="50">
        <v>62.6</v>
      </c>
      <c r="Q43" s="50">
        <v>130</v>
      </c>
      <c r="R43" s="50">
        <v>131.1</v>
      </c>
      <c r="S43" s="50">
        <v>131</v>
      </c>
      <c r="T43" s="50">
        <v>131</v>
      </c>
      <c r="U43" s="50">
        <v>131</v>
      </c>
      <c r="V43" s="50">
        <v>112</v>
      </c>
      <c r="W43" s="50">
        <v>111</v>
      </c>
      <c r="X43" s="50">
        <v>111</v>
      </c>
      <c r="Y43" s="50">
        <v>135</v>
      </c>
      <c r="Z43" s="50">
        <v>138</v>
      </c>
      <c r="AA43" s="50">
        <v>139.5</v>
      </c>
      <c r="AB43" s="50">
        <v>138.4</v>
      </c>
      <c r="AC43" s="50">
        <v>138.19999999999999</v>
      </c>
      <c r="AD43" s="50">
        <v>137.9</v>
      </c>
      <c r="AE43" s="50">
        <v>137.9</v>
      </c>
      <c r="AF43" s="50">
        <v>137.4</v>
      </c>
      <c r="AG43" s="135">
        <v>144</v>
      </c>
      <c r="AH43" s="54">
        <f t="shared" si="2"/>
        <v>139.5</v>
      </c>
      <c r="AI43" s="55">
        <f t="shared" si="3"/>
        <v>62.6</v>
      </c>
      <c r="AK43" s="56"/>
    </row>
    <row r="44" spans="1:88" x14ac:dyDescent="0.25">
      <c r="A44" s="60" t="s">
        <v>24</v>
      </c>
      <c r="B44" s="48">
        <v>70</v>
      </c>
      <c r="C44" s="48">
        <v>71.8</v>
      </c>
      <c r="D44" s="48">
        <v>71.5</v>
      </c>
      <c r="E44" s="48">
        <v>70.400000000000006</v>
      </c>
      <c r="F44" s="48">
        <v>45</v>
      </c>
      <c r="G44" s="48">
        <v>45</v>
      </c>
      <c r="H44" s="48">
        <v>40</v>
      </c>
      <c r="I44" s="48">
        <v>56</v>
      </c>
      <c r="J44" s="48">
        <v>56</v>
      </c>
      <c r="K44" s="48">
        <v>56</v>
      </c>
      <c r="L44" s="48">
        <v>44</v>
      </c>
      <c r="M44" s="50">
        <v>44.4</v>
      </c>
      <c r="N44" s="50">
        <v>44.2</v>
      </c>
      <c r="O44" s="50">
        <v>71.3</v>
      </c>
      <c r="P44" s="50">
        <v>71.3</v>
      </c>
      <c r="Q44" s="50">
        <v>71.3</v>
      </c>
      <c r="R44" s="50">
        <v>71.3</v>
      </c>
      <c r="S44" s="48">
        <v>71</v>
      </c>
      <c r="T44" s="48">
        <v>71</v>
      </c>
      <c r="U44" s="48">
        <v>71</v>
      </c>
      <c r="V44" s="48">
        <v>51</v>
      </c>
      <c r="W44" s="48">
        <v>51</v>
      </c>
      <c r="X44" s="48">
        <v>51</v>
      </c>
      <c r="Y44" s="48">
        <v>50</v>
      </c>
      <c r="Z44" s="48">
        <v>72</v>
      </c>
      <c r="AA44" s="48">
        <v>73</v>
      </c>
      <c r="AB44" s="48">
        <v>72</v>
      </c>
      <c r="AC44" s="48">
        <v>72.3</v>
      </c>
      <c r="AD44" s="48">
        <v>71.599999999999994</v>
      </c>
      <c r="AE44" s="48">
        <v>71.5</v>
      </c>
      <c r="AF44" s="48">
        <v>60</v>
      </c>
      <c r="AG44" s="136">
        <v>70</v>
      </c>
      <c r="AH44" s="54">
        <f t="shared" si="2"/>
        <v>73</v>
      </c>
      <c r="AI44" s="55">
        <f t="shared" si="3"/>
        <v>40</v>
      </c>
      <c r="AK44" s="56"/>
    </row>
    <row r="45" spans="1:88" x14ac:dyDescent="0.25">
      <c r="A45" s="60" t="s">
        <v>25</v>
      </c>
      <c r="B45" s="48">
        <v>61</v>
      </c>
      <c r="C45" s="48">
        <v>60.5</v>
      </c>
      <c r="D45" s="48">
        <v>61</v>
      </c>
      <c r="E45" s="48">
        <v>60.2</v>
      </c>
      <c r="F45" s="48">
        <v>60.2</v>
      </c>
      <c r="G45" s="48">
        <v>60.2</v>
      </c>
      <c r="H45" s="48">
        <v>60.2</v>
      </c>
      <c r="I45" s="48">
        <v>60.2</v>
      </c>
      <c r="J45" s="48">
        <v>60.2</v>
      </c>
      <c r="K45" s="48">
        <v>60.2</v>
      </c>
      <c r="L45" s="48">
        <v>60.5</v>
      </c>
      <c r="M45" s="50">
        <v>60.5</v>
      </c>
      <c r="N45" s="50">
        <v>61.2</v>
      </c>
      <c r="O45" s="50">
        <v>61.2</v>
      </c>
      <c r="P45" s="50">
        <v>61.2</v>
      </c>
      <c r="Q45" s="50">
        <v>61.2</v>
      </c>
      <c r="R45" s="50">
        <v>61.2</v>
      </c>
      <c r="S45" s="48">
        <v>61.8</v>
      </c>
      <c r="T45" s="48">
        <v>61.8</v>
      </c>
      <c r="U45" s="48">
        <v>61.8</v>
      </c>
      <c r="V45" s="48">
        <v>61</v>
      </c>
      <c r="W45" s="48">
        <v>62</v>
      </c>
      <c r="X45" s="48">
        <v>62</v>
      </c>
      <c r="Y45" s="48">
        <v>61</v>
      </c>
      <c r="Z45" s="48">
        <v>61.5</v>
      </c>
      <c r="AA45" s="48">
        <v>61.3</v>
      </c>
      <c r="AB45" s="48">
        <v>61.5</v>
      </c>
      <c r="AC45" s="48">
        <v>61.6</v>
      </c>
      <c r="AD45" s="48">
        <v>61.2</v>
      </c>
      <c r="AE45" s="48">
        <v>61.3</v>
      </c>
      <c r="AF45" s="48">
        <v>55</v>
      </c>
      <c r="AG45" s="136">
        <v>69</v>
      </c>
      <c r="AH45" s="54">
        <f t="shared" si="2"/>
        <v>62</v>
      </c>
      <c r="AI45" s="55">
        <f t="shared" si="3"/>
        <v>55</v>
      </c>
      <c r="AK45" s="56"/>
    </row>
    <row r="46" spans="1:88" x14ac:dyDescent="0.25">
      <c r="A46" s="60" t="s">
        <v>26</v>
      </c>
      <c r="B46" s="62">
        <v>30</v>
      </c>
      <c r="C46" s="62">
        <v>30</v>
      </c>
      <c r="D46" s="62">
        <v>30</v>
      </c>
      <c r="E46" s="62">
        <v>25.4</v>
      </c>
      <c r="F46" s="62">
        <v>25.4</v>
      </c>
      <c r="G46" s="62">
        <v>25.4</v>
      </c>
      <c r="H46" s="62">
        <v>25.4</v>
      </c>
      <c r="I46" s="62">
        <v>25.4</v>
      </c>
      <c r="J46" s="62">
        <v>25.4</v>
      </c>
      <c r="K46" s="62">
        <v>25.4</v>
      </c>
      <c r="L46" s="62">
        <v>30</v>
      </c>
      <c r="M46" s="50">
        <v>30.2</v>
      </c>
      <c r="N46" s="50">
        <v>30.5</v>
      </c>
      <c r="O46" s="50">
        <v>30.5</v>
      </c>
      <c r="P46" s="50">
        <v>30.5</v>
      </c>
      <c r="Q46" s="50">
        <v>30.5</v>
      </c>
      <c r="R46" s="50">
        <v>30.5</v>
      </c>
      <c r="S46" s="50">
        <v>30.5</v>
      </c>
      <c r="T46" s="50">
        <v>30.5</v>
      </c>
      <c r="U46" s="50">
        <v>30.5</v>
      </c>
      <c r="V46" s="48">
        <v>30.5</v>
      </c>
      <c r="W46" s="48">
        <v>30.5</v>
      </c>
      <c r="X46" s="48">
        <v>30.5</v>
      </c>
      <c r="Y46" s="48">
        <v>30.5</v>
      </c>
      <c r="Z46" s="48">
        <v>30.5</v>
      </c>
      <c r="AA46" s="48">
        <v>30.5</v>
      </c>
      <c r="AB46" s="62">
        <v>30.5</v>
      </c>
      <c r="AC46" s="62">
        <v>30.5</v>
      </c>
      <c r="AD46" s="62">
        <v>30.5</v>
      </c>
      <c r="AE46" s="62">
        <v>30.5</v>
      </c>
      <c r="AF46" s="62">
        <v>30.5</v>
      </c>
      <c r="AG46" s="136">
        <v>60</v>
      </c>
      <c r="AH46" s="54">
        <f t="shared" si="2"/>
        <v>30.5</v>
      </c>
      <c r="AI46" s="55">
        <f t="shared" si="3"/>
        <v>25.4</v>
      </c>
      <c r="AK46" s="56"/>
    </row>
    <row r="47" spans="1:88" x14ac:dyDescent="0.25">
      <c r="A47" s="60" t="s">
        <v>27</v>
      </c>
      <c r="B47" s="62">
        <v>28</v>
      </c>
      <c r="C47" s="62">
        <v>28</v>
      </c>
      <c r="D47" s="62">
        <v>28</v>
      </c>
      <c r="E47" s="62">
        <v>28</v>
      </c>
      <c r="F47" s="62">
        <v>28</v>
      </c>
      <c r="G47" s="62">
        <v>28</v>
      </c>
      <c r="H47" s="62">
        <v>28</v>
      </c>
      <c r="I47" s="62">
        <v>28</v>
      </c>
      <c r="J47" s="62">
        <v>28</v>
      </c>
      <c r="K47" s="62">
        <v>28</v>
      </c>
      <c r="L47" s="62">
        <v>28</v>
      </c>
      <c r="M47" s="50">
        <v>28.5</v>
      </c>
      <c r="N47" s="50">
        <v>28.5</v>
      </c>
      <c r="O47" s="50">
        <v>28.5</v>
      </c>
      <c r="P47" s="50">
        <v>28.5</v>
      </c>
      <c r="Q47" s="50">
        <v>28.5</v>
      </c>
      <c r="R47" s="50">
        <v>28.5</v>
      </c>
      <c r="S47" s="50">
        <v>28.5</v>
      </c>
      <c r="T47" s="50">
        <v>28.5</v>
      </c>
      <c r="U47" s="50">
        <v>28.5</v>
      </c>
      <c r="V47" s="50">
        <v>28.5</v>
      </c>
      <c r="W47" s="48">
        <v>20.3</v>
      </c>
      <c r="X47" s="48">
        <v>20.3</v>
      </c>
      <c r="Y47" s="48">
        <v>20.3</v>
      </c>
      <c r="Z47" s="48">
        <v>28.5</v>
      </c>
      <c r="AA47" s="48">
        <v>28.4</v>
      </c>
      <c r="AB47" s="62">
        <v>28.4</v>
      </c>
      <c r="AC47" s="62">
        <v>28.5</v>
      </c>
      <c r="AD47" s="62">
        <v>28.5</v>
      </c>
      <c r="AE47" s="62">
        <v>28.5</v>
      </c>
      <c r="AF47" s="62">
        <v>28.3</v>
      </c>
      <c r="AG47" s="136">
        <v>30</v>
      </c>
      <c r="AH47" s="54">
        <f t="shared" si="2"/>
        <v>28.5</v>
      </c>
      <c r="AI47" s="55">
        <f t="shared" si="3"/>
        <v>20.3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48">
        <v>0</v>
      </c>
      <c r="M48" s="50">
        <v>2</v>
      </c>
      <c r="N48" s="50">
        <v>4</v>
      </c>
      <c r="O48" s="50">
        <v>4</v>
      </c>
      <c r="P48" s="50">
        <v>4</v>
      </c>
      <c r="Q48" s="50">
        <v>4</v>
      </c>
      <c r="R48" s="50">
        <v>4</v>
      </c>
      <c r="S48" s="50">
        <v>4</v>
      </c>
      <c r="T48" s="50">
        <v>4</v>
      </c>
      <c r="U48" s="50">
        <v>4</v>
      </c>
      <c r="V48" s="50">
        <v>4</v>
      </c>
      <c r="W48" s="50">
        <v>0</v>
      </c>
      <c r="X48" s="50">
        <v>0</v>
      </c>
      <c r="Y48" s="50">
        <v>0</v>
      </c>
      <c r="Z48" s="50">
        <v>0</v>
      </c>
      <c r="AA48" s="50">
        <v>0</v>
      </c>
      <c r="AB48" s="48">
        <v>0</v>
      </c>
      <c r="AC48" s="48">
        <v>0</v>
      </c>
      <c r="AD48" s="48">
        <v>0</v>
      </c>
      <c r="AE48" s="48">
        <v>0</v>
      </c>
      <c r="AF48" s="48">
        <v>0</v>
      </c>
      <c r="AG48" s="136">
        <v>25</v>
      </c>
      <c r="AH48" s="54">
        <f t="shared" si="2"/>
        <v>4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16.7</v>
      </c>
      <c r="C49" s="48">
        <v>16.7</v>
      </c>
      <c r="D49" s="48">
        <v>16.7</v>
      </c>
      <c r="E49" s="48">
        <v>16.7</v>
      </c>
      <c r="F49" s="48">
        <v>16.7</v>
      </c>
      <c r="G49" s="48">
        <v>16.7</v>
      </c>
      <c r="H49" s="48">
        <v>16.7</v>
      </c>
      <c r="I49" s="48">
        <v>16.7</v>
      </c>
      <c r="J49" s="48">
        <v>16.7</v>
      </c>
      <c r="K49" s="48">
        <v>16.7</v>
      </c>
      <c r="L49" s="48">
        <v>16.7</v>
      </c>
      <c r="M49" s="50">
        <v>16</v>
      </c>
      <c r="N49" s="50">
        <v>16</v>
      </c>
      <c r="O49" s="50">
        <v>16</v>
      </c>
      <c r="P49" s="50">
        <v>16</v>
      </c>
      <c r="Q49" s="50">
        <v>11</v>
      </c>
      <c r="R49" s="50">
        <v>10</v>
      </c>
      <c r="S49" s="50">
        <v>10</v>
      </c>
      <c r="T49" s="50">
        <v>16.7</v>
      </c>
      <c r="U49" s="50">
        <v>16.7</v>
      </c>
      <c r="V49" s="50">
        <v>16.7</v>
      </c>
      <c r="W49" s="50">
        <v>16.7</v>
      </c>
      <c r="X49" s="50">
        <v>16.7</v>
      </c>
      <c r="Y49" s="50">
        <v>16.7</v>
      </c>
      <c r="Z49" s="50">
        <v>16.7</v>
      </c>
      <c r="AA49" s="50">
        <v>16</v>
      </c>
      <c r="AB49" s="48">
        <v>16.100000000000001</v>
      </c>
      <c r="AC49" s="48">
        <v>16.100000000000001</v>
      </c>
      <c r="AD49" s="48">
        <v>16.100000000000001</v>
      </c>
      <c r="AE49" s="48">
        <v>16.100000000000001</v>
      </c>
      <c r="AF49" s="48">
        <v>16</v>
      </c>
      <c r="AG49" s="136">
        <v>24</v>
      </c>
      <c r="AH49" s="54">
        <f t="shared" si="2"/>
        <v>16.7</v>
      </c>
      <c r="AI49" s="55">
        <f t="shared" si="3"/>
        <v>10</v>
      </c>
      <c r="AK49" s="56"/>
    </row>
    <row r="50" spans="1:41" x14ac:dyDescent="0.25">
      <c r="A50" s="60" t="s">
        <v>30</v>
      </c>
      <c r="B50" s="48">
        <v>3.5</v>
      </c>
      <c r="C50" s="48">
        <v>3.5</v>
      </c>
      <c r="D50" s="48">
        <v>3.5</v>
      </c>
      <c r="E50" s="48">
        <v>3.5</v>
      </c>
      <c r="F50" s="48">
        <v>3.5</v>
      </c>
      <c r="G50" s="48">
        <v>3.5</v>
      </c>
      <c r="H50" s="48">
        <v>3.5</v>
      </c>
      <c r="I50" s="48">
        <v>3.5</v>
      </c>
      <c r="J50" s="48">
        <v>3.5</v>
      </c>
      <c r="K50" s="48">
        <v>3.5</v>
      </c>
      <c r="L50" s="48">
        <v>3.5</v>
      </c>
      <c r="M50" s="50">
        <v>3.5</v>
      </c>
      <c r="N50" s="50">
        <v>3.5</v>
      </c>
      <c r="O50" s="50">
        <v>3.5</v>
      </c>
      <c r="P50" s="50">
        <v>3.5</v>
      </c>
      <c r="Q50" s="50">
        <v>3.5</v>
      </c>
      <c r="R50" s="50">
        <v>3.5</v>
      </c>
      <c r="S50" s="50">
        <v>3.5</v>
      </c>
      <c r="T50" s="50">
        <v>3.5</v>
      </c>
      <c r="U50" s="50">
        <v>3.5</v>
      </c>
      <c r="V50" s="50">
        <v>0</v>
      </c>
      <c r="W50" s="50">
        <v>0</v>
      </c>
      <c r="X50" s="50">
        <v>0</v>
      </c>
      <c r="Y50" s="50">
        <v>0</v>
      </c>
      <c r="Z50" s="50">
        <v>0</v>
      </c>
      <c r="AA50" s="50">
        <v>0</v>
      </c>
      <c r="AB50" s="48">
        <v>0</v>
      </c>
      <c r="AC50" s="48">
        <v>0</v>
      </c>
      <c r="AD50" s="48">
        <v>0</v>
      </c>
      <c r="AE50" s="48">
        <v>0</v>
      </c>
      <c r="AF50" s="48">
        <v>0</v>
      </c>
      <c r="AG50" s="136">
        <v>15</v>
      </c>
      <c r="AH50" s="54">
        <f t="shared" si="2"/>
        <v>3.5</v>
      </c>
      <c r="AI50" s="55">
        <f t="shared" si="3"/>
        <v>0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12.9</v>
      </c>
      <c r="C51" s="48">
        <v>12.9</v>
      </c>
      <c r="D51" s="48">
        <v>12.9</v>
      </c>
      <c r="E51" s="48">
        <v>12.9</v>
      </c>
      <c r="F51" s="48">
        <v>12.9</v>
      </c>
      <c r="G51" s="48">
        <v>12.9</v>
      </c>
      <c r="H51" s="48">
        <v>12.9</v>
      </c>
      <c r="I51" s="48">
        <v>12.9</v>
      </c>
      <c r="J51" s="48">
        <v>12.9</v>
      </c>
      <c r="K51" s="48">
        <v>12.9</v>
      </c>
      <c r="L51" s="48">
        <v>12.9</v>
      </c>
      <c r="M51" s="50">
        <v>12</v>
      </c>
      <c r="N51" s="50">
        <v>12.6</v>
      </c>
      <c r="O51" s="50">
        <v>12.6</v>
      </c>
      <c r="P51" s="50">
        <v>12.6</v>
      </c>
      <c r="Q51" s="50">
        <v>12.6</v>
      </c>
      <c r="R51" s="50">
        <v>12.6</v>
      </c>
      <c r="S51" s="50">
        <v>12.6</v>
      </c>
      <c r="T51" s="50">
        <v>12.6</v>
      </c>
      <c r="U51" s="50">
        <v>12.6</v>
      </c>
      <c r="V51" s="50">
        <v>12.6</v>
      </c>
      <c r="W51" s="50">
        <v>11.8</v>
      </c>
      <c r="X51" s="50">
        <v>11.8</v>
      </c>
      <c r="Y51" s="50">
        <v>11.8</v>
      </c>
      <c r="Z51" s="50">
        <v>11.8</v>
      </c>
      <c r="AA51" s="50">
        <v>11.8</v>
      </c>
      <c r="AB51" s="48">
        <v>11.9</v>
      </c>
      <c r="AC51" s="48">
        <v>11.9</v>
      </c>
      <c r="AD51" s="48">
        <v>11.9</v>
      </c>
      <c r="AE51" s="48">
        <v>11.9</v>
      </c>
      <c r="AF51" s="48">
        <v>12.4</v>
      </c>
      <c r="AG51" s="136">
        <v>14.1</v>
      </c>
      <c r="AH51" s="54">
        <f t="shared" si="2"/>
        <v>12.9</v>
      </c>
      <c r="AI51" s="55">
        <f t="shared" si="3"/>
        <v>11.8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0</v>
      </c>
      <c r="C52" s="48">
        <v>13</v>
      </c>
      <c r="D52" s="48">
        <v>13</v>
      </c>
      <c r="E52" s="48">
        <v>13</v>
      </c>
      <c r="F52" s="48">
        <v>13</v>
      </c>
      <c r="G52" s="48">
        <v>13</v>
      </c>
      <c r="H52" s="48">
        <v>13</v>
      </c>
      <c r="I52" s="48">
        <v>13</v>
      </c>
      <c r="J52" s="48">
        <v>13</v>
      </c>
      <c r="K52" s="48">
        <v>13</v>
      </c>
      <c r="L52" s="48">
        <v>13</v>
      </c>
      <c r="M52" s="50">
        <v>13.5</v>
      </c>
      <c r="N52" s="50">
        <v>11.2</v>
      </c>
      <c r="O52" s="50">
        <v>11.2</v>
      </c>
      <c r="P52" s="50">
        <v>11.2</v>
      </c>
      <c r="Q52" s="50">
        <v>11.2</v>
      </c>
      <c r="R52" s="50">
        <v>11.2</v>
      </c>
      <c r="S52" s="50">
        <v>11.2</v>
      </c>
      <c r="T52" s="50">
        <v>11.2</v>
      </c>
      <c r="U52" s="50">
        <v>11.2</v>
      </c>
      <c r="V52" s="50">
        <v>11.2</v>
      </c>
      <c r="W52" s="50">
        <v>13.7</v>
      </c>
      <c r="X52" s="50">
        <v>13.7</v>
      </c>
      <c r="Y52" s="50">
        <v>13.7</v>
      </c>
      <c r="Z52" s="50">
        <v>5.7</v>
      </c>
      <c r="AA52" s="50">
        <v>12.4</v>
      </c>
      <c r="AB52" s="48">
        <v>12.4</v>
      </c>
      <c r="AC52" s="48">
        <v>12.4</v>
      </c>
      <c r="AD52" s="48">
        <v>12.4</v>
      </c>
      <c r="AE52" s="48">
        <v>3.1</v>
      </c>
      <c r="AF52" s="48">
        <v>13.7</v>
      </c>
      <c r="AG52" s="136">
        <v>14</v>
      </c>
      <c r="AH52" s="54">
        <f t="shared" si="2"/>
        <v>13.7</v>
      </c>
      <c r="AI52" s="55">
        <f t="shared" si="3"/>
        <v>0</v>
      </c>
      <c r="AK52" s="56"/>
    </row>
    <row r="53" spans="1:41" x14ac:dyDescent="0.25">
      <c r="A53" s="60" t="s">
        <v>33</v>
      </c>
      <c r="B53" s="48">
        <v>9.1999999999999993</v>
      </c>
      <c r="C53" s="48">
        <v>9.1999999999999993</v>
      </c>
      <c r="D53" s="48">
        <v>9.1999999999999993</v>
      </c>
      <c r="E53" s="48">
        <v>9.1999999999999993</v>
      </c>
      <c r="F53" s="48">
        <v>9.1999999999999993</v>
      </c>
      <c r="G53" s="48">
        <v>9.1999999999999993</v>
      </c>
      <c r="H53" s="48">
        <v>9.1999999999999993</v>
      </c>
      <c r="I53" s="48">
        <v>9.1999999999999993</v>
      </c>
      <c r="J53" s="48">
        <v>9.1999999999999993</v>
      </c>
      <c r="K53" s="48">
        <v>9.1999999999999993</v>
      </c>
      <c r="L53" s="48">
        <v>9.1999999999999993</v>
      </c>
      <c r="M53" s="50">
        <v>9.1</v>
      </c>
      <c r="N53" s="50">
        <v>9.1</v>
      </c>
      <c r="O53" s="50">
        <v>9.1</v>
      </c>
      <c r="P53" s="50">
        <v>9.1</v>
      </c>
      <c r="Q53" s="50">
        <v>9.1</v>
      </c>
      <c r="R53" s="50">
        <v>9.1</v>
      </c>
      <c r="S53" s="50">
        <v>9.1</v>
      </c>
      <c r="T53" s="50">
        <v>9.1</v>
      </c>
      <c r="U53" s="50">
        <v>9.1</v>
      </c>
      <c r="V53" s="50">
        <v>9.1</v>
      </c>
      <c r="W53" s="50">
        <v>8.8000000000000007</v>
      </c>
      <c r="X53" s="50">
        <v>8.8000000000000007</v>
      </c>
      <c r="Y53" s="50">
        <v>8.8000000000000007</v>
      </c>
      <c r="Z53" s="50">
        <v>8.8000000000000007</v>
      </c>
      <c r="AA53" s="50">
        <v>8.6</v>
      </c>
      <c r="AB53" s="48">
        <v>8.6</v>
      </c>
      <c r="AC53" s="48">
        <v>8.6</v>
      </c>
      <c r="AD53" s="48">
        <v>8.6</v>
      </c>
      <c r="AE53" s="48">
        <v>8.6</v>
      </c>
      <c r="AF53" s="48">
        <v>8.6</v>
      </c>
      <c r="AG53" s="136">
        <v>10.050000000000001</v>
      </c>
      <c r="AH53" s="54">
        <f t="shared" si="2"/>
        <v>9.1999999999999993</v>
      </c>
      <c r="AI53" s="55">
        <f t="shared" si="3"/>
        <v>8.6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50">
        <v>6.2</v>
      </c>
      <c r="N54" s="50">
        <v>6.2</v>
      </c>
      <c r="O54" s="50">
        <v>6.2</v>
      </c>
      <c r="P54" s="50">
        <v>6.2</v>
      </c>
      <c r="Q54" s="50">
        <v>6.2</v>
      </c>
      <c r="R54" s="50">
        <v>6.2</v>
      </c>
      <c r="S54" s="50">
        <v>6.2</v>
      </c>
      <c r="T54" s="50">
        <v>6.2</v>
      </c>
      <c r="U54" s="50">
        <v>6.2</v>
      </c>
      <c r="V54" s="50">
        <v>6.2</v>
      </c>
      <c r="W54" s="50">
        <v>6.2</v>
      </c>
      <c r="X54" s="50">
        <v>6.2</v>
      </c>
      <c r="Y54" s="50">
        <v>6.2</v>
      </c>
      <c r="Z54" s="50">
        <v>6.2</v>
      </c>
      <c r="AA54" s="50">
        <v>6.2</v>
      </c>
      <c r="AB54" s="48">
        <v>6.2</v>
      </c>
      <c r="AC54" s="48">
        <v>6.2</v>
      </c>
      <c r="AD54" s="48">
        <v>6.2</v>
      </c>
      <c r="AE54" s="48">
        <v>6.2</v>
      </c>
      <c r="AF54" s="48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9">AG220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>SUM(B43:B55)</f>
        <v>379.03999999999996</v>
      </c>
      <c r="C56" s="66">
        <f t="shared" ref="C56:AG56" si="10">SUM(C43:C55)</f>
        <v>378.34</v>
      </c>
      <c r="D56" s="66">
        <f t="shared" si="10"/>
        <v>361.53999999999996</v>
      </c>
      <c r="E56" s="66">
        <f t="shared" si="10"/>
        <v>355.33999999999992</v>
      </c>
      <c r="F56" s="66">
        <f t="shared" si="10"/>
        <v>329.93999999999994</v>
      </c>
      <c r="G56" s="66">
        <f t="shared" si="10"/>
        <v>329.93999999999994</v>
      </c>
      <c r="H56" s="66">
        <f t="shared" si="10"/>
        <v>324.93999999999994</v>
      </c>
      <c r="I56" s="66">
        <f t="shared" si="10"/>
        <v>341.03999999999996</v>
      </c>
      <c r="J56" s="66">
        <f t="shared" si="10"/>
        <v>341.03999999999996</v>
      </c>
      <c r="K56" s="66">
        <f t="shared" si="10"/>
        <v>341.03999999999996</v>
      </c>
      <c r="L56" s="66">
        <f t="shared" si="10"/>
        <v>333.93999999999994</v>
      </c>
      <c r="M56" s="66">
        <f t="shared" si="10"/>
        <v>335.64</v>
      </c>
      <c r="N56" s="66">
        <f t="shared" si="10"/>
        <v>336.94000000000005</v>
      </c>
      <c r="O56" s="66">
        <f t="shared" si="10"/>
        <v>335.64000000000004</v>
      </c>
      <c r="P56" s="66">
        <f t="shared" si="10"/>
        <v>320.24000000000007</v>
      </c>
      <c r="Q56" s="66">
        <f t="shared" si="10"/>
        <v>382.64000000000004</v>
      </c>
      <c r="R56" s="66">
        <f t="shared" si="10"/>
        <v>382.74</v>
      </c>
      <c r="S56" s="66">
        <f t="shared" si="10"/>
        <v>382.94000000000005</v>
      </c>
      <c r="T56" s="66">
        <f t="shared" si="10"/>
        <v>389.64000000000004</v>
      </c>
      <c r="U56" s="66">
        <f t="shared" si="10"/>
        <v>389.64000000000004</v>
      </c>
      <c r="V56" s="66">
        <f t="shared" si="10"/>
        <v>346.34000000000003</v>
      </c>
      <c r="W56" s="66">
        <f t="shared" si="10"/>
        <v>335.54</v>
      </c>
      <c r="X56" s="66">
        <f t="shared" si="10"/>
        <v>335.54</v>
      </c>
      <c r="Y56" s="66">
        <f t="shared" si="10"/>
        <v>357.54</v>
      </c>
      <c r="Z56" s="66">
        <f t="shared" si="10"/>
        <v>383.24</v>
      </c>
      <c r="AA56" s="66">
        <f t="shared" si="10"/>
        <v>391.24</v>
      </c>
      <c r="AB56" s="66">
        <f t="shared" si="10"/>
        <v>389.53999999999996</v>
      </c>
      <c r="AC56" s="66">
        <f t="shared" si="10"/>
        <v>389.84000000000003</v>
      </c>
      <c r="AD56" s="66">
        <f t="shared" si="10"/>
        <v>388.44</v>
      </c>
      <c r="AE56" s="66">
        <f t="shared" si="10"/>
        <v>379.14000000000004</v>
      </c>
      <c r="AF56" s="66">
        <f t="shared" si="10"/>
        <v>371.64</v>
      </c>
      <c r="AG56" s="143">
        <f t="shared" si="10"/>
        <v>489.91</v>
      </c>
      <c r="AH56" s="54">
        <f t="shared" si="2"/>
        <v>391.24</v>
      </c>
      <c r="AI56" s="55">
        <f t="shared" si="3"/>
        <v>320.24000000000007</v>
      </c>
      <c r="AK56" s="56"/>
    </row>
    <row r="57" spans="1:41" x14ac:dyDescent="0.25">
      <c r="A57" s="57" t="s">
        <v>37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50</v>
      </c>
      <c r="AB57" s="50">
        <v>44.1</v>
      </c>
      <c r="AC57" s="50">
        <v>30</v>
      </c>
      <c r="AD57" s="50">
        <v>10</v>
      </c>
      <c r="AE57" s="50">
        <v>0</v>
      </c>
      <c r="AF57" s="50">
        <v>0</v>
      </c>
      <c r="AG57" s="135">
        <v>60</v>
      </c>
      <c r="AH57" s="54">
        <f t="shared" si="2"/>
        <v>50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5.0999999999999996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14</v>
      </c>
      <c r="AB58" s="48">
        <v>18.399999999999999</v>
      </c>
      <c r="AC58" s="48">
        <v>15.5</v>
      </c>
      <c r="AD58" s="48">
        <v>4.8</v>
      </c>
      <c r="AE58" s="48">
        <v>0</v>
      </c>
      <c r="AF58" s="48">
        <v>0</v>
      </c>
      <c r="AG58" s="136">
        <v>32</v>
      </c>
      <c r="AH58" s="54">
        <f t="shared" si="2"/>
        <v>18.399999999999999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70">
        <v>0</v>
      </c>
      <c r="P59" s="70">
        <v>1.9</v>
      </c>
      <c r="Q59" s="70">
        <v>0</v>
      </c>
      <c r="R59" s="70">
        <v>0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70">
        <v>5</v>
      </c>
      <c r="AB59" s="70">
        <v>6.7</v>
      </c>
      <c r="AC59" s="70">
        <v>5.7</v>
      </c>
      <c r="AD59" s="70">
        <v>1.7</v>
      </c>
      <c r="AE59" s="70">
        <v>0</v>
      </c>
      <c r="AF59" s="70">
        <v>0</v>
      </c>
      <c r="AG59" s="137">
        <v>14</v>
      </c>
      <c r="AH59" s="54">
        <f t="shared" si="2"/>
        <v>6.7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>SUM(B57:B59)</f>
        <v>0</v>
      </c>
      <c r="C60" s="66">
        <f t="shared" ref="C60:AG60" si="11">SUM(C57:C59)</f>
        <v>0</v>
      </c>
      <c r="D60" s="66">
        <f t="shared" si="11"/>
        <v>0</v>
      </c>
      <c r="E60" s="66">
        <f t="shared" si="11"/>
        <v>0</v>
      </c>
      <c r="F60" s="66">
        <f t="shared" si="11"/>
        <v>0</v>
      </c>
      <c r="G60" s="66">
        <f t="shared" si="11"/>
        <v>0</v>
      </c>
      <c r="H60" s="66">
        <f t="shared" si="11"/>
        <v>0</v>
      </c>
      <c r="I60" s="66">
        <f t="shared" si="11"/>
        <v>0</v>
      </c>
      <c r="J60" s="66">
        <f t="shared" si="11"/>
        <v>0</v>
      </c>
      <c r="K60" s="66">
        <f t="shared" si="11"/>
        <v>0</v>
      </c>
      <c r="L60" s="66">
        <f t="shared" si="11"/>
        <v>0</v>
      </c>
      <c r="M60" s="66">
        <f t="shared" si="11"/>
        <v>0</v>
      </c>
      <c r="N60" s="66">
        <f t="shared" si="11"/>
        <v>0</v>
      </c>
      <c r="O60" s="66">
        <f t="shared" si="11"/>
        <v>0</v>
      </c>
      <c r="P60" s="66">
        <f t="shared" si="11"/>
        <v>7</v>
      </c>
      <c r="Q60" s="66">
        <f t="shared" si="11"/>
        <v>0</v>
      </c>
      <c r="R60" s="66">
        <f t="shared" si="11"/>
        <v>0</v>
      </c>
      <c r="S60" s="66">
        <f t="shared" si="11"/>
        <v>0</v>
      </c>
      <c r="T60" s="66">
        <f t="shared" si="11"/>
        <v>0</v>
      </c>
      <c r="U60" s="66">
        <f t="shared" si="11"/>
        <v>0</v>
      </c>
      <c r="V60" s="66">
        <f t="shared" si="11"/>
        <v>0</v>
      </c>
      <c r="W60" s="66">
        <f t="shared" si="11"/>
        <v>0</v>
      </c>
      <c r="X60" s="66">
        <f t="shared" si="11"/>
        <v>0</v>
      </c>
      <c r="Y60" s="66">
        <f t="shared" si="11"/>
        <v>0</v>
      </c>
      <c r="Z60" s="66">
        <f t="shared" si="11"/>
        <v>0</v>
      </c>
      <c r="AA60" s="66">
        <f t="shared" si="11"/>
        <v>69</v>
      </c>
      <c r="AB60" s="66">
        <f t="shared" si="11"/>
        <v>69.2</v>
      </c>
      <c r="AC60" s="66">
        <f t="shared" si="11"/>
        <v>51.2</v>
      </c>
      <c r="AD60" s="66">
        <f t="shared" si="11"/>
        <v>16.5</v>
      </c>
      <c r="AE60" s="66">
        <f t="shared" si="11"/>
        <v>0</v>
      </c>
      <c r="AF60" s="66">
        <f t="shared" si="11"/>
        <v>0</v>
      </c>
      <c r="AG60" s="143">
        <f t="shared" si="11"/>
        <v>106</v>
      </c>
      <c r="AH60" s="54">
        <f t="shared" si="2"/>
        <v>69.2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3.9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50">
        <v>0</v>
      </c>
      <c r="P61" s="50">
        <v>19.8</v>
      </c>
      <c r="Q61" s="50">
        <v>0</v>
      </c>
      <c r="R61" s="50">
        <v>0</v>
      </c>
      <c r="S61" s="50">
        <v>0</v>
      </c>
      <c r="T61" s="50">
        <v>0</v>
      </c>
      <c r="U61" s="50">
        <v>0</v>
      </c>
      <c r="V61" s="50">
        <v>0</v>
      </c>
      <c r="W61" s="50">
        <v>0</v>
      </c>
      <c r="X61" s="50">
        <v>0</v>
      </c>
      <c r="Y61" s="50">
        <v>0</v>
      </c>
      <c r="Z61" s="50">
        <v>0</v>
      </c>
      <c r="AA61" s="50">
        <v>0</v>
      </c>
      <c r="AB61" s="50">
        <v>0</v>
      </c>
      <c r="AC61" s="50">
        <v>0</v>
      </c>
      <c r="AD61" s="50">
        <v>0</v>
      </c>
      <c r="AE61" s="50">
        <v>0</v>
      </c>
      <c r="AF61" s="50">
        <v>0</v>
      </c>
      <c r="AG61" s="135"/>
      <c r="AH61" s="54">
        <f t="shared" si="2"/>
        <v>19.8</v>
      </c>
      <c r="AI61" s="55">
        <f t="shared" si="3"/>
        <v>0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-369.9</v>
      </c>
      <c r="C63" s="48">
        <v>-411</v>
      </c>
      <c r="D63" s="48">
        <v>-375</v>
      </c>
      <c r="E63" s="48">
        <v>-440</v>
      </c>
      <c r="F63" s="48">
        <v>-444</v>
      </c>
      <c r="G63" s="48">
        <v>-400</v>
      </c>
      <c r="H63" s="48">
        <v>-375</v>
      </c>
      <c r="I63" s="48">
        <v>-449</v>
      </c>
      <c r="J63" s="48">
        <v>-440</v>
      </c>
      <c r="K63" s="48">
        <v>-388</v>
      </c>
      <c r="L63" s="48">
        <v>-354</v>
      </c>
      <c r="M63" s="48">
        <v>-389.2</v>
      </c>
      <c r="N63" s="48">
        <v>-414.1</v>
      </c>
      <c r="O63" s="48">
        <v>-330</v>
      </c>
      <c r="P63" s="48">
        <v>-387.1</v>
      </c>
      <c r="Q63" s="48">
        <v>-405</v>
      </c>
      <c r="R63" s="48">
        <v>-401.6</v>
      </c>
      <c r="S63" s="48">
        <v>-418</v>
      </c>
      <c r="T63" s="48">
        <v>-414</v>
      </c>
      <c r="U63" s="48">
        <v>-414</v>
      </c>
      <c r="V63" s="48">
        <v>-417</v>
      </c>
      <c r="W63" s="48">
        <v>-403</v>
      </c>
      <c r="X63" s="48">
        <v>-415</v>
      </c>
      <c r="Y63" s="48">
        <v>-371</v>
      </c>
      <c r="Z63" s="48">
        <v>-376</v>
      </c>
      <c r="AA63" s="48">
        <v>-357</v>
      </c>
      <c r="AB63" s="48">
        <v>-356.2</v>
      </c>
      <c r="AC63" s="48">
        <v>-367</v>
      </c>
      <c r="AD63" s="48">
        <v>-370.6</v>
      </c>
      <c r="AE63" s="48">
        <v>-400.1</v>
      </c>
      <c r="AF63" s="48">
        <v>-410.8</v>
      </c>
      <c r="AG63" s="140"/>
      <c r="AH63" s="54">
        <f t="shared" si="2"/>
        <v>-330</v>
      </c>
      <c r="AI63" s="55">
        <f t="shared" si="3"/>
        <v>-449</v>
      </c>
      <c r="AK63" s="56"/>
    </row>
    <row r="64" spans="1:41" x14ac:dyDescent="0.25">
      <c r="A64" s="60" t="s">
        <v>44</v>
      </c>
      <c r="B64" s="71">
        <v>0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140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0" t="s">
        <v>45</v>
      </c>
      <c r="B65" s="71">
        <v>0</v>
      </c>
      <c r="C65" s="71">
        <v>0</v>
      </c>
      <c r="D65" s="71">
        <v>0</v>
      </c>
      <c r="E65" s="71">
        <v>0</v>
      </c>
      <c r="F65" s="71">
        <v>0</v>
      </c>
      <c r="G65" s="71">
        <v>0</v>
      </c>
      <c r="H65" s="71">
        <v>0</v>
      </c>
      <c r="I65" s="71">
        <v>0</v>
      </c>
      <c r="J65" s="71">
        <v>0</v>
      </c>
      <c r="K65" s="71">
        <v>0</v>
      </c>
      <c r="L65" s="71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1">
        <v>0</v>
      </c>
      <c r="C66" s="71">
        <v>0</v>
      </c>
      <c r="D66" s="71">
        <v>0</v>
      </c>
      <c r="E66" s="71">
        <v>0</v>
      </c>
      <c r="F66" s="71">
        <v>0</v>
      </c>
      <c r="G66" s="71">
        <v>0</v>
      </c>
      <c r="H66" s="71">
        <v>0</v>
      </c>
      <c r="I66" s="71">
        <v>0</v>
      </c>
      <c r="J66" s="71">
        <v>0</v>
      </c>
      <c r="K66" s="71">
        <v>0</v>
      </c>
      <c r="L66" s="71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0</v>
      </c>
      <c r="AD66" s="72">
        <v>0</v>
      </c>
      <c r="AE66" s="72">
        <v>0</v>
      </c>
      <c r="AF66" s="72">
        <v>0</v>
      </c>
      <c r="AG66" s="140"/>
      <c r="AH66" s="54">
        <f t="shared" si="2"/>
        <v>0</v>
      </c>
      <c r="AI66" s="55">
        <f t="shared" si="3"/>
        <v>0</v>
      </c>
      <c r="AK66" s="56"/>
    </row>
    <row r="67" spans="1:88" x14ac:dyDescent="0.25">
      <c r="A67" s="60" t="s">
        <v>47</v>
      </c>
      <c r="B67" s="71">
        <v>0</v>
      </c>
      <c r="C67" s="71">
        <v>0</v>
      </c>
      <c r="D67" s="71">
        <v>0</v>
      </c>
      <c r="E67" s="71">
        <v>0</v>
      </c>
      <c r="F67" s="71">
        <v>0</v>
      </c>
      <c r="G67" s="71">
        <v>0</v>
      </c>
      <c r="H67" s="71">
        <v>0</v>
      </c>
      <c r="I67" s="71">
        <v>0</v>
      </c>
      <c r="J67" s="71">
        <v>0</v>
      </c>
      <c r="K67" s="71">
        <v>0</v>
      </c>
      <c r="L67" s="71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1">
        <v>0</v>
      </c>
      <c r="D68" s="71">
        <v>0</v>
      </c>
      <c r="E68" s="71">
        <v>0</v>
      </c>
      <c r="F68" s="71">
        <v>0</v>
      </c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1">
        <v>0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1">
        <v>0</v>
      </c>
      <c r="C70" s="71">
        <v>0</v>
      </c>
      <c r="D70" s="71">
        <v>0</v>
      </c>
      <c r="E70" s="71">
        <v>0</v>
      </c>
      <c r="F70" s="71">
        <v>0</v>
      </c>
      <c r="G70" s="71">
        <v>0</v>
      </c>
      <c r="H70" s="71">
        <v>0</v>
      </c>
      <c r="I70" s="71">
        <v>0</v>
      </c>
      <c r="J70" s="71">
        <v>0</v>
      </c>
      <c r="K70" s="71">
        <v>0</v>
      </c>
      <c r="L70" s="71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1">
        <v>0</v>
      </c>
      <c r="C71" s="71">
        <v>0</v>
      </c>
      <c r="D71" s="71">
        <v>0</v>
      </c>
      <c r="E71" s="71">
        <v>0</v>
      </c>
      <c r="F71" s="71">
        <v>0</v>
      </c>
      <c r="G71" s="71">
        <v>0</v>
      </c>
      <c r="H71" s="71">
        <v>0</v>
      </c>
      <c r="I71" s="71">
        <v>0</v>
      </c>
      <c r="J71" s="71">
        <v>0</v>
      </c>
      <c r="K71" s="71">
        <v>0</v>
      </c>
      <c r="L71" s="71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>SUMIF(B61:B71,"&gt;0")</f>
        <v>3.9</v>
      </c>
      <c r="C72" s="66">
        <f t="shared" ref="C72:L72" si="12">SUMIF(C61:C71,"&gt;0")</f>
        <v>0</v>
      </c>
      <c r="D72" s="66">
        <f t="shared" si="12"/>
        <v>0</v>
      </c>
      <c r="E72" s="66">
        <f t="shared" si="12"/>
        <v>0</v>
      </c>
      <c r="F72" s="66">
        <f t="shared" si="12"/>
        <v>0</v>
      </c>
      <c r="G72" s="66">
        <f t="shared" si="12"/>
        <v>0</v>
      </c>
      <c r="H72" s="66">
        <f t="shared" si="12"/>
        <v>0</v>
      </c>
      <c r="I72" s="66">
        <f t="shared" si="12"/>
        <v>0</v>
      </c>
      <c r="J72" s="66">
        <f t="shared" si="12"/>
        <v>0</v>
      </c>
      <c r="K72" s="66">
        <f t="shared" si="12"/>
        <v>0</v>
      </c>
      <c r="L72" s="66">
        <f t="shared" si="12"/>
        <v>0</v>
      </c>
      <c r="M72" s="66">
        <f>SUMIF(M61:M71,"&gt;0")</f>
        <v>0</v>
      </c>
      <c r="N72" s="66">
        <f t="shared" ref="N72:AF72" si="13">SUMIF(N61:N71,"&gt;0")</f>
        <v>0</v>
      </c>
      <c r="O72" s="66">
        <f t="shared" si="13"/>
        <v>0</v>
      </c>
      <c r="P72" s="66">
        <f t="shared" si="13"/>
        <v>19.8</v>
      </c>
      <c r="Q72" s="66">
        <f t="shared" si="13"/>
        <v>0</v>
      </c>
      <c r="R72" s="66">
        <f t="shared" si="13"/>
        <v>0</v>
      </c>
      <c r="S72" s="66">
        <f t="shared" si="13"/>
        <v>0</v>
      </c>
      <c r="T72" s="66">
        <f t="shared" si="13"/>
        <v>0</v>
      </c>
      <c r="U72" s="66">
        <f t="shared" si="13"/>
        <v>0</v>
      </c>
      <c r="V72" s="66">
        <f t="shared" si="13"/>
        <v>0</v>
      </c>
      <c r="W72" s="66">
        <f t="shared" si="13"/>
        <v>0</v>
      </c>
      <c r="X72" s="66">
        <f t="shared" si="13"/>
        <v>0</v>
      </c>
      <c r="Y72" s="66">
        <f t="shared" si="13"/>
        <v>0</v>
      </c>
      <c r="Z72" s="66">
        <f t="shared" si="13"/>
        <v>0</v>
      </c>
      <c r="AA72" s="66">
        <f t="shared" si="13"/>
        <v>0</v>
      </c>
      <c r="AB72" s="66">
        <f t="shared" si="13"/>
        <v>0</v>
      </c>
      <c r="AC72" s="66">
        <f t="shared" si="13"/>
        <v>0</v>
      </c>
      <c r="AD72" s="66">
        <f t="shared" si="13"/>
        <v>0</v>
      </c>
      <c r="AE72" s="66">
        <f t="shared" si="13"/>
        <v>0</v>
      </c>
      <c r="AF72" s="66">
        <f t="shared" si="13"/>
        <v>0</v>
      </c>
      <c r="AG72" s="138">
        <f>SUM(AG61:AG71)</f>
        <v>0</v>
      </c>
      <c r="AH72" s="54">
        <f t="shared" si="2"/>
        <v>19.8</v>
      </c>
      <c r="AI72" s="55">
        <f t="shared" si="3"/>
        <v>0</v>
      </c>
      <c r="AK72" s="56"/>
    </row>
    <row r="73" spans="1:88" x14ac:dyDescent="0.25">
      <c r="A73" s="57" t="s">
        <v>53</v>
      </c>
      <c r="B73" s="71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>
        <v>0</v>
      </c>
      <c r="C75" s="74">
        <v>0</v>
      </c>
      <c r="D75" s="74">
        <v>0</v>
      </c>
      <c r="E75" s="74">
        <v>0</v>
      </c>
      <c r="F75" s="74">
        <v>0</v>
      </c>
      <c r="G75" s="74">
        <v>0</v>
      </c>
      <c r="H75" s="74">
        <v>0</v>
      </c>
      <c r="I75" s="74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>B38+B42+B60+B56+B72+B76</f>
        <v>1651.44</v>
      </c>
      <c r="C77" s="75">
        <f t="shared" ref="C77:AF77" si="14">C38+C42+C60+C56+C72+C76</f>
        <v>1660.24</v>
      </c>
      <c r="D77" s="75">
        <f t="shared" si="14"/>
        <v>1608.6399999999999</v>
      </c>
      <c r="E77" s="75">
        <f t="shared" si="14"/>
        <v>1596.84</v>
      </c>
      <c r="F77" s="75">
        <f t="shared" si="14"/>
        <v>1571.44</v>
      </c>
      <c r="G77" s="75">
        <f t="shared" si="14"/>
        <v>1571.44</v>
      </c>
      <c r="H77" s="75">
        <f t="shared" si="14"/>
        <v>1566.8400000000001</v>
      </c>
      <c r="I77" s="75">
        <f t="shared" si="14"/>
        <v>1582.94</v>
      </c>
      <c r="J77" s="75">
        <f t="shared" si="14"/>
        <v>1582.94</v>
      </c>
      <c r="K77" s="75">
        <f t="shared" si="14"/>
        <v>1582.94</v>
      </c>
      <c r="L77" s="75">
        <f t="shared" si="14"/>
        <v>1595.54</v>
      </c>
      <c r="M77" s="75">
        <f t="shared" si="14"/>
        <v>1677.1399999999999</v>
      </c>
      <c r="N77" s="75">
        <f t="shared" si="14"/>
        <v>1700.44</v>
      </c>
      <c r="O77" s="75">
        <f t="shared" si="14"/>
        <v>1674.64</v>
      </c>
      <c r="P77" s="75">
        <f t="shared" si="14"/>
        <v>1706.44</v>
      </c>
      <c r="Q77" s="75">
        <f t="shared" si="14"/>
        <v>1747.14</v>
      </c>
      <c r="R77" s="75">
        <f t="shared" si="14"/>
        <v>1730.54</v>
      </c>
      <c r="S77" s="75">
        <f t="shared" si="14"/>
        <v>1730.74</v>
      </c>
      <c r="T77" s="75">
        <f t="shared" si="14"/>
        <v>1737.44</v>
      </c>
      <c r="U77" s="75">
        <f t="shared" si="14"/>
        <v>1737.44</v>
      </c>
      <c r="V77" s="75">
        <f t="shared" si="14"/>
        <v>1694.1399999999999</v>
      </c>
      <c r="W77" s="75">
        <f t="shared" si="14"/>
        <v>1683.34</v>
      </c>
      <c r="X77" s="75">
        <f t="shared" si="14"/>
        <v>1683.34</v>
      </c>
      <c r="Y77" s="75">
        <f t="shared" si="14"/>
        <v>1705.34</v>
      </c>
      <c r="Z77" s="75">
        <f t="shared" si="14"/>
        <v>1763.24</v>
      </c>
      <c r="AA77" s="75">
        <f t="shared" si="14"/>
        <v>1840.64</v>
      </c>
      <c r="AB77" s="75">
        <f t="shared" si="14"/>
        <v>1835.94</v>
      </c>
      <c r="AC77" s="75">
        <f t="shared" si="14"/>
        <v>1813.44</v>
      </c>
      <c r="AD77" s="75">
        <f t="shared" si="14"/>
        <v>1780.44</v>
      </c>
      <c r="AE77" s="75">
        <f t="shared" si="14"/>
        <v>1737.64</v>
      </c>
      <c r="AF77" s="75">
        <f t="shared" si="14"/>
        <v>1654.44</v>
      </c>
      <c r="AG77" s="143">
        <f>AG38+AG42+AG60+AG56+AG72+AG76</f>
        <v>1855.1900000000003</v>
      </c>
      <c r="AH77" s="54">
        <f t="shared" si="2"/>
        <v>1840.64</v>
      </c>
      <c r="AI77" s="55">
        <f t="shared" si="3"/>
        <v>1566.8400000000001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0</v>
      </c>
      <c r="AI78" s="55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>B77+B78</f>
        <v>1651.44</v>
      </c>
      <c r="C79" s="75">
        <f t="shared" ref="C79:AF79" si="15">C77+C78</f>
        <v>1660.24</v>
      </c>
      <c r="D79" s="75">
        <f t="shared" si="15"/>
        <v>1608.6399999999999</v>
      </c>
      <c r="E79" s="75">
        <f t="shared" si="15"/>
        <v>1596.84</v>
      </c>
      <c r="F79" s="75">
        <f t="shared" si="15"/>
        <v>1571.44</v>
      </c>
      <c r="G79" s="75">
        <f t="shared" si="15"/>
        <v>1571.44</v>
      </c>
      <c r="H79" s="75">
        <f t="shared" si="15"/>
        <v>1566.8400000000001</v>
      </c>
      <c r="I79" s="75">
        <f t="shared" si="15"/>
        <v>1582.94</v>
      </c>
      <c r="J79" s="75">
        <f t="shared" si="15"/>
        <v>1582.94</v>
      </c>
      <c r="K79" s="75">
        <f t="shared" si="15"/>
        <v>1582.94</v>
      </c>
      <c r="L79" s="75">
        <f t="shared" si="15"/>
        <v>1595.54</v>
      </c>
      <c r="M79" s="75">
        <f t="shared" si="15"/>
        <v>1677.1399999999999</v>
      </c>
      <c r="N79" s="75">
        <f t="shared" si="15"/>
        <v>1700.44</v>
      </c>
      <c r="O79" s="75">
        <f t="shared" si="15"/>
        <v>1674.64</v>
      </c>
      <c r="P79" s="75">
        <f t="shared" si="15"/>
        <v>1706.44</v>
      </c>
      <c r="Q79" s="75">
        <f t="shared" si="15"/>
        <v>1747.14</v>
      </c>
      <c r="R79" s="75">
        <f t="shared" si="15"/>
        <v>1730.54</v>
      </c>
      <c r="S79" s="75">
        <f t="shared" si="15"/>
        <v>1730.74</v>
      </c>
      <c r="T79" s="75">
        <f t="shared" si="15"/>
        <v>1737.44</v>
      </c>
      <c r="U79" s="75">
        <f t="shared" si="15"/>
        <v>1737.44</v>
      </c>
      <c r="V79" s="75">
        <f t="shared" si="15"/>
        <v>1694.1399999999999</v>
      </c>
      <c r="W79" s="75">
        <f t="shared" si="15"/>
        <v>1683.34</v>
      </c>
      <c r="X79" s="75">
        <f t="shared" si="15"/>
        <v>1683.34</v>
      </c>
      <c r="Y79" s="75">
        <f t="shared" si="15"/>
        <v>1705.34</v>
      </c>
      <c r="Z79" s="75">
        <f t="shared" si="15"/>
        <v>1763.24</v>
      </c>
      <c r="AA79" s="75">
        <f t="shared" si="15"/>
        <v>1840.64</v>
      </c>
      <c r="AB79" s="75">
        <f t="shared" si="15"/>
        <v>1835.94</v>
      </c>
      <c r="AC79" s="75">
        <f t="shared" si="15"/>
        <v>1813.44</v>
      </c>
      <c r="AD79" s="75">
        <f t="shared" si="15"/>
        <v>1780.44</v>
      </c>
      <c r="AE79" s="75">
        <f t="shared" si="15"/>
        <v>1737.64</v>
      </c>
      <c r="AF79" s="75">
        <f t="shared" si="15"/>
        <v>1654.44</v>
      </c>
      <c r="AG79" s="138">
        <f>AG76+AG72+AG60+AG56+AG38+AG78</f>
        <v>1317.0900000000001</v>
      </c>
      <c r="AH79" s="54">
        <f t="shared" si="2"/>
        <v>1840.64</v>
      </c>
      <c r="AI79" s="55">
        <f t="shared" si="3"/>
        <v>1566.8400000000001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:AF80" si="16">B79-B87</f>
        <v>1281.54</v>
      </c>
      <c r="C80" s="75">
        <f t="shared" si="16"/>
        <v>1249.24</v>
      </c>
      <c r="D80" s="75">
        <f t="shared" si="16"/>
        <v>1233.6399999999999</v>
      </c>
      <c r="E80" s="75">
        <f t="shared" si="16"/>
        <v>1156.8399999999999</v>
      </c>
      <c r="F80" s="75">
        <f t="shared" si="16"/>
        <v>1127.44</v>
      </c>
      <c r="G80" s="75">
        <f t="shared" si="16"/>
        <v>1171.44</v>
      </c>
      <c r="H80" s="75">
        <f t="shared" si="16"/>
        <v>1191.8400000000001</v>
      </c>
      <c r="I80" s="75">
        <f t="shared" si="16"/>
        <v>1133.94</v>
      </c>
      <c r="J80" s="75">
        <f t="shared" si="16"/>
        <v>1142.94</v>
      </c>
      <c r="K80" s="75">
        <f t="shared" si="16"/>
        <v>1194.94</v>
      </c>
      <c r="L80" s="75">
        <f t="shared" si="16"/>
        <v>1241.54</v>
      </c>
      <c r="M80" s="75">
        <f t="shared" si="16"/>
        <v>1287.9399999999998</v>
      </c>
      <c r="N80" s="75">
        <f t="shared" si="16"/>
        <v>1286.3400000000001</v>
      </c>
      <c r="O80" s="75">
        <f t="shared" si="16"/>
        <v>1344.64</v>
      </c>
      <c r="P80" s="75">
        <f t="shared" si="16"/>
        <v>1319.3400000000001</v>
      </c>
      <c r="Q80" s="75">
        <f t="shared" si="16"/>
        <v>1342.14</v>
      </c>
      <c r="R80" s="75">
        <f t="shared" si="16"/>
        <v>1328.94</v>
      </c>
      <c r="S80" s="75">
        <f t="shared" si="16"/>
        <v>1312.74</v>
      </c>
      <c r="T80" s="75">
        <f t="shared" si="16"/>
        <v>1323.44</v>
      </c>
      <c r="U80" s="75">
        <f t="shared" si="16"/>
        <v>1323.44</v>
      </c>
      <c r="V80" s="75">
        <f t="shared" si="16"/>
        <v>1277.1399999999999</v>
      </c>
      <c r="W80" s="75">
        <f t="shared" si="16"/>
        <v>1280.3399999999999</v>
      </c>
      <c r="X80" s="75">
        <f t="shared" si="16"/>
        <v>1268.3399999999999</v>
      </c>
      <c r="Y80" s="75">
        <f t="shared" si="16"/>
        <v>1334.34</v>
      </c>
      <c r="Z80" s="75">
        <f t="shared" si="16"/>
        <v>1387.24</v>
      </c>
      <c r="AA80" s="75">
        <f t="shared" si="16"/>
        <v>1483.64</v>
      </c>
      <c r="AB80" s="75">
        <f t="shared" si="16"/>
        <v>1479.74</v>
      </c>
      <c r="AC80" s="75">
        <f t="shared" si="16"/>
        <v>1446.44</v>
      </c>
      <c r="AD80" s="75">
        <f t="shared" si="16"/>
        <v>1409.8400000000001</v>
      </c>
      <c r="AE80" s="75">
        <f t="shared" si="16"/>
        <v>1337.54</v>
      </c>
      <c r="AF80" s="75">
        <f t="shared" si="16"/>
        <v>1243.6400000000001</v>
      </c>
      <c r="AG80" s="138"/>
      <c r="AH80" s="54">
        <f t="shared" ref="AH80:AH97" si="17">MAX(B80:AF80)</f>
        <v>1483.64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>IF(B64&lt;0,B64*-1,0)</f>
        <v>0</v>
      </c>
      <c r="C81" s="71">
        <f t="shared" ref="C81:AF81" si="18">IF(C64&lt;0,C64*-1,0)</f>
        <v>0</v>
      </c>
      <c r="D81" s="71">
        <f t="shared" si="18"/>
        <v>0</v>
      </c>
      <c r="E81" s="71">
        <f t="shared" si="18"/>
        <v>0</v>
      </c>
      <c r="F81" s="71">
        <f t="shared" si="18"/>
        <v>0</v>
      </c>
      <c r="G81" s="71">
        <f t="shared" si="18"/>
        <v>0</v>
      </c>
      <c r="H81" s="71">
        <f t="shared" si="18"/>
        <v>0</v>
      </c>
      <c r="I81" s="71">
        <f t="shared" si="18"/>
        <v>0</v>
      </c>
      <c r="J81" s="71">
        <f t="shared" si="18"/>
        <v>0</v>
      </c>
      <c r="K81" s="71">
        <f t="shared" si="18"/>
        <v>0</v>
      </c>
      <c r="L81" s="71">
        <f t="shared" si="18"/>
        <v>0</v>
      </c>
      <c r="M81" s="71">
        <f t="shared" si="18"/>
        <v>0</v>
      </c>
      <c r="N81" s="71">
        <f t="shared" si="18"/>
        <v>0</v>
      </c>
      <c r="O81" s="71">
        <f t="shared" si="18"/>
        <v>0</v>
      </c>
      <c r="P81" s="71">
        <f t="shared" si="18"/>
        <v>0</v>
      </c>
      <c r="Q81" s="71">
        <f t="shared" si="18"/>
        <v>0</v>
      </c>
      <c r="R81" s="71">
        <f t="shared" si="18"/>
        <v>0</v>
      </c>
      <c r="S81" s="71">
        <f t="shared" si="18"/>
        <v>0</v>
      </c>
      <c r="T81" s="71">
        <f t="shared" si="18"/>
        <v>0</v>
      </c>
      <c r="U81" s="71">
        <f t="shared" si="18"/>
        <v>0</v>
      </c>
      <c r="V81" s="71">
        <f t="shared" si="18"/>
        <v>0</v>
      </c>
      <c r="W81" s="71">
        <f t="shared" si="18"/>
        <v>0</v>
      </c>
      <c r="X81" s="71">
        <f t="shared" si="18"/>
        <v>0</v>
      </c>
      <c r="Y81" s="71">
        <f t="shared" si="18"/>
        <v>0</v>
      </c>
      <c r="Z81" s="71">
        <f t="shared" si="18"/>
        <v>0</v>
      </c>
      <c r="AA81" s="71">
        <f t="shared" si="18"/>
        <v>0</v>
      </c>
      <c r="AB81" s="71">
        <f t="shared" si="18"/>
        <v>0</v>
      </c>
      <c r="AC81" s="71">
        <f t="shared" si="18"/>
        <v>0</v>
      </c>
      <c r="AD81" s="71">
        <f t="shared" si="18"/>
        <v>0</v>
      </c>
      <c r="AE81" s="71">
        <f t="shared" si="18"/>
        <v>0</v>
      </c>
      <c r="AF81" s="71">
        <f t="shared" si="18"/>
        <v>0</v>
      </c>
      <c r="AG81" s="135"/>
      <c r="AH81" s="54">
        <f t="shared" si="17"/>
        <v>0</v>
      </c>
      <c r="AI81" s="55">
        <f t="shared" ref="AI81:AI97" si="19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>IF(B62&lt;0,B62*-1,0)</f>
        <v>0</v>
      </c>
      <c r="C82" s="71">
        <f t="shared" ref="C82:AF82" si="20">IF(C62&lt;0,C62*-1,0)</f>
        <v>0</v>
      </c>
      <c r="D82" s="71">
        <f t="shared" si="20"/>
        <v>0</v>
      </c>
      <c r="E82" s="71">
        <f t="shared" si="20"/>
        <v>0</v>
      </c>
      <c r="F82" s="71">
        <f t="shared" si="20"/>
        <v>0</v>
      </c>
      <c r="G82" s="71">
        <f t="shared" si="20"/>
        <v>0</v>
      </c>
      <c r="H82" s="71">
        <f t="shared" si="20"/>
        <v>0</v>
      </c>
      <c r="I82" s="71">
        <f t="shared" si="20"/>
        <v>0</v>
      </c>
      <c r="J82" s="71">
        <f t="shared" si="20"/>
        <v>0</v>
      </c>
      <c r="K82" s="71">
        <f t="shared" si="20"/>
        <v>0</v>
      </c>
      <c r="L82" s="71">
        <f t="shared" si="20"/>
        <v>0</v>
      </c>
      <c r="M82" s="71">
        <f t="shared" si="20"/>
        <v>0</v>
      </c>
      <c r="N82" s="71">
        <f t="shared" si="20"/>
        <v>0</v>
      </c>
      <c r="O82" s="71">
        <f t="shared" si="20"/>
        <v>0</v>
      </c>
      <c r="P82" s="71">
        <f t="shared" si="20"/>
        <v>0</v>
      </c>
      <c r="Q82" s="71">
        <f t="shared" si="20"/>
        <v>0</v>
      </c>
      <c r="R82" s="71">
        <f t="shared" si="20"/>
        <v>0</v>
      </c>
      <c r="S82" s="71">
        <f t="shared" si="20"/>
        <v>0</v>
      </c>
      <c r="T82" s="71">
        <f t="shared" si="20"/>
        <v>0</v>
      </c>
      <c r="U82" s="71">
        <f t="shared" si="20"/>
        <v>0</v>
      </c>
      <c r="V82" s="71">
        <f t="shared" si="20"/>
        <v>0</v>
      </c>
      <c r="W82" s="71">
        <f t="shared" si="20"/>
        <v>0</v>
      </c>
      <c r="X82" s="71">
        <f t="shared" si="20"/>
        <v>0</v>
      </c>
      <c r="Y82" s="71">
        <f t="shared" si="20"/>
        <v>0</v>
      </c>
      <c r="Z82" s="71">
        <f t="shared" si="20"/>
        <v>0</v>
      </c>
      <c r="AA82" s="71">
        <f t="shared" si="20"/>
        <v>0</v>
      </c>
      <c r="AB82" s="71">
        <f t="shared" si="20"/>
        <v>0</v>
      </c>
      <c r="AC82" s="71">
        <f t="shared" si="20"/>
        <v>0</v>
      </c>
      <c r="AD82" s="71">
        <f t="shared" si="20"/>
        <v>0</v>
      </c>
      <c r="AE82" s="71">
        <f t="shared" si="20"/>
        <v>0</v>
      </c>
      <c r="AF82" s="71">
        <f t="shared" si="20"/>
        <v>0</v>
      </c>
      <c r="AG82" s="136"/>
      <c r="AH82" s="54">
        <f t="shared" si="17"/>
        <v>0</v>
      </c>
      <c r="AI82" s="55">
        <f t="shared" si="19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>IF(B65&lt;0,B65*-1,0)</f>
        <v>0</v>
      </c>
      <c r="C83" s="71">
        <f t="shared" ref="C83:AF83" si="21">IF(C65&lt;0,C65*-1,0)</f>
        <v>0</v>
      </c>
      <c r="D83" s="71">
        <f t="shared" si="21"/>
        <v>0</v>
      </c>
      <c r="E83" s="71">
        <f t="shared" si="21"/>
        <v>0</v>
      </c>
      <c r="F83" s="71">
        <f t="shared" si="21"/>
        <v>0</v>
      </c>
      <c r="G83" s="71">
        <f t="shared" si="21"/>
        <v>0</v>
      </c>
      <c r="H83" s="71">
        <f t="shared" si="21"/>
        <v>0</v>
      </c>
      <c r="I83" s="71">
        <f t="shared" si="21"/>
        <v>0</v>
      </c>
      <c r="J83" s="71">
        <f t="shared" si="21"/>
        <v>0</v>
      </c>
      <c r="K83" s="71">
        <f t="shared" si="21"/>
        <v>0</v>
      </c>
      <c r="L83" s="71">
        <f t="shared" si="21"/>
        <v>0</v>
      </c>
      <c r="M83" s="71">
        <f t="shared" si="21"/>
        <v>0</v>
      </c>
      <c r="N83" s="71">
        <f t="shared" si="21"/>
        <v>0</v>
      </c>
      <c r="O83" s="71">
        <f t="shared" si="21"/>
        <v>0</v>
      </c>
      <c r="P83" s="71">
        <f t="shared" si="21"/>
        <v>0</v>
      </c>
      <c r="Q83" s="71">
        <f t="shared" si="21"/>
        <v>0</v>
      </c>
      <c r="R83" s="71">
        <f t="shared" si="21"/>
        <v>0</v>
      </c>
      <c r="S83" s="71">
        <f t="shared" si="21"/>
        <v>0</v>
      </c>
      <c r="T83" s="71">
        <f t="shared" si="21"/>
        <v>0</v>
      </c>
      <c r="U83" s="71">
        <f t="shared" si="21"/>
        <v>0</v>
      </c>
      <c r="V83" s="71">
        <f t="shared" si="21"/>
        <v>0</v>
      </c>
      <c r="W83" s="71">
        <f t="shared" si="21"/>
        <v>0</v>
      </c>
      <c r="X83" s="71">
        <f t="shared" si="21"/>
        <v>0</v>
      </c>
      <c r="Y83" s="71">
        <f t="shared" si="21"/>
        <v>0</v>
      </c>
      <c r="Z83" s="71">
        <f t="shared" si="21"/>
        <v>0</v>
      </c>
      <c r="AA83" s="71">
        <f t="shared" si="21"/>
        <v>0</v>
      </c>
      <c r="AB83" s="71">
        <f t="shared" si="21"/>
        <v>0</v>
      </c>
      <c r="AC83" s="71">
        <f t="shared" si="21"/>
        <v>0</v>
      </c>
      <c r="AD83" s="71">
        <f t="shared" si="21"/>
        <v>0</v>
      </c>
      <c r="AE83" s="71">
        <f t="shared" si="21"/>
        <v>0</v>
      </c>
      <c r="AF83" s="71">
        <f t="shared" si="21"/>
        <v>0</v>
      </c>
      <c r="AG83" s="144"/>
      <c r="AH83" s="54">
        <f t="shared" si="17"/>
        <v>0</v>
      </c>
      <c r="AI83" s="55">
        <f t="shared" si="19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>IF(B63&lt;0,B63*-1,0)</f>
        <v>369.9</v>
      </c>
      <c r="C84" s="71">
        <f t="shared" ref="C84:AF84" si="22">IF(C63&lt;0,C63*-1,0)</f>
        <v>411</v>
      </c>
      <c r="D84" s="71">
        <f t="shared" si="22"/>
        <v>375</v>
      </c>
      <c r="E84" s="71">
        <f t="shared" si="22"/>
        <v>440</v>
      </c>
      <c r="F84" s="71">
        <f t="shared" si="22"/>
        <v>444</v>
      </c>
      <c r="G84" s="71">
        <f t="shared" si="22"/>
        <v>400</v>
      </c>
      <c r="H84" s="71">
        <f t="shared" si="22"/>
        <v>375</v>
      </c>
      <c r="I84" s="71">
        <f t="shared" si="22"/>
        <v>449</v>
      </c>
      <c r="J84" s="71">
        <f t="shared" si="22"/>
        <v>440</v>
      </c>
      <c r="K84" s="71">
        <f t="shared" si="22"/>
        <v>388</v>
      </c>
      <c r="L84" s="71">
        <f t="shared" si="22"/>
        <v>354</v>
      </c>
      <c r="M84" s="71">
        <f t="shared" si="22"/>
        <v>389.2</v>
      </c>
      <c r="N84" s="71">
        <f t="shared" si="22"/>
        <v>414.1</v>
      </c>
      <c r="O84" s="71">
        <f t="shared" si="22"/>
        <v>330</v>
      </c>
      <c r="P84" s="71">
        <f t="shared" si="22"/>
        <v>387.1</v>
      </c>
      <c r="Q84" s="71">
        <f t="shared" si="22"/>
        <v>405</v>
      </c>
      <c r="R84" s="71">
        <f t="shared" si="22"/>
        <v>401.6</v>
      </c>
      <c r="S84" s="71">
        <f t="shared" si="22"/>
        <v>418</v>
      </c>
      <c r="T84" s="71">
        <f t="shared" si="22"/>
        <v>414</v>
      </c>
      <c r="U84" s="71">
        <f t="shared" si="22"/>
        <v>414</v>
      </c>
      <c r="V84" s="71">
        <f t="shared" si="22"/>
        <v>417</v>
      </c>
      <c r="W84" s="71">
        <f t="shared" si="22"/>
        <v>403</v>
      </c>
      <c r="X84" s="71">
        <f t="shared" si="22"/>
        <v>415</v>
      </c>
      <c r="Y84" s="71">
        <f t="shared" si="22"/>
        <v>371</v>
      </c>
      <c r="Z84" s="71">
        <f t="shared" si="22"/>
        <v>376</v>
      </c>
      <c r="AA84" s="71">
        <f t="shared" si="22"/>
        <v>357</v>
      </c>
      <c r="AB84" s="71">
        <f t="shared" si="22"/>
        <v>356.2</v>
      </c>
      <c r="AC84" s="71">
        <f t="shared" si="22"/>
        <v>367</v>
      </c>
      <c r="AD84" s="71">
        <f t="shared" si="22"/>
        <v>370.6</v>
      </c>
      <c r="AE84" s="71">
        <f t="shared" si="22"/>
        <v>400.1</v>
      </c>
      <c r="AF84" s="71">
        <f t="shared" si="22"/>
        <v>410.8</v>
      </c>
      <c r="AG84" s="144"/>
      <c r="AH84" s="54">
        <f t="shared" si="17"/>
        <v>449</v>
      </c>
      <c r="AI84" s="55">
        <f t="shared" si="19"/>
        <v>330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>IF(B61&lt;0,B61*-1,0)</f>
        <v>0</v>
      </c>
      <c r="C85" s="71">
        <f t="shared" ref="C85:AF85" si="23">IF(C61&lt;0,C61*-1,0)</f>
        <v>0</v>
      </c>
      <c r="D85" s="71">
        <f t="shared" si="23"/>
        <v>0</v>
      </c>
      <c r="E85" s="71">
        <f t="shared" si="23"/>
        <v>0</v>
      </c>
      <c r="F85" s="71">
        <f t="shared" si="23"/>
        <v>0</v>
      </c>
      <c r="G85" s="71">
        <f t="shared" si="23"/>
        <v>0</v>
      </c>
      <c r="H85" s="71">
        <f t="shared" si="23"/>
        <v>0</v>
      </c>
      <c r="I85" s="71">
        <f t="shared" si="23"/>
        <v>0</v>
      </c>
      <c r="J85" s="71">
        <f t="shared" si="23"/>
        <v>0</v>
      </c>
      <c r="K85" s="71">
        <f t="shared" si="23"/>
        <v>0</v>
      </c>
      <c r="L85" s="71">
        <f t="shared" si="23"/>
        <v>0</v>
      </c>
      <c r="M85" s="71">
        <f t="shared" si="23"/>
        <v>0</v>
      </c>
      <c r="N85" s="71">
        <f t="shared" si="23"/>
        <v>0</v>
      </c>
      <c r="O85" s="71">
        <f t="shared" si="23"/>
        <v>0</v>
      </c>
      <c r="P85" s="71">
        <f t="shared" si="23"/>
        <v>0</v>
      </c>
      <c r="Q85" s="71">
        <f t="shared" si="23"/>
        <v>0</v>
      </c>
      <c r="R85" s="71">
        <f t="shared" si="23"/>
        <v>0</v>
      </c>
      <c r="S85" s="71">
        <f t="shared" si="23"/>
        <v>0</v>
      </c>
      <c r="T85" s="71">
        <f t="shared" si="23"/>
        <v>0</v>
      </c>
      <c r="U85" s="71">
        <f t="shared" si="23"/>
        <v>0</v>
      </c>
      <c r="V85" s="71">
        <f t="shared" si="23"/>
        <v>0</v>
      </c>
      <c r="W85" s="71">
        <f t="shared" si="23"/>
        <v>0</v>
      </c>
      <c r="X85" s="71">
        <f t="shared" si="23"/>
        <v>0</v>
      </c>
      <c r="Y85" s="71">
        <f t="shared" si="23"/>
        <v>0</v>
      </c>
      <c r="Z85" s="71">
        <f t="shared" si="23"/>
        <v>0</v>
      </c>
      <c r="AA85" s="71">
        <f t="shared" si="23"/>
        <v>0</v>
      </c>
      <c r="AB85" s="71">
        <f t="shared" si="23"/>
        <v>0</v>
      </c>
      <c r="AC85" s="71">
        <f t="shared" si="23"/>
        <v>0</v>
      </c>
      <c r="AD85" s="71">
        <f t="shared" si="23"/>
        <v>0</v>
      </c>
      <c r="AE85" s="71">
        <f t="shared" si="23"/>
        <v>0</v>
      </c>
      <c r="AF85" s="71">
        <f t="shared" si="23"/>
        <v>0</v>
      </c>
      <c r="AG85" s="144"/>
      <c r="AH85" s="54">
        <f t="shared" si="17"/>
        <v>0</v>
      </c>
      <c r="AI85" s="55">
        <f t="shared" si="19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/>
      <c r="AD86" s="74"/>
      <c r="AE86" s="74"/>
      <c r="AF86" s="74"/>
      <c r="AG86" s="141"/>
      <c r="AH86" s="54">
        <f t="shared" si="17"/>
        <v>0</v>
      </c>
      <c r="AI86" s="55">
        <f t="shared" si="19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>SUM(B81:B86)</f>
        <v>369.9</v>
      </c>
      <c r="C87" s="66">
        <f t="shared" ref="C87:AF87" si="24">SUM(C81:C86)</f>
        <v>411</v>
      </c>
      <c r="D87" s="66">
        <f t="shared" si="24"/>
        <v>375</v>
      </c>
      <c r="E87" s="66">
        <f t="shared" si="24"/>
        <v>440</v>
      </c>
      <c r="F87" s="66">
        <f t="shared" si="24"/>
        <v>444</v>
      </c>
      <c r="G87" s="66">
        <f t="shared" si="24"/>
        <v>400</v>
      </c>
      <c r="H87" s="66">
        <f t="shared" si="24"/>
        <v>375</v>
      </c>
      <c r="I87" s="66">
        <f t="shared" si="24"/>
        <v>449</v>
      </c>
      <c r="J87" s="66">
        <f t="shared" si="24"/>
        <v>440</v>
      </c>
      <c r="K87" s="66">
        <f t="shared" si="24"/>
        <v>388</v>
      </c>
      <c r="L87" s="66">
        <f t="shared" si="24"/>
        <v>354</v>
      </c>
      <c r="M87" s="66">
        <f t="shared" si="24"/>
        <v>389.2</v>
      </c>
      <c r="N87" s="66">
        <f t="shared" si="24"/>
        <v>414.1</v>
      </c>
      <c r="O87" s="66">
        <f t="shared" si="24"/>
        <v>330</v>
      </c>
      <c r="P87" s="66">
        <f t="shared" si="24"/>
        <v>387.1</v>
      </c>
      <c r="Q87" s="66">
        <f t="shared" si="24"/>
        <v>405</v>
      </c>
      <c r="R87" s="66">
        <f t="shared" si="24"/>
        <v>401.6</v>
      </c>
      <c r="S87" s="66">
        <f t="shared" si="24"/>
        <v>418</v>
      </c>
      <c r="T87" s="66">
        <f t="shared" si="24"/>
        <v>414</v>
      </c>
      <c r="U87" s="66">
        <f t="shared" si="24"/>
        <v>414</v>
      </c>
      <c r="V87" s="66">
        <f t="shared" si="24"/>
        <v>417</v>
      </c>
      <c r="W87" s="66">
        <f t="shared" si="24"/>
        <v>403</v>
      </c>
      <c r="X87" s="66">
        <f t="shared" si="24"/>
        <v>415</v>
      </c>
      <c r="Y87" s="66">
        <f t="shared" si="24"/>
        <v>371</v>
      </c>
      <c r="Z87" s="66">
        <f t="shared" si="24"/>
        <v>376</v>
      </c>
      <c r="AA87" s="66">
        <f t="shared" si="24"/>
        <v>357</v>
      </c>
      <c r="AB87" s="66">
        <f t="shared" si="24"/>
        <v>356.2</v>
      </c>
      <c r="AC87" s="66">
        <f t="shared" si="24"/>
        <v>367</v>
      </c>
      <c r="AD87" s="66">
        <f t="shared" si="24"/>
        <v>370.6</v>
      </c>
      <c r="AE87" s="66">
        <f t="shared" si="24"/>
        <v>400.1</v>
      </c>
      <c r="AF87" s="66">
        <f t="shared" si="24"/>
        <v>410.8</v>
      </c>
      <c r="AG87" s="138"/>
      <c r="AH87" s="54">
        <f t="shared" si="17"/>
        <v>449</v>
      </c>
      <c r="AI87" s="55">
        <f t="shared" si="19"/>
        <v>330</v>
      </c>
      <c r="AK87" s="56"/>
    </row>
    <row r="88" spans="1:88" s="1" customFormat="1" ht="15.75" thickBot="1" x14ac:dyDescent="0.3">
      <c r="A88" s="65" t="s">
        <v>64</v>
      </c>
      <c r="B88" s="66">
        <f>B72-B87</f>
        <v>-366</v>
      </c>
      <c r="C88" s="66">
        <f t="shared" ref="C88:AF88" si="25">C72-C87</f>
        <v>-411</v>
      </c>
      <c r="D88" s="66">
        <f t="shared" si="25"/>
        <v>-375</v>
      </c>
      <c r="E88" s="66">
        <f t="shared" si="25"/>
        <v>-440</v>
      </c>
      <c r="F88" s="66">
        <f t="shared" si="25"/>
        <v>-444</v>
      </c>
      <c r="G88" s="66">
        <f t="shared" si="25"/>
        <v>-400</v>
      </c>
      <c r="H88" s="66">
        <f t="shared" si="25"/>
        <v>-375</v>
      </c>
      <c r="I88" s="66">
        <f t="shared" si="25"/>
        <v>-449</v>
      </c>
      <c r="J88" s="66">
        <f t="shared" si="25"/>
        <v>-440</v>
      </c>
      <c r="K88" s="66">
        <f t="shared" si="25"/>
        <v>-388</v>
      </c>
      <c r="L88" s="66">
        <f t="shared" si="25"/>
        <v>-354</v>
      </c>
      <c r="M88" s="66">
        <f t="shared" si="25"/>
        <v>-389.2</v>
      </c>
      <c r="N88" s="66">
        <f t="shared" si="25"/>
        <v>-414.1</v>
      </c>
      <c r="O88" s="66">
        <f t="shared" si="25"/>
        <v>-330</v>
      </c>
      <c r="P88" s="66">
        <f t="shared" si="25"/>
        <v>-367.3</v>
      </c>
      <c r="Q88" s="66">
        <f t="shared" si="25"/>
        <v>-405</v>
      </c>
      <c r="R88" s="66">
        <f t="shared" si="25"/>
        <v>-401.6</v>
      </c>
      <c r="S88" s="66">
        <f t="shared" si="25"/>
        <v>-418</v>
      </c>
      <c r="T88" s="66">
        <f t="shared" si="25"/>
        <v>-414</v>
      </c>
      <c r="U88" s="66">
        <f t="shared" si="25"/>
        <v>-414</v>
      </c>
      <c r="V88" s="66">
        <f t="shared" si="25"/>
        <v>-417</v>
      </c>
      <c r="W88" s="66">
        <f t="shared" si="25"/>
        <v>-403</v>
      </c>
      <c r="X88" s="66">
        <f t="shared" si="25"/>
        <v>-415</v>
      </c>
      <c r="Y88" s="66">
        <f t="shared" si="25"/>
        <v>-371</v>
      </c>
      <c r="Z88" s="66">
        <f t="shared" si="25"/>
        <v>-376</v>
      </c>
      <c r="AA88" s="66">
        <f t="shared" si="25"/>
        <v>-357</v>
      </c>
      <c r="AB88" s="66">
        <f t="shared" si="25"/>
        <v>-356.2</v>
      </c>
      <c r="AC88" s="66">
        <f t="shared" si="25"/>
        <v>-367</v>
      </c>
      <c r="AD88" s="66">
        <f t="shared" si="25"/>
        <v>-370.6</v>
      </c>
      <c r="AE88" s="66">
        <f t="shared" si="25"/>
        <v>-400.1</v>
      </c>
      <c r="AF88" s="66">
        <f t="shared" si="25"/>
        <v>-410.8</v>
      </c>
      <c r="AG88" s="138"/>
      <c r="AH88" s="54">
        <f t="shared" si="17"/>
        <v>-330</v>
      </c>
      <c r="AI88" s="55">
        <f t="shared" si="19"/>
        <v>-449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50.027999999999999</v>
      </c>
      <c r="C89" s="80">
        <v>50.042000000000002</v>
      </c>
      <c r="D89" s="80">
        <v>50</v>
      </c>
      <c r="E89" s="80">
        <v>50</v>
      </c>
      <c r="F89" s="80">
        <v>50</v>
      </c>
      <c r="G89" s="80">
        <v>50</v>
      </c>
      <c r="H89" s="80">
        <v>50</v>
      </c>
      <c r="I89" s="80">
        <v>50</v>
      </c>
      <c r="J89" s="80">
        <v>49.98</v>
      </c>
      <c r="K89" s="80">
        <v>50.05</v>
      </c>
      <c r="L89" s="80">
        <v>50.045000000000002</v>
      </c>
      <c r="M89" s="80">
        <v>50.045000000000002</v>
      </c>
      <c r="N89" s="80">
        <v>50.045000000000002</v>
      </c>
      <c r="O89" s="80">
        <v>50.012</v>
      </c>
      <c r="P89" s="80">
        <v>50.034999999999997</v>
      </c>
      <c r="Q89" s="80">
        <v>50.034999999999997</v>
      </c>
      <c r="R89" s="80">
        <v>50.055</v>
      </c>
      <c r="S89" s="80">
        <v>50.009</v>
      </c>
      <c r="T89" s="80">
        <v>50.021000000000001</v>
      </c>
      <c r="U89" s="80">
        <v>50.021000000000001</v>
      </c>
      <c r="V89" s="80">
        <v>50.02</v>
      </c>
      <c r="W89" s="80">
        <v>50.051000000000002</v>
      </c>
      <c r="X89" s="80">
        <v>50.033000000000001</v>
      </c>
      <c r="Y89" s="80">
        <v>50.033000000000001</v>
      </c>
      <c r="Z89" s="80">
        <v>49.984000000000002</v>
      </c>
      <c r="AA89" s="80">
        <v>49.817999999999998</v>
      </c>
      <c r="AB89" s="80">
        <v>50.011000000000003</v>
      </c>
      <c r="AC89" s="80">
        <v>49.841999999999999</v>
      </c>
      <c r="AD89" s="80">
        <v>49.951999999999998</v>
      </c>
      <c r="AE89" s="80">
        <v>50.012</v>
      </c>
      <c r="AF89" s="80">
        <v>50.034999999999997</v>
      </c>
      <c r="AG89" s="145"/>
      <c r="AH89" s="54">
        <f t="shared" si="17"/>
        <v>50.055</v>
      </c>
      <c r="AI89" s="55">
        <f t="shared" si="19"/>
        <v>49.817999999999998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126</v>
      </c>
      <c r="C90" s="48">
        <v>126</v>
      </c>
      <c r="D90" s="48">
        <v>126</v>
      </c>
      <c r="E90" s="48">
        <v>126</v>
      </c>
      <c r="F90" s="48">
        <v>126</v>
      </c>
      <c r="G90" s="48">
        <v>126</v>
      </c>
      <c r="H90" s="48">
        <v>126</v>
      </c>
      <c r="I90" s="48">
        <v>126</v>
      </c>
      <c r="J90" s="48">
        <v>126</v>
      </c>
      <c r="K90" s="48">
        <v>124.7</v>
      </c>
      <c r="L90" s="48">
        <v>124.4</v>
      </c>
      <c r="M90" s="48">
        <v>123.5</v>
      </c>
      <c r="N90" s="48">
        <v>124.4</v>
      </c>
      <c r="O90" s="48">
        <v>124.9</v>
      </c>
      <c r="P90" s="48">
        <v>124.2</v>
      </c>
      <c r="Q90" s="48">
        <v>124.2</v>
      </c>
      <c r="R90" s="48">
        <v>125.6</v>
      </c>
      <c r="S90" s="48">
        <v>125.6</v>
      </c>
      <c r="T90" s="48">
        <v>125.6</v>
      </c>
      <c r="U90" s="48">
        <v>125.6</v>
      </c>
      <c r="V90" s="48">
        <v>124.7</v>
      </c>
      <c r="W90" s="48">
        <v>124.6</v>
      </c>
      <c r="X90" s="48">
        <v>124.6</v>
      </c>
      <c r="Y90" s="48">
        <v>124.6</v>
      </c>
      <c r="Z90" s="48">
        <v>124.6</v>
      </c>
      <c r="AA90" s="48">
        <v>124.6</v>
      </c>
      <c r="AB90" s="48">
        <v>126.1</v>
      </c>
      <c r="AC90" s="48">
        <v>125.5</v>
      </c>
      <c r="AD90" s="48">
        <v>125.4</v>
      </c>
      <c r="AE90" s="48">
        <v>123.9</v>
      </c>
      <c r="AF90" s="48">
        <v>124.2</v>
      </c>
      <c r="AG90" s="146"/>
      <c r="AH90" s="54">
        <f t="shared" si="17"/>
        <v>126.1</v>
      </c>
      <c r="AI90" s="55">
        <f t="shared" si="19"/>
        <v>123.5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130</v>
      </c>
      <c r="C91" s="48">
        <v>130</v>
      </c>
      <c r="D91" s="48">
        <v>130</v>
      </c>
      <c r="E91" s="48">
        <v>130</v>
      </c>
      <c r="F91" s="48">
        <v>130</v>
      </c>
      <c r="G91" s="48">
        <v>130</v>
      </c>
      <c r="H91" s="48">
        <v>130</v>
      </c>
      <c r="I91" s="48">
        <v>130</v>
      </c>
      <c r="J91" s="48">
        <v>130.4</v>
      </c>
      <c r="K91" s="48">
        <v>128</v>
      </c>
      <c r="L91" s="48">
        <v>127.8</v>
      </c>
      <c r="M91" s="48">
        <v>127.1</v>
      </c>
      <c r="N91" s="48">
        <v>127.7</v>
      </c>
      <c r="O91" s="48">
        <v>128.6</v>
      </c>
      <c r="P91" s="48">
        <v>127.7</v>
      </c>
      <c r="Q91" s="48">
        <v>127.7</v>
      </c>
      <c r="R91" s="48">
        <v>129</v>
      </c>
      <c r="S91" s="48">
        <v>129</v>
      </c>
      <c r="T91" s="48">
        <v>129</v>
      </c>
      <c r="U91" s="48">
        <v>129</v>
      </c>
      <c r="V91" s="48">
        <v>127.9</v>
      </c>
      <c r="W91" s="48">
        <v>128</v>
      </c>
      <c r="X91" s="48">
        <v>128</v>
      </c>
      <c r="Y91" s="48">
        <v>128</v>
      </c>
      <c r="Z91" s="48">
        <v>128</v>
      </c>
      <c r="AA91" s="48">
        <v>127.7</v>
      </c>
      <c r="AB91" s="48">
        <v>128.9</v>
      </c>
      <c r="AC91" s="48">
        <v>129</v>
      </c>
      <c r="AD91" s="48">
        <v>129.19999999999999</v>
      </c>
      <c r="AE91" s="48">
        <v>128.80000000000001</v>
      </c>
      <c r="AF91" s="48">
        <v>129</v>
      </c>
      <c r="AG91" s="146"/>
      <c r="AH91" s="54">
        <f t="shared" si="17"/>
        <v>130.4</v>
      </c>
      <c r="AI91" s="55">
        <f t="shared" si="19"/>
        <v>127.1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130</v>
      </c>
      <c r="C92" s="48">
        <v>130</v>
      </c>
      <c r="D92" s="48">
        <v>130</v>
      </c>
      <c r="E92" s="48">
        <v>130</v>
      </c>
      <c r="F92" s="48">
        <v>130</v>
      </c>
      <c r="G92" s="48">
        <v>130</v>
      </c>
      <c r="H92" s="48">
        <v>130</v>
      </c>
      <c r="I92" s="48">
        <v>130</v>
      </c>
      <c r="J92" s="48">
        <v>130</v>
      </c>
      <c r="K92" s="48">
        <v>130</v>
      </c>
      <c r="L92" s="48">
        <v>129</v>
      </c>
      <c r="M92" s="48">
        <v>128.69999999999999</v>
      </c>
      <c r="N92" s="48">
        <v>126.1</v>
      </c>
      <c r="O92" s="48">
        <v>127.5</v>
      </c>
      <c r="P92" s="48">
        <v>129.80000000000001</v>
      </c>
      <c r="Q92" s="48">
        <v>129.80000000000001</v>
      </c>
      <c r="R92" s="48">
        <v>129.69999999999999</v>
      </c>
      <c r="S92" s="48">
        <v>129.69999999999999</v>
      </c>
      <c r="T92" s="48">
        <v>129.69999999999999</v>
      </c>
      <c r="U92" s="48">
        <v>129.69999999999999</v>
      </c>
      <c r="V92" s="48">
        <v>129.9</v>
      </c>
      <c r="W92" s="48">
        <v>130</v>
      </c>
      <c r="X92" s="48">
        <v>130</v>
      </c>
      <c r="Y92" s="48">
        <v>130</v>
      </c>
      <c r="Z92" s="48">
        <v>130</v>
      </c>
      <c r="AA92" s="48">
        <v>128</v>
      </c>
      <c r="AB92" s="48">
        <v>128.19999999999999</v>
      </c>
      <c r="AC92" s="48">
        <v>128</v>
      </c>
      <c r="AD92" s="48">
        <v>127.1</v>
      </c>
      <c r="AE92" s="48">
        <v>127.1</v>
      </c>
      <c r="AF92" s="48">
        <v>127.5</v>
      </c>
      <c r="AG92" s="146"/>
      <c r="AH92" s="54">
        <f t="shared" si="17"/>
        <v>130</v>
      </c>
      <c r="AI92" s="55">
        <f t="shared" si="19"/>
        <v>126.1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>
        <v>134</v>
      </c>
      <c r="C93" s="48">
        <v>134</v>
      </c>
      <c r="D93" s="48">
        <v>134</v>
      </c>
      <c r="E93" s="48">
        <v>134</v>
      </c>
      <c r="F93" s="48">
        <v>134</v>
      </c>
      <c r="G93" s="48">
        <v>134</v>
      </c>
      <c r="H93" s="48">
        <v>134.6</v>
      </c>
      <c r="I93" s="48">
        <v>134.6</v>
      </c>
      <c r="J93" s="48">
        <v>134.6</v>
      </c>
      <c r="K93" s="48">
        <v>134.19999999999999</v>
      </c>
      <c r="L93" s="48">
        <v>134.19999999999999</v>
      </c>
      <c r="M93" s="48">
        <v>133.1</v>
      </c>
      <c r="N93" s="48">
        <v>131.4</v>
      </c>
      <c r="O93" s="48">
        <v>131.30000000000001</v>
      </c>
      <c r="P93" s="48">
        <v>133.1</v>
      </c>
      <c r="Q93" s="48">
        <v>133.1</v>
      </c>
      <c r="R93" s="48">
        <v>134.30000000000001</v>
      </c>
      <c r="S93" s="48">
        <v>134.30000000000001</v>
      </c>
      <c r="T93" s="48">
        <v>134.30000000000001</v>
      </c>
      <c r="U93" s="48">
        <v>134.30000000000001</v>
      </c>
      <c r="V93" s="48">
        <v>133.19999999999999</v>
      </c>
      <c r="W93" s="48">
        <v>133</v>
      </c>
      <c r="X93" s="48">
        <v>133</v>
      </c>
      <c r="Y93" s="48">
        <v>133</v>
      </c>
      <c r="Z93" s="48">
        <v>133</v>
      </c>
      <c r="AA93" s="48">
        <v>133</v>
      </c>
      <c r="AB93" s="48">
        <v>135</v>
      </c>
      <c r="AC93" s="48">
        <v>134.80000000000001</v>
      </c>
      <c r="AD93" s="48">
        <v>134.4</v>
      </c>
      <c r="AE93" s="48">
        <v>132.9</v>
      </c>
      <c r="AF93" s="48">
        <v>133.1</v>
      </c>
      <c r="AG93" s="146"/>
      <c r="AH93" s="54">
        <f t="shared" si="17"/>
        <v>135</v>
      </c>
      <c r="AI93" s="55">
        <f t="shared" si="19"/>
        <v>131.30000000000001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133</v>
      </c>
      <c r="C94" s="82">
        <v>133</v>
      </c>
      <c r="D94" s="82">
        <v>133</v>
      </c>
      <c r="E94" s="82">
        <v>133</v>
      </c>
      <c r="F94" s="82">
        <v>133</v>
      </c>
      <c r="G94" s="82">
        <v>131.69999999999999</v>
      </c>
      <c r="H94" s="82">
        <v>131</v>
      </c>
      <c r="I94" s="82">
        <v>131</v>
      </c>
      <c r="J94" s="82">
        <v>131</v>
      </c>
      <c r="K94" s="82">
        <v>131</v>
      </c>
      <c r="L94" s="82">
        <v>131.80000000000001</v>
      </c>
      <c r="M94" s="82">
        <v>128.9</v>
      </c>
      <c r="N94" s="82">
        <v>133.9</v>
      </c>
      <c r="O94" s="82">
        <v>133.5</v>
      </c>
      <c r="P94" s="82">
        <v>131.1</v>
      </c>
      <c r="Q94" s="82">
        <v>131.1</v>
      </c>
      <c r="R94" s="82">
        <v>133.69999999999999</v>
      </c>
      <c r="S94" s="82">
        <v>133.69999999999999</v>
      </c>
      <c r="T94" s="82">
        <v>133.69999999999999</v>
      </c>
      <c r="U94" s="82">
        <v>133.69999999999999</v>
      </c>
      <c r="V94" s="82">
        <v>131.4</v>
      </c>
      <c r="W94" s="82">
        <v>133</v>
      </c>
      <c r="X94" s="82">
        <v>133</v>
      </c>
      <c r="Y94" s="82">
        <v>133</v>
      </c>
      <c r="Z94" s="82">
        <v>133</v>
      </c>
      <c r="AA94" s="82">
        <v>134</v>
      </c>
      <c r="AB94" s="82">
        <v>132.6</v>
      </c>
      <c r="AC94" s="82">
        <v>132.4</v>
      </c>
      <c r="AD94" s="82">
        <v>132.9</v>
      </c>
      <c r="AE94" s="82">
        <v>133.80000000000001</v>
      </c>
      <c r="AF94" s="82">
        <v>130.69999999999999</v>
      </c>
      <c r="AG94" s="147"/>
      <c r="AH94" s="54">
        <f t="shared" si="17"/>
        <v>134</v>
      </c>
      <c r="AI94" s="55">
        <f t="shared" si="19"/>
        <v>128.9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129.69999999999999</v>
      </c>
      <c r="C95" s="48">
        <v>129.69999999999999</v>
      </c>
      <c r="D95" s="48">
        <v>129.69999999999999</v>
      </c>
      <c r="E95" s="48">
        <v>129.9</v>
      </c>
      <c r="F95" s="48">
        <v>129.69999999999999</v>
      </c>
      <c r="G95" s="48">
        <v>130.80000000000001</v>
      </c>
      <c r="H95" s="48">
        <v>132.6</v>
      </c>
      <c r="I95" s="48">
        <v>132.6</v>
      </c>
      <c r="J95" s="48">
        <v>132.6</v>
      </c>
      <c r="K95" s="48">
        <v>130.4</v>
      </c>
      <c r="L95" s="48">
        <v>129</v>
      </c>
      <c r="M95" s="48">
        <v>129.4</v>
      </c>
      <c r="N95" s="48">
        <v>134.1</v>
      </c>
      <c r="O95" s="48">
        <v>134.80000000000001</v>
      </c>
      <c r="P95" s="48">
        <v>128.1</v>
      </c>
      <c r="Q95" s="48">
        <v>128.1</v>
      </c>
      <c r="R95" s="48">
        <v>128.1</v>
      </c>
      <c r="S95" s="48">
        <v>128.1</v>
      </c>
      <c r="T95" s="48">
        <v>128.1</v>
      </c>
      <c r="U95" s="48">
        <v>128.1</v>
      </c>
      <c r="V95" s="48">
        <v>128.30000000000001</v>
      </c>
      <c r="W95" s="48">
        <v>131</v>
      </c>
      <c r="X95" s="48">
        <v>131</v>
      </c>
      <c r="Y95" s="48">
        <v>131</v>
      </c>
      <c r="Z95" s="48">
        <v>131</v>
      </c>
      <c r="AA95" s="48">
        <v>131</v>
      </c>
      <c r="AB95" s="48">
        <v>128.6</v>
      </c>
      <c r="AC95" s="48">
        <v>124.8</v>
      </c>
      <c r="AD95" s="48">
        <v>126.2</v>
      </c>
      <c r="AE95" s="48">
        <v>132.1</v>
      </c>
      <c r="AF95" s="48">
        <v>126.3</v>
      </c>
      <c r="AG95" s="146"/>
      <c r="AH95" s="54">
        <f t="shared" si="17"/>
        <v>134.80000000000001</v>
      </c>
      <c r="AI95" s="55">
        <f t="shared" si="19"/>
        <v>124.8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66</v>
      </c>
      <c r="C96" s="83">
        <v>66</v>
      </c>
      <c r="D96" s="83">
        <v>66</v>
      </c>
      <c r="E96" s="83">
        <v>66</v>
      </c>
      <c r="F96" s="83">
        <v>66</v>
      </c>
      <c r="G96" s="83">
        <v>66</v>
      </c>
      <c r="H96" s="83">
        <v>66</v>
      </c>
      <c r="I96" s="83">
        <v>66</v>
      </c>
      <c r="J96" s="83">
        <v>66</v>
      </c>
      <c r="K96" s="83">
        <v>66</v>
      </c>
      <c r="L96" s="83">
        <v>64.5</v>
      </c>
      <c r="M96" s="83">
        <v>64.2</v>
      </c>
      <c r="N96" s="83">
        <v>64.400000000000006</v>
      </c>
      <c r="O96" s="83">
        <v>64.599999999999994</v>
      </c>
      <c r="P96" s="83">
        <v>64</v>
      </c>
      <c r="Q96" s="83">
        <v>64</v>
      </c>
      <c r="R96" s="83">
        <v>65.099999999999994</v>
      </c>
      <c r="S96" s="83">
        <v>65.099999999999994</v>
      </c>
      <c r="T96" s="83">
        <v>65.099999999999994</v>
      </c>
      <c r="U96" s="83">
        <v>65.099999999999994</v>
      </c>
      <c r="V96" s="83">
        <v>64.7</v>
      </c>
      <c r="W96" s="83">
        <v>64.7</v>
      </c>
      <c r="X96" s="83">
        <v>64.7</v>
      </c>
      <c r="Y96" s="83">
        <v>64.7</v>
      </c>
      <c r="Z96" s="83">
        <v>64.7</v>
      </c>
      <c r="AA96" s="83">
        <v>64.5</v>
      </c>
      <c r="AB96" s="83">
        <v>65.2</v>
      </c>
      <c r="AC96" s="83">
        <v>65.2</v>
      </c>
      <c r="AD96" s="83">
        <v>65.7</v>
      </c>
      <c r="AE96" s="83">
        <v>65.099999999999994</v>
      </c>
      <c r="AF96" s="83">
        <v>65.2</v>
      </c>
      <c r="AG96" s="148"/>
      <c r="AH96" s="54">
        <f t="shared" si="17"/>
        <v>66</v>
      </c>
      <c r="AI96" s="55">
        <f t="shared" si="19"/>
        <v>64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17"/>
        <v>0</v>
      </c>
      <c r="AI97" s="55">
        <f t="shared" si="19"/>
        <v>0</v>
      </c>
    </row>
    <row r="98" spans="1:37" ht="15.75" thickBot="1" x14ac:dyDescent="0.3">
      <c r="A98" s="85" t="s">
        <v>73</v>
      </c>
      <c r="B98" s="86">
        <f t="shared" ref="B98:AF98" si="26">SUM(B15,B18,B21:B22,B46,B48:B49,B51,B53,B99:B102,B123,B129,B135,B144,B146,B158,B165,B168:B169,B176,B178,B180,B184:B186,B188:B190,B195,B201:B202,B204:B206,B214,B219)</f>
        <v>34.100000000000023</v>
      </c>
      <c r="C98" s="86">
        <f t="shared" si="26"/>
        <v>23.240000000000023</v>
      </c>
      <c r="D98" s="86">
        <f t="shared" si="26"/>
        <v>10.140000000000013</v>
      </c>
      <c r="E98" s="86">
        <f t="shared" si="26"/>
        <v>23.140000000000011</v>
      </c>
      <c r="F98" s="86">
        <f t="shared" si="26"/>
        <v>30.74000000000002</v>
      </c>
      <c r="G98" s="86">
        <f t="shared" si="26"/>
        <v>35.940000000000019</v>
      </c>
      <c r="H98" s="86">
        <f t="shared" si="26"/>
        <v>10.740000000000023</v>
      </c>
      <c r="I98" s="86">
        <f t="shared" si="26"/>
        <v>10.740000000000023</v>
      </c>
      <c r="J98" s="86">
        <f t="shared" si="26"/>
        <v>26.740000000000023</v>
      </c>
      <c r="K98" s="86">
        <f t="shared" si="26"/>
        <v>121.84</v>
      </c>
      <c r="L98" s="86">
        <f t="shared" si="26"/>
        <v>146.63999999999999</v>
      </c>
      <c r="M98" s="86">
        <f t="shared" si="26"/>
        <v>164.04</v>
      </c>
      <c r="N98" s="86">
        <f t="shared" si="26"/>
        <v>168.33999999999997</v>
      </c>
      <c r="O98" s="86">
        <f t="shared" si="26"/>
        <v>171.24</v>
      </c>
      <c r="P98" s="86">
        <f t="shared" si="26"/>
        <v>180.94</v>
      </c>
      <c r="Q98" s="86">
        <f t="shared" si="26"/>
        <v>175</v>
      </c>
      <c r="R98" s="86">
        <f t="shared" si="26"/>
        <v>162.59999999999997</v>
      </c>
      <c r="S98" s="86">
        <f t="shared" si="26"/>
        <v>150.39999999999998</v>
      </c>
      <c r="T98" s="86">
        <f t="shared" si="26"/>
        <v>160.09999999999997</v>
      </c>
      <c r="U98" s="86">
        <f t="shared" si="26"/>
        <v>155.89999999999998</v>
      </c>
      <c r="V98" s="86">
        <f t="shared" si="26"/>
        <v>164.59999999999997</v>
      </c>
      <c r="W98" s="86">
        <f t="shared" si="26"/>
        <v>167.8</v>
      </c>
      <c r="X98" s="86">
        <f t="shared" si="26"/>
        <v>163.80000000000001</v>
      </c>
      <c r="Y98" s="86">
        <f t="shared" si="26"/>
        <v>192.8</v>
      </c>
      <c r="Z98" s="86">
        <f t="shared" si="26"/>
        <v>207.8</v>
      </c>
      <c r="AA98" s="86">
        <f t="shared" si="26"/>
        <v>208.9</v>
      </c>
      <c r="AB98" s="86">
        <f t="shared" si="26"/>
        <v>169.79999999999998</v>
      </c>
      <c r="AC98" s="86">
        <f t="shared" si="26"/>
        <v>178.10000000000002</v>
      </c>
      <c r="AD98" s="86">
        <f t="shared" si="26"/>
        <v>146.89999999999998</v>
      </c>
      <c r="AE98" s="86">
        <f t="shared" si="26"/>
        <v>76.600000000000009</v>
      </c>
      <c r="AF98" s="86">
        <f t="shared" si="26"/>
        <v>31.299999999999997</v>
      </c>
      <c r="AG98" s="150"/>
      <c r="AH98" s="54">
        <f>MAX(C98:AF98)</f>
        <v>208.9</v>
      </c>
      <c r="AI98" s="55">
        <f>MIN(C98:AF98)</f>
        <v>10.140000000000013</v>
      </c>
    </row>
    <row r="99" spans="1:37" x14ac:dyDescent="0.25">
      <c r="A99" s="170" t="s">
        <v>74</v>
      </c>
      <c r="B99" s="87">
        <v>4.8</v>
      </c>
      <c r="C99" s="87">
        <v>14.8</v>
      </c>
      <c r="D99" s="87">
        <v>17</v>
      </c>
      <c r="E99" s="87">
        <v>17</v>
      </c>
      <c r="F99" s="87">
        <v>17</v>
      </c>
      <c r="G99" s="87">
        <v>17</v>
      </c>
      <c r="H99" s="87">
        <v>16.899999999999999</v>
      </c>
      <c r="I99" s="87">
        <v>16.899999999999999</v>
      </c>
      <c r="J99" s="87">
        <v>16.899999999999999</v>
      </c>
      <c r="K99" s="87">
        <v>24.7</v>
      </c>
      <c r="L99" s="87">
        <v>19.600000000000001</v>
      </c>
      <c r="M99" s="87">
        <v>27.8</v>
      </c>
      <c r="N99" s="87">
        <v>29.6</v>
      </c>
      <c r="O99" s="87">
        <v>30.9</v>
      </c>
      <c r="P99" s="87">
        <v>24.3</v>
      </c>
      <c r="Q99" s="87">
        <v>24.3</v>
      </c>
      <c r="R99" s="87">
        <v>22.6</v>
      </c>
      <c r="S99" s="87">
        <v>26.4</v>
      </c>
      <c r="T99" s="87">
        <v>25</v>
      </c>
      <c r="U99" s="87">
        <v>30</v>
      </c>
      <c r="V99" s="87">
        <v>23.7</v>
      </c>
      <c r="W99" s="87">
        <v>25</v>
      </c>
      <c r="X99" s="87">
        <v>26</v>
      </c>
      <c r="Y99" s="87">
        <v>29</v>
      </c>
      <c r="Z99" s="87">
        <v>43</v>
      </c>
      <c r="AA99" s="87">
        <v>36</v>
      </c>
      <c r="AB99" s="87">
        <v>25.7</v>
      </c>
      <c r="AC99" s="87">
        <v>20.8</v>
      </c>
      <c r="AD99" s="87">
        <v>26.5</v>
      </c>
      <c r="AE99" s="87">
        <v>27.8</v>
      </c>
      <c r="AF99" s="87">
        <v>17.100000000000001</v>
      </c>
      <c r="AG99" s="151">
        <v>75</v>
      </c>
      <c r="AH99" s="54">
        <f t="shared" ref="AH99:AH105" si="27">IF(ABS(MAX(C99:AF99))&gt;ABS(MIN(C99:AF99)),MAX(C99:AF99),MIN(C99:AF99))</f>
        <v>43</v>
      </c>
      <c r="AI99" s="89">
        <f t="shared" ref="AI99:AI105" si="28">INDEX($C$9:$AF$9,1,MATCH(AH99,C99:AF99,0))</f>
        <v>0.79166666666666663</v>
      </c>
    </row>
    <row r="100" spans="1:37" x14ac:dyDescent="0.25">
      <c r="A100" s="163" t="s">
        <v>75</v>
      </c>
      <c r="B100" s="90">
        <v>-97.5</v>
      </c>
      <c r="C100" s="90">
        <v>-115</v>
      </c>
      <c r="D100" s="90">
        <v>-118</v>
      </c>
      <c r="E100" s="90">
        <f>-52-48.4</f>
        <v>-100.4</v>
      </c>
      <c r="F100" s="90">
        <f>-44.8-48</f>
        <v>-92.8</v>
      </c>
      <c r="G100" s="90">
        <f>-42.8-45.8</f>
        <v>-88.6</v>
      </c>
      <c r="H100" s="90">
        <v>-118</v>
      </c>
      <c r="I100" s="90">
        <v>-118</v>
      </c>
      <c r="J100" s="90">
        <f>-48-54</f>
        <v>-102</v>
      </c>
      <c r="K100" s="90">
        <f>-35-37.6</f>
        <v>-72.599999999999994</v>
      </c>
      <c r="L100" s="90">
        <v>-63.5</v>
      </c>
      <c r="M100" s="90">
        <v>-81</v>
      </c>
      <c r="N100" s="90">
        <v>-82</v>
      </c>
      <c r="O100" s="90">
        <v>-91</v>
      </c>
      <c r="P100" s="90">
        <v>-80</v>
      </c>
      <c r="Q100" s="90">
        <v>-80</v>
      </c>
      <c r="R100" s="90">
        <v>-75</v>
      </c>
      <c r="S100" s="90">
        <v>-80</v>
      </c>
      <c r="T100" s="90">
        <v>-79</v>
      </c>
      <c r="U100" s="90">
        <v>-50</v>
      </c>
      <c r="V100" s="90">
        <v>-37</v>
      </c>
      <c r="W100" s="90">
        <v>-27</v>
      </c>
      <c r="X100" s="90">
        <v>-31</v>
      </c>
      <c r="Y100" s="90">
        <v>-9</v>
      </c>
      <c r="Z100" s="90">
        <v>-20</v>
      </c>
      <c r="AA100" s="90">
        <v>-36</v>
      </c>
      <c r="AB100" s="90">
        <v>-63.9</v>
      </c>
      <c r="AC100" s="90">
        <v>-48.6</v>
      </c>
      <c r="AD100" s="90">
        <v>-61.4</v>
      </c>
      <c r="AE100" s="90">
        <v>-109.6</v>
      </c>
      <c r="AF100" s="90">
        <v>-122.3</v>
      </c>
      <c r="AG100" s="151">
        <v>240</v>
      </c>
      <c r="AH100" s="54">
        <f t="shared" si="27"/>
        <v>-122.3</v>
      </c>
      <c r="AI100" s="89">
        <f t="shared" si="28"/>
        <v>0.95833333333333304</v>
      </c>
    </row>
    <row r="101" spans="1:37" x14ac:dyDescent="0.25">
      <c r="A101" s="163" t="s">
        <v>76</v>
      </c>
      <c r="B101" s="90">
        <v>0</v>
      </c>
      <c r="C101" s="90">
        <v>-2.2999999999999998</v>
      </c>
      <c r="D101" s="90">
        <v>-2.6</v>
      </c>
      <c r="E101" s="90">
        <v>-2.6</v>
      </c>
      <c r="F101" s="90">
        <v>-2.6</v>
      </c>
      <c r="G101" s="90">
        <v>-1.6</v>
      </c>
      <c r="H101" s="90">
        <v>2.7</v>
      </c>
      <c r="I101" s="90">
        <v>2.7</v>
      </c>
      <c r="J101" s="90">
        <v>2.7</v>
      </c>
      <c r="K101" s="90">
        <v>2.7</v>
      </c>
      <c r="L101" s="90">
        <v>8.3000000000000007</v>
      </c>
      <c r="M101" s="90">
        <v>7.6</v>
      </c>
      <c r="N101" s="90">
        <v>10.6</v>
      </c>
      <c r="O101" s="90">
        <v>29.3</v>
      </c>
      <c r="P101" s="90">
        <v>11.5</v>
      </c>
      <c r="Q101" s="90">
        <v>11.5</v>
      </c>
      <c r="R101" s="90">
        <v>13.3</v>
      </c>
      <c r="S101" s="90">
        <v>13.8</v>
      </c>
      <c r="T101" s="90">
        <v>13.2</v>
      </c>
      <c r="U101" s="90">
        <v>16</v>
      </c>
      <c r="V101" s="90">
        <v>18</v>
      </c>
      <c r="W101" s="90">
        <v>15</v>
      </c>
      <c r="X101" s="90">
        <v>14</v>
      </c>
      <c r="Y101" s="90">
        <v>18</v>
      </c>
      <c r="Z101" s="90">
        <v>20</v>
      </c>
      <c r="AA101" s="90">
        <v>45</v>
      </c>
      <c r="AB101" s="90">
        <v>43.9</v>
      </c>
      <c r="AC101" s="90">
        <v>41.8</v>
      </c>
      <c r="AD101" s="90">
        <v>17.7</v>
      </c>
      <c r="AE101" s="90">
        <v>4.3</v>
      </c>
      <c r="AF101" s="90">
        <v>2</v>
      </c>
      <c r="AG101" s="151">
        <v>60</v>
      </c>
      <c r="AH101" s="54">
        <f t="shared" si="27"/>
        <v>45</v>
      </c>
      <c r="AI101" s="89">
        <f t="shared" si="28"/>
        <v>0.8125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57.9</v>
      </c>
      <c r="L102" s="91">
        <v>68.5</v>
      </c>
      <c r="M102" s="91">
        <v>52.4</v>
      </c>
      <c r="N102" s="91">
        <v>40</v>
      </c>
      <c r="O102" s="91">
        <v>31.9</v>
      </c>
      <c r="P102" s="91">
        <v>55</v>
      </c>
      <c r="Q102" s="91">
        <v>55</v>
      </c>
      <c r="R102" s="91">
        <v>48.5</v>
      </c>
      <c r="S102" s="91">
        <v>37</v>
      </c>
      <c r="T102" s="91">
        <v>41</v>
      </c>
      <c r="U102" s="91">
        <v>0</v>
      </c>
      <c r="V102" s="91">
        <v>0</v>
      </c>
      <c r="W102" s="91">
        <v>0</v>
      </c>
      <c r="X102" s="91">
        <v>0</v>
      </c>
      <c r="Y102" s="91">
        <v>0</v>
      </c>
      <c r="Z102" s="91">
        <v>0</v>
      </c>
      <c r="AA102" s="91">
        <v>0</v>
      </c>
      <c r="AB102" s="91">
        <v>0</v>
      </c>
      <c r="AC102" s="91">
        <v>0</v>
      </c>
      <c r="AD102" s="91">
        <v>0</v>
      </c>
      <c r="AE102" s="91">
        <v>0</v>
      </c>
      <c r="AF102" s="91">
        <v>0</v>
      </c>
      <c r="AG102" s="152">
        <v>120</v>
      </c>
      <c r="AH102" s="54">
        <f t="shared" si="27"/>
        <v>68.5</v>
      </c>
      <c r="AI102" s="89">
        <f t="shared" si="28"/>
        <v>0.3125</v>
      </c>
    </row>
    <row r="103" spans="1:37" x14ac:dyDescent="0.25">
      <c r="A103" s="164" t="s">
        <v>78</v>
      </c>
      <c r="B103" s="91">
        <v>48.2</v>
      </c>
      <c r="C103" s="91">
        <v>32.799999999999997</v>
      </c>
      <c r="D103" s="91">
        <v>26.2</v>
      </c>
      <c r="E103" s="91">
        <v>26.2</v>
      </c>
      <c r="F103" s="91">
        <v>30</v>
      </c>
      <c r="G103" s="91">
        <v>32</v>
      </c>
      <c r="H103" s="91">
        <v>33.799999999999997</v>
      </c>
      <c r="I103" s="91">
        <v>33.799999999999997</v>
      </c>
      <c r="J103" s="91">
        <v>33.799999999999997</v>
      </c>
      <c r="K103" s="91">
        <v>50.4</v>
      </c>
      <c r="L103" s="91">
        <v>56.9</v>
      </c>
      <c r="M103" s="91">
        <v>47.2</v>
      </c>
      <c r="N103" s="91">
        <v>35.5</v>
      </c>
      <c r="O103" s="91">
        <v>29.5</v>
      </c>
      <c r="P103" s="91">
        <v>44.7</v>
      </c>
      <c r="Q103" s="91">
        <v>44.7</v>
      </c>
      <c r="R103" s="91">
        <v>37</v>
      </c>
      <c r="S103" s="91">
        <v>26</v>
      </c>
      <c r="T103" s="91">
        <v>29</v>
      </c>
      <c r="U103" s="91">
        <v>46</v>
      </c>
      <c r="V103" s="91">
        <v>55</v>
      </c>
      <c r="W103" s="91">
        <v>70</v>
      </c>
      <c r="X103" s="91">
        <v>58</v>
      </c>
      <c r="Y103" s="91">
        <v>76</v>
      </c>
      <c r="Z103" s="91">
        <v>68</v>
      </c>
      <c r="AA103" s="91">
        <v>59</v>
      </c>
      <c r="AB103" s="91">
        <v>49.8</v>
      </c>
      <c r="AC103" s="91">
        <v>54.5</v>
      </c>
      <c r="AD103" s="91">
        <v>61.2</v>
      </c>
      <c r="AE103" s="91">
        <v>34.4</v>
      </c>
      <c r="AF103" s="91">
        <v>29.7</v>
      </c>
      <c r="AG103" s="152"/>
      <c r="AH103" s="54">
        <f t="shared" si="27"/>
        <v>76</v>
      </c>
      <c r="AI103" s="89">
        <f t="shared" si="28"/>
        <v>0.77083333333333337</v>
      </c>
    </row>
    <row r="104" spans="1:37" x14ac:dyDescent="0.25">
      <c r="A104" s="164" t="s">
        <v>105</v>
      </c>
      <c r="B104" s="91">
        <v>77</v>
      </c>
      <c r="C104" s="91">
        <v>52.4</v>
      </c>
      <c r="D104" s="91">
        <v>40.9</v>
      </c>
      <c r="E104" s="91">
        <v>40.9</v>
      </c>
      <c r="F104" s="91">
        <v>38</v>
      </c>
      <c r="G104" s="91">
        <v>36.799999999999997</v>
      </c>
      <c r="H104" s="91">
        <v>32.6</v>
      </c>
      <c r="I104" s="91">
        <v>32.6</v>
      </c>
      <c r="J104" s="91">
        <v>32.6</v>
      </c>
      <c r="K104" s="91">
        <v>32.6</v>
      </c>
      <c r="L104" s="91">
        <v>21.9</v>
      </c>
      <c r="M104" s="91">
        <v>11.6</v>
      </c>
      <c r="N104" s="91">
        <v>15.7</v>
      </c>
      <c r="O104" s="91">
        <v>39.6</v>
      </c>
      <c r="P104" s="91">
        <v>61.6</v>
      </c>
      <c r="Q104" s="91">
        <v>61.6</v>
      </c>
      <c r="R104" s="91">
        <v>46.8</v>
      </c>
      <c r="S104" s="91">
        <v>29</v>
      </c>
      <c r="T104" s="91">
        <v>39</v>
      </c>
      <c r="U104" s="91">
        <v>23</v>
      </c>
      <c r="V104" s="91">
        <v>28</v>
      </c>
      <c r="W104" s="91">
        <v>26</v>
      </c>
      <c r="X104" s="91">
        <v>23</v>
      </c>
      <c r="Y104" s="91">
        <v>17</v>
      </c>
      <c r="Z104" s="91">
        <v>3.2</v>
      </c>
      <c r="AA104" s="91">
        <v>12</v>
      </c>
      <c r="AB104" s="91">
        <v>49.2</v>
      </c>
      <c r="AC104" s="91">
        <v>67.5</v>
      </c>
      <c r="AD104" s="91">
        <v>49.6</v>
      </c>
      <c r="AE104" s="91">
        <v>29.3</v>
      </c>
      <c r="AF104" s="91">
        <v>30.1</v>
      </c>
      <c r="AG104" s="153"/>
      <c r="AH104" s="54">
        <f t="shared" si="27"/>
        <v>67.5</v>
      </c>
      <c r="AI104" s="89">
        <f t="shared" si="28"/>
        <v>0.85416666666666663</v>
      </c>
    </row>
    <row r="105" spans="1:37" ht="15.75" thickBot="1" x14ac:dyDescent="0.3">
      <c r="A105" s="171" t="s">
        <v>106</v>
      </c>
      <c r="B105" s="82">
        <v>113.8</v>
      </c>
      <c r="C105" s="82">
        <v>115</v>
      </c>
      <c r="D105" s="82">
        <v>65</v>
      </c>
      <c r="E105" s="82">
        <v>78</v>
      </c>
      <c r="F105" s="82">
        <v>122</v>
      </c>
      <c r="G105" s="82">
        <v>124</v>
      </c>
      <c r="H105" s="82">
        <v>121</v>
      </c>
      <c r="I105" s="82">
        <v>121</v>
      </c>
      <c r="J105" s="82">
        <v>121</v>
      </c>
      <c r="K105" s="82">
        <v>121</v>
      </c>
      <c r="L105" s="82">
        <v>117</v>
      </c>
      <c r="M105" s="82">
        <v>115.7</v>
      </c>
      <c r="N105" s="82">
        <v>119.9</v>
      </c>
      <c r="O105" s="82">
        <v>118.8</v>
      </c>
      <c r="P105" s="82">
        <v>119.7</v>
      </c>
      <c r="Q105" s="82">
        <v>119.7</v>
      </c>
      <c r="R105" s="82">
        <v>118.3</v>
      </c>
      <c r="S105" s="82">
        <v>81</v>
      </c>
      <c r="T105" s="82">
        <v>96</v>
      </c>
      <c r="U105" s="82">
        <v>109</v>
      </c>
      <c r="V105" s="82">
        <v>99</v>
      </c>
      <c r="W105" s="82">
        <v>111</v>
      </c>
      <c r="X105" s="82">
        <v>108</v>
      </c>
      <c r="Y105" s="82">
        <v>107</v>
      </c>
      <c r="Z105" s="82">
        <v>100</v>
      </c>
      <c r="AA105" s="82">
        <v>100</v>
      </c>
      <c r="AB105" s="82">
        <v>98.3</v>
      </c>
      <c r="AC105" s="82">
        <v>99.8</v>
      </c>
      <c r="AD105" s="82">
        <v>106.4</v>
      </c>
      <c r="AE105" s="82">
        <v>113</v>
      </c>
      <c r="AF105" s="82">
        <v>113</v>
      </c>
      <c r="AG105" s="153"/>
      <c r="AH105" s="54">
        <f t="shared" si="27"/>
        <v>124</v>
      </c>
      <c r="AI105" s="89">
        <f t="shared" si="28"/>
        <v>0.20833333333333301</v>
      </c>
    </row>
    <row r="106" spans="1:37" ht="15.75" thickBot="1" x14ac:dyDescent="0.3">
      <c r="A106" s="92" t="s">
        <v>79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154"/>
      <c r="AH106" s="94"/>
      <c r="AI106" s="55"/>
      <c r="AK106" s="56"/>
    </row>
    <row r="107" spans="1:37" x14ac:dyDescent="0.25">
      <c r="A107" s="162" t="s">
        <v>133</v>
      </c>
      <c r="B107" s="95"/>
      <c r="C107" s="53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6">
        <v>9.94</v>
      </c>
      <c r="AH107" s="54"/>
      <c r="AI107" s="55"/>
      <c r="AK107" s="56"/>
    </row>
    <row r="108" spans="1:37" x14ac:dyDescent="0.25">
      <c r="A108" s="163" t="s">
        <v>134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/>
      <c r="AH108" s="54"/>
      <c r="AI108" s="55"/>
      <c r="AK108" s="56"/>
    </row>
    <row r="109" spans="1:37" x14ac:dyDescent="0.25">
      <c r="A109" s="163" t="s">
        <v>135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136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137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138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139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140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141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142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143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144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145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146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147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148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149</v>
      </c>
      <c r="B123" s="97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9">
        <v>9.9</v>
      </c>
      <c r="AH123" s="54"/>
      <c r="AI123" s="55"/>
      <c r="AK123" s="56"/>
    </row>
    <row r="124" spans="1:37" x14ac:dyDescent="0.25">
      <c r="A124" s="164" t="s">
        <v>80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100">
        <v>9.6579999999999995</v>
      </c>
      <c r="AH124" s="54"/>
      <c r="AI124" s="55"/>
      <c r="AK124" s="56"/>
    </row>
    <row r="125" spans="1:37" x14ac:dyDescent="0.25">
      <c r="A125" s="164" t="s">
        <v>150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</v>
      </c>
      <c r="AH125" s="54"/>
      <c r="AI125" s="55"/>
      <c r="AK125" s="56"/>
    </row>
    <row r="126" spans="1:37" x14ac:dyDescent="0.25">
      <c r="A126" s="164" t="s">
        <v>151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9.51</v>
      </c>
      <c r="AH126" s="54"/>
      <c r="AI126" s="55"/>
      <c r="AK126" s="56"/>
    </row>
    <row r="127" spans="1:37" x14ac:dyDescent="0.25">
      <c r="A127" s="164" t="s">
        <v>152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9.4</v>
      </c>
      <c r="AH127" s="54"/>
      <c r="AI127" s="55"/>
      <c r="AK127" s="56"/>
    </row>
    <row r="128" spans="1:37" x14ac:dyDescent="0.25">
      <c r="A128" s="164" t="s">
        <v>153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8.8000000000000007</v>
      </c>
      <c r="AH128" s="54"/>
      <c r="AI128" s="55"/>
      <c r="AK128" s="56"/>
    </row>
    <row r="129" spans="1:37" x14ac:dyDescent="0.25">
      <c r="A129" s="164" t="s">
        <v>154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8.5</v>
      </c>
      <c r="AH129" s="54"/>
      <c r="AI129" s="55"/>
      <c r="AK129" s="56"/>
    </row>
    <row r="130" spans="1:37" x14ac:dyDescent="0.25">
      <c r="A130" s="164" t="s">
        <v>155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156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8.4</v>
      </c>
      <c r="AH131" s="54"/>
      <c r="AI131" s="55"/>
      <c r="AK131" s="56"/>
    </row>
    <row r="132" spans="1:37" ht="13.5" customHeight="1" x14ac:dyDescent="0.25">
      <c r="A132" s="164" t="s">
        <v>157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</v>
      </c>
      <c r="AH132" s="54"/>
      <c r="AI132" s="55"/>
      <c r="AK132" s="56"/>
    </row>
    <row r="133" spans="1:37" x14ac:dyDescent="0.25">
      <c r="A133" s="164" t="s">
        <v>158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159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160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7.8</v>
      </c>
      <c r="AH135" s="54"/>
      <c r="AI135" s="55"/>
      <c r="AK135" s="56"/>
    </row>
    <row r="136" spans="1:37" x14ac:dyDescent="0.25">
      <c r="A136" s="164" t="s">
        <v>161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7.6</v>
      </c>
      <c r="AH136" s="54"/>
      <c r="AI136" s="55"/>
      <c r="AK136" s="56"/>
    </row>
    <row r="137" spans="1:37" x14ac:dyDescent="0.25">
      <c r="A137" s="164" t="s">
        <v>162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7.5</v>
      </c>
      <c r="AH137" s="54"/>
      <c r="AI137" s="55"/>
      <c r="AK137" s="56"/>
    </row>
    <row r="138" spans="1:37" x14ac:dyDescent="0.25">
      <c r="A138" s="164" t="s">
        <v>163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164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</v>
      </c>
      <c r="AH139" s="54"/>
      <c r="AI139" s="55"/>
      <c r="AK139" s="56"/>
    </row>
    <row r="140" spans="1:37" x14ac:dyDescent="0.25">
      <c r="A140" s="164" t="s">
        <v>165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166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167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168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6.6</v>
      </c>
      <c r="AH143" s="54"/>
      <c r="AI143" s="55"/>
      <c r="AK143" s="56"/>
    </row>
    <row r="144" spans="1:37" x14ac:dyDescent="0.25">
      <c r="A144" s="164" t="s">
        <v>169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170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6.4</v>
      </c>
      <c r="AH145" s="54"/>
      <c r="AI145" s="55"/>
      <c r="AK145" s="56"/>
    </row>
    <row r="146" spans="1:37" x14ac:dyDescent="0.25">
      <c r="A146" s="164" t="s">
        <v>171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</v>
      </c>
      <c r="AH146" s="54"/>
      <c r="AI146" s="55"/>
      <c r="AK146" s="56"/>
    </row>
    <row r="147" spans="1:37" x14ac:dyDescent="0.25">
      <c r="A147" s="164" t="s">
        <v>172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5.0999999999999996</v>
      </c>
      <c r="AH147" s="54"/>
      <c r="AI147" s="55"/>
      <c r="AK147" s="56"/>
    </row>
    <row r="148" spans="1:37" x14ac:dyDescent="0.25">
      <c r="A148" s="164" t="s">
        <v>173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</v>
      </c>
      <c r="AH148" s="54"/>
      <c r="AI148" s="55"/>
      <c r="AK148" s="56"/>
    </row>
    <row r="149" spans="1:37" x14ac:dyDescent="0.25">
      <c r="A149" s="163" t="s">
        <v>174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9">
        <v>5</v>
      </c>
      <c r="AH149" s="54"/>
      <c r="AI149" s="55"/>
      <c r="AK149" s="56"/>
    </row>
    <row r="150" spans="1:37" x14ac:dyDescent="0.25">
      <c r="A150" s="164" t="s">
        <v>175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100">
        <v>5</v>
      </c>
      <c r="AH150" s="54"/>
      <c r="AI150" s="55"/>
      <c r="AK150" s="56"/>
    </row>
    <row r="151" spans="1:37" x14ac:dyDescent="0.25">
      <c r="A151" s="164" t="s">
        <v>176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177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178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179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180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4.9930000000000003</v>
      </c>
      <c r="AH155" s="54"/>
      <c r="AI155" s="55"/>
      <c r="AK155" s="56"/>
    </row>
    <row r="156" spans="1:37" x14ac:dyDescent="0.25">
      <c r="A156" s="164" t="s">
        <v>181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4.9800000000000004</v>
      </c>
      <c r="AH156" s="54"/>
      <c r="AI156" s="55"/>
      <c r="AK156" s="56"/>
    </row>
    <row r="157" spans="1:37" x14ac:dyDescent="0.25">
      <c r="A157" s="164" t="s">
        <v>182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4.95</v>
      </c>
      <c r="AH157" s="54"/>
      <c r="AI157" s="55"/>
      <c r="AK157" s="56"/>
    </row>
    <row r="158" spans="1:37" x14ac:dyDescent="0.25">
      <c r="A158" s="164" t="s">
        <v>81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183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4.8</v>
      </c>
      <c r="AH159" s="54"/>
      <c r="AI159" s="55"/>
      <c r="AK159" s="56"/>
    </row>
    <row r="160" spans="1:37" x14ac:dyDescent="0.25">
      <c r="A160" s="164" t="s">
        <v>184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185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186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4.5</v>
      </c>
      <c r="AH162" s="54"/>
      <c r="AI162" s="55"/>
      <c r="AK162" s="56"/>
    </row>
    <row r="163" spans="1:37" x14ac:dyDescent="0.25">
      <c r="A163" s="164" t="s">
        <v>187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188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4.4550000000000001</v>
      </c>
      <c r="AH164" s="54"/>
      <c r="AI164" s="55"/>
      <c r="AK164" s="56"/>
    </row>
    <row r="165" spans="1:37" x14ac:dyDescent="0.25">
      <c r="A165" s="164" t="s">
        <v>189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4.41</v>
      </c>
      <c r="AH165" s="54"/>
      <c r="AI165" s="55"/>
      <c r="AK165" s="56"/>
    </row>
    <row r="166" spans="1:37" x14ac:dyDescent="0.25">
      <c r="A166" s="164" t="s">
        <v>190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4.4000000000000004</v>
      </c>
      <c r="AH166" s="54"/>
      <c r="AI166" s="55"/>
      <c r="AK166" s="56"/>
    </row>
    <row r="167" spans="1:37" x14ac:dyDescent="0.25">
      <c r="A167" s="164" t="s">
        <v>191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4.3600000000000003</v>
      </c>
      <c r="AH167" s="54"/>
      <c r="AI167" s="55"/>
      <c r="AK167" s="56"/>
    </row>
    <row r="168" spans="1:37" x14ac:dyDescent="0.25">
      <c r="A168" s="164" t="s">
        <v>192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4.2</v>
      </c>
      <c r="AH168" s="54"/>
      <c r="AI168" s="55"/>
      <c r="AK168" s="56"/>
    </row>
    <row r="169" spans="1:37" x14ac:dyDescent="0.25">
      <c r="A169" s="164" t="s">
        <v>193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</v>
      </c>
      <c r="AH169" s="54"/>
      <c r="AI169" s="55"/>
      <c r="AK169" s="56"/>
    </row>
    <row r="170" spans="1:37" x14ac:dyDescent="0.25">
      <c r="A170" s="164" t="s">
        <v>194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195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196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197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198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199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200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201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3.75</v>
      </c>
      <c r="AH177" s="54"/>
      <c r="AI177" s="55"/>
      <c r="AK177" s="56"/>
    </row>
    <row r="178" spans="1:37" x14ac:dyDescent="0.25">
      <c r="A178" s="164" t="s">
        <v>202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3.52</v>
      </c>
      <c r="AH178" s="54"/>
      <c r="AI178" s="55"/>
      <c r="AK178" s="56"/>
    </row>
    <row r="179" spans="1:37" x14ac:dyDescent="0.25">
      <c r="A179" s="164" t="s">
        <v>203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3.33</v>
      </c>
      <c r="AH179" s="54"/>
      <c r="AI179" s="55"/>
      <c r="AK179" s="56"/>
    </row>
    <row r="180" spans="1:37" x14ac:dyDescent="0.25">
      <c r="A180" s="164" t="s">
        <v>204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3.2</v>
      </c>
      <c r="AH180" s="54"/>
      <c r="AI180" s="55"/>
      <c r="AK180" s="56"/>
    </row>
    <row r="181" spans="1:37" x14ac:dyDescent="0.25">
      <c r="A181" s="164" t="s">
        <v>205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</v>
      </c>
      <c r="AH181" s="54"/>
      <c r="AI181" s="55"/>
      <c r="AK181" s="56"/>
    </row>
    <row r="182" spans="1:37" x14ac:dyDescent="0.25">
      <c r="A182" s="164" t="s">
        <v>206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207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208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209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210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211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212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213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2.83</v>
      </c>
      <c r="AH189" s="54"/>
      <c r="AI189" s="55"/>
      <c r="AK189" s="56"/>
    </row>
    <row r="190" spans="1:37" x14ac:dyDescent="0.25">
      <c r="A190" s="164" t="s">
        <v>214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2.5</v>
      </c>
      <c r="AH190" s="54"/>
      <c r="AI190" s="55"/>
      <c r="AK190" s="56"/>
    </row>
    <row r="191" spans="1:37" x14ac:dyDescent="0.25">
      <c r="A191" s="164" t="s">
        <v>215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216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2.4</v>
      </c>
      <c r="AH192" s="54"/>
      <c r="AI192" s="55"/>
      <c r="AK192" s="56"/>
    </row>
    <row r="193" spans="1:37" x14ac:dyDescent="0.25">
      <c r="A193" s="164" t="s">
        <v>217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218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2.2000000000000002</v>
      </c>
      <c r="AH194" s="54"/>
      <c r="AI194" s="55"/>
      <c r="AK194" s="56"/>
    </row>
    <row r="195" spans="1:37" x14ac:dyDescent="0.25">
      <c r="A195" s="164" t="s">
        <v>219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</v>
      </c>
      <c r="AH195" s="54"/>
      <c r="AI195" s="55"/>
      <c r="AK195" s="56"/>
    </row>
    <row r="196" spans="1:37" x14ac:dyDescent="0.25">
      <c r="A196" s="164" t="s">
        <v>220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221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222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1.8</v>
      </c>
      <c r="AH198" s="54"/>
      <c r="AI198" s="55"/>
      <c r="AK198" s="56"/>
    </row>
    <row r="199" spans="1:37" x14ac:dyDescent="0.25">
      <c r="A199" s="164" t="s">
        <v>223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224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1.65</v>
      </c>
      <c r="AH200" s="54"/>
      <c r="AI200" s="55"/>
      <c r="AK200" s="56"/>
    </row>
    <row r="201" spans="1:37" x14ac:dyDescent="0.25">
      <c r="A201" s="164" t="s">
        <v>225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1.5</v>
      </c>
      <c r="AH201" s="54"/>
      <c r="AI201" s="55"/>
      <c r="AK201" s="56"/>
    </row>
    <row r="202" spans="1:37" x14ac:dyDescent="0.25">
      <c r="A202" s="164" t="s">
        <v>226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0.998</v>
      </c>
      <c r="AH202" s="54"/>
      <c r="AI202" s="55"/>
      <c r="AK202" s="56"/>
    </row>
    <row r="203" spans="1:37" x14ac:dyDescent="0.25">
      <c r="A203" s="164" t="s">
        <v>227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0.997</v>
      </c>
      <c r="AH203" s="54"/>
      <c r="AI203" s="55"/>
      <c r="AK203" s="56"/>
    </row>
    <row r="204" spans="1:37" x14ac:dyDescent="0.25">
      <c r="A204" s="164" t="s">
        <v>228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229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0.996</v>
      </c>
      <c r="AH205" s="54"/>
      <c r="AI205" s="55"/>
      <c r="AK205" s="56"/>
    </row>
    <row r="206" spans="1:37" x14ac:dyDescent="0.25">
      <c r="A206" s="164" t="s">
        <v>230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231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232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0.995</v>
      </c>
      <c r="AH208" s="54"/>
      <c r="AI208" s="55"/>
      <c r="AK208" s="56"/>
    </row>
    <row r="209" spans="1:37" x14ac:dyDescent="0.25">
      <c r="A209" s="164" t="s">
        <v>233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0.99299999999999999</v>
      </c>
      <c r="AH209" s="54"/>
      <c r="AI209" s="55"/>
      <c r="AK209" s="56"/>
    </row>
    <row r="210" spans="1:37" x14ac:dyDescent="0.25">
      <c r="A210" s="164" t="s">
        <v>234</v>
      </c>
      <c r="B210" s="97"/>
      <c r="C210" s="53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</v>
      </c>
      <c r="AH210" s="54"/>
      <c r="AI210" s="55"/>
      <c r="AK210" s="56"/>
    </row>
    <row r="211" spans="1:37" ht="15.75" thickBot="1" x14ac:dyDescent="0.3">
      <c r="A211" s="164" t="s">
        <v>235</v>
      </c>
      <c r="B211" s="102"/>
      <c r="C211" s="166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0">
        <v>0.97899999999999998</v>
      </c>
      <c r="AH211" s="54"/>
      <c r="AI211" s="55"/>
      <c r="AK211" s="56"/>
    </row>
    <row r="212" spans="1:37" ht="15.75" thickBot="1" x14ac:dyDescent="0.3">
      <c r="A212" s="165" t="s">
        <v>82</v>
      </c>
      <c r="B212" s="167">
        <f>SUM(B107:B211)</f>
        <v>0</v>
      </c>
      <c r="C212" s="103">
        <f t="shared" ref="C212:AG212" si="29">SUM(C107:C211)</f>
        <v>0</v>
      </c>
      <c r="D212" s="103">
        <f t="shared" si="29"/>
        <v>0</v>
      </c>
      <c r="E212" s="103">
        <f t="shared" si="29"/>
        <v>0</v>
      </c>
      <c r="F212" s="103">
        <f t="shared" si="29"/>
        <v>0</v>
      </c>
      <c r="G212" s="103">
        <f t="shared" si="29"/>
        <v>0</v>
      </c>
      <c r="H212" s="103">
        <f t="shared" si="29"/>
        <v>0</v>
      </c>
      <c r="I212" s="103">
        <f t="shared" si="29"/>
        <v>0</v>
      </c>
      <c r="J212" s="103">
        <f t="shared" si="29"/>
        <v>0</v>
      </c>
      <c r="K212" s="103">
        <f t="shared" si="29"/>
        <v>0</v>
      </c>
      <c r="L212" s="103">
        <f t="shared" si="29"/>
        <v>0</v>
      </c>
      <c r="M212" s="103">
        <f t="shared" si="29"/>
        <v>0</v>
      </c>
      <c r="N212" s="103">
        <f t="shared" si="29"/>
        <v>0</v>
      </c>
      <c r="O212" s="103">
        <f t="shared" si="29"/>
        <v>0</v>
      </c>
      <c r="P212" s="103">
        <f t="shared" si="29"/>
        <v>0</v>
      </c>
      <c r="Q212" s="103">
        <f t="shared" si="29"/>
        <v>0</v>
      </c>
      <c r="R212" s="103">
        <f t="shared" si="29"/>
        <v>0</v>
      </c>
      <c r="S212" s="103">
        <f t="shared" si="29"/>
        <v>0</v>
      </c>
      <c r="T212" s="103">
        <f t="shared" si="29"/>
        <v>0</v>
      </c>
      <c r="U212" s="103">
        <f t="shared" si="29"/>
        <v>0</v>
      </c>
      <c r="V212" s="103">
        <f t="shared" si="29"/>
        <v>0</v>
      </c>
      <c r="W212" s="103">
        <f t="shared" si="29"/>
        <v>0</v>
      </c>
      <c r="X212" s="103">
        <f t="shared" si="29"/>
        <v>0</v>
      </c>
      <c r="Y212" s="103">
        <f t="shared" si="29"/>
        <v>0</v>
      </c>
      <c r="Z212" s="103">
        <f t="shared" si="29"/>
        <v>0</v>
      </c>
      <c r="AA212" s="103">
        <f t="shared" si="29"/>
        <v>0</v>
      </c>
      <c r="AB212" s="103">
        <f t="shared" si="29"/>
        <v>0</v>
      </c>
      <c r="AC212" s="103">
        <f t="shared" si="29"/>
        <v>0</v>
      </c>
      <c r="AD212" s="103">
        <f t="shared" si="29"/>
        <v>0</v>
      </c>
      <c r="AE212" s="103">
        <f t="shared" si="29"/>
        <v>0</v>
      </c>
      <c r="AF212" s="168">
        <f t="shared" si="29"/>
        <v>0</v>
      </c>
      <c r="AG212" s="169">
        <f t="shared" si="29"/>
        <v>412.72299999999984</v>
      </c>
      <c r="AH212" s="54"/>
      <c r="AI212" s="55"/>
      <c r="AK212" s="56"/>
    </row>
    <row r="213" spans="1:37" ht="15.75" thickBot="1" x14ac:dyDescent="0.3">
      <c r="A213" s="28" t="s">
        <v>35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149"/>
      <c r="AH213" s="54"/>
      <c r="AI213" s="55"/>
      <c r="AK213" s="56"/>
    </row>
    <row r="214" spans="1:37" x14ac:dyDescent="0.25">
      <c r="A214" s="170" t="s">
        <v>83</v>
      </c>
      <c r="B214" s="101">
        <f t="shared" ref="B214:B219" si="30">AF214</f>
        <v>0</v>
      </c>
      <c r="C214" s="101">
        <v>0.3</v>
      </c>
      <c r="D214" s="101">
        <f t="shared" ref="D214:P219" si="31">C214</f>
        <v>0.3</v>
      </c>
      <c r="E214" s="101">
        <f t="shared" si="31"/>
        <v>0.3</v>
      </c>
      <c r="F214" s="101">
        <f t="shared" si="31"/>
        <v>0.3</v>
      </c>
      <c r="G214" s="101">
        <f t="shared" si="31"/>
        <v>0.3</v>
      </c>
      <c r="H214" s="101">
        <f t="shared" si="31"/>
        <v>0.3</v>
      </c>
      <c r="I214" s="101">
        <f t="shared" si="31"/>
        <v>0.3</v>
      </c>
      <c r="J214" s="101">
        <f t="shared" si="31"/>
        <v>0.3</v>
      </c>
      <c r="K214" s="101">
        <f t="shared" si="31"/>
        <v>0.3</v>
      </c>
      <c r="L214" s="101">
        <f t="shared" si="31"/>
        <v>0.3</v>
      </c>
      <c r="M214" s="101">
        <f t="shared" si="31"/>
        <v>0.3</v>
      </c>
      <c r="N214" s="101">
        <f t="shared" si="31"/>
        <v>0.3</v>
      </c>
      <c r="O214" s="101">
        <f t="shared" si="31"/>
        <v>0.3</v>
      </c>
      <c r="P214" s="101">
        <f t="shared" si="31"/>
        <v>0.3</v>
      </c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55">
        <v>2.4</v>
      </c>
      <c r="AH214" s="54"/>
      <c r="AI214" s="55"/>
      <c r="AK214" s="56"/>
    </row>
    <row r="215" spans="1:37" x14ac:dyDescent="0.25">
      <c r="A215" s="163" t="s">
        <v>84</v>
      </c>
      <c r="B215" s="97">
        <f t="shared" si="30"/>
        <v>0</v>
      </c>
      <c r="C215" s="97">
        <v>0.4</v>
      </c>
      <c r="D215" s="97">
        <f t="shared" si="31"/>
        <v>0.4</v>
      </c>
      <c r="E215" s="97">
        <f t="shared" si="31"/>
        <v>0.4</v>
      </c>
      <c r="F215" s="97">
        <f t="shared" si="31"/>
        <v>0.4</v>
      </c>
      <c r="G215" s="97">
        <f t="shared" si="31"/>
        <v>0.4</v>
      </c>
      <c r="H215" s="97">
        <f t="shared" si="31"/>
        <v>0.4</v>
      </c>
      <c r="I215" s="97">
        <f t="shared" si="31"/>
        <v>0.4</v>
      </c>
      <c r="J215" s="97">
        <f t="shared" si="31"/>
        <v>0.4</v>
      </c>
      <c r="K215" s="97">
        <f t="shared" si="31"/>
        <v>0.4</v>
      </c>
      <c r="L215" s="97">
        <f t="shared" si="31"/>
        <v>0.4</v>
      </c>
      <c r="M215" s="97">
        <f t="shared" si="31"/>
        <v>0.4</v>
      </c>
      <c r="N215" s="97">
        <f t="shared" si="31"/>
        <v>0.4</v>
      </c>
      <c r="O215" s="97">
        <f t="shared" si="31"/>
        <v>0.4</v>
      </c>
      <c r="P215" s="97">
        <f t="shared" si="31"/>
        <v>0.4</v>
      </c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56">
        <v>2</v>
      </c>
      <c r="AH215" s="54"/>
      <c r="AI215" s="55"/>
      <c r="AK215" s="56"/>
    </row>
    <row r="216" spans="1:37" x14ac:dyDescent="0.25">
      <c r="A216" s="163" t="s">
        <v>85</v>
      </c>
      <c r="B216" s="97">
        <f t="shared" si="30"/>
        <v>0</v>
      </c>
      <c r="C216" s="97">
        <v>1.5</v>
      </c>
      <c r="D216" s="97">
        <f t="shared" si="31"/>
        <v>1.5</v>
      </c>
      <c r="E216" s="97">
        <f t="shared" si="31"/>
        <v>1.5</v>
      </c>
      <c r="F216" s="97">
        <f t="shared" si="31"/>
        <v>1.5</v>
      </c>
      <c r="G216" s="97">
        <f t="shared" si="31"/>
        <v>1.5</v>
      </c>
      <c r="H216" s="97">
        <f t="shared" si="31"/>
        <v>1.5</v>
      </c>
      <c r="I216" s="97">
        <f t="shared" si="31"/>
        <v>1.5</v>
      </c>
      <c r="J216" s="97">
        <f t="shared" si="31"/>
        <v>1.5</v>
      </c>
      <c r="K216" s="97">
        <f t="shared" si="31"/>
        <v>1.5</v>
      </c>
      <c r="L216" s="97">
        <f t="shared" si="31"/>
        <v>1.5</v>
      </c>
      <c r="M216" s="97">
        <f t="shared" si="31"/>
        <v>1.5</v>
      </c>
      <c r="N216" s="97">
        <f t="shared" si="31"/>
        <v>1.5</v>
      </c>
      <c r="O216" s="97">
        <f t="shared" si="31"/>
        <v>1.5</v>
      </c>
      <c r="P216" s="97">
        <f t="shared" si="31"/>
        <v>1.5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1.5</v>
      </c>
      <c r="AH216" s="54"/>
      <c r="AI216" s="55"/>
      <c r="AK216" s="56"/>
    </row>
    <row r="217" spans="1:37" x14ac:dyDescent="0.25">
      <c r="A217" s="163" t="s">
        <v>86</v>
      </c>
      <c r="B217" s="97">
        <f t="shared" si="30"/>
        <v>0</v>
      </c>
      <c r="C217" s="97">
        <v>0.3</v>
      </c>
      <c r="D217" s="97">
        <f t="shared" si="31"/>
        <v>0.3</v>
      </c>
      <c r="E217" s="97">
        <f t="shared" si="31"/>
        <v>0.3</v>
      </c>
      <c r="F217" s="97">
        <f t="shared" si="31"/>
        <v>0.3</v>
      </c>
      <c r="G217" s="97">
        <f t="shared" si="31"/>
        <v>0.3</v>
      </c>
      <c r="H217" s="97">
        <f t="shared" si="31"/>
        <v>0.3</v>
      </c>
      <c r="I217" s="97">
        <f t="shared" si="31"/>
        <v>0.3</v>
      </c>
      <c r="J217" s="97">
        <f t="shared" si="31"/>
        <v>0.3</v>
      </c>
      <c r="K217" s="97">
        <f t="shared" si="31"/>
        <v>0.3</v>
      </c>
      <c r="L217" s="97">
        <f t="shared" si="31"/>
        <v>0.3</v>
      </c>
      <c r="M217" s="97">
        <f t="shared" si="31"/>
        <v>0.3</v>
      </c>
      <c r="N217" s="97">
        <f t="shared" si="31"/>
        <v>0.3</v>
      </c>
      <c r="O217" s="97">
        <f t="shared" si="31"/>
        <v>0.3</v>
      </c>
      <c r="P217" s="97">
        <f t="shared" si="31"/>
        <v>0.3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</v>
      </c>
      <c r="AH217" s="54"/>
      <c r="AI217" s="55"/>
      <c r="AK217" s="56"/>
    </row>
    <row r="218" spans="1:37" x14ac:dyDescent="0.25">
      <c r="A218" s="163" t="s">
        <v>87</v>
      </c>
      <c r="B218" s="97">
        <f t="shared" si="30"/>
        <v>0</v>
      </c>
      <c r="C218" s="97">
        <v>0.4</v>
      </c>
      <c r="D218" s="97">
        <f t="shared" si="31"/>
        <v>0.4</v>
      </c>
      <c r="E218" s="97">
        <f t="shared" si="31"/>
        <v>0.4</v>
      </c>
      <c r="F218" s="97">
        <f t="shared" si="31"/>
        <v>0.4</v>
      </c>
      <c r="G218" s="97">
        <f t="shared" si="31"/>
        <v>0.4</v>
      </c>
      <c r="H218" s="97">
        <f t="shared" si="31"/>
        <v>0.4</v>
      </c>
      <c r="I218" s="97">
        <f t="shared" si="31"/>
        <v>0.4</v>
      </c>
      <c r="J218" s="97">
        <f t="shared" si="31"/>
        <v>0.4</v>
      </c>
      <c r="K218" s="97">
        <f t="shared" si="31"/>
        <v>0.4</v>
      </c>
      <c r="L218" s="97">
        <f t="shared" si="31"/>
        <v>0.4</v>
      </c>
      <c r="M218" s="97">
        <f t="shared" si="31"/>
        <v>0.4</v>
      </c>
      <c r="N218" s="97">
        <f t="shared" si="31"/>
        <v>0.4</v>
      </c>
      <c r="O218" s="97">
        <f t="shared" si="31"/>
        <v>0.4</v>
      </c>
      <c r="P218" s="97">
        <f t="shared" si="31"/>
        <v>0.4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ht="15.75" thickBot="1" x14ac:dyDescent="0.3">
      <c r="A219" s="164" t="s">
        <v>88</v>
      </c>
      <c r="B219" s="102">
        <f t="shared" si="30"/>
        <v>0</v>
      </c>
      <c r="C219" s="102">
        <v>0.64</v>
      </c>
      <c r="D219" s="102">
        <f t="shared" si="31"/>
        <v>0.64</v>
      </c>
      <c r="E219" s="102">
        <f t="shared" si="31"/>
        <v>0.64</v>
      </c>
      <c r="F219" s="102">
        <f t="shared" si="31"/>
        <v>0.64</v>
      </c>
      <c r="G219" s="102">
        <f t="shared" si="31"/>
        <v>0.64</v>
      </c>
      <c r="H219" s="102">
        <f t="shared" si="31"/>
        <v>0.64</v>
      </c>
      <c r="I219" s="102">
        <f t="shared" si="31"/>
        <v>0.64</v>
      </c>
      <c r="J219" s="102">
        <f t="shared" si="31"/>
        <v>0.64</v>
      </c>
      <c r="K219" s="102">
        <f t="shared" si="31"/>
        <v>0.64</v>
      </c>
      <c r="L219" s="102">
        <f t="shared" si="31"/>
        <v>0.64</v>
      </c>
      <c r="M219" s="102">
        <f t="shared" si="31"/>
        <v>0.64</v>
      </c>
      <c r="N219" s="102">
        <f t="shared" si="31"/>
        <v>0.64</v>
      </c>
      <c r="O219" s="102">
        <f t="shared" si="31"/>
        <v>0.64</v>
      </c>
      <c r="P219" s="102">
        <f t="shared" si="31"/>
        <v>0.64</v>
      </c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57">
        <v>0.66</v>
      </c>
      <c r="AH219" s="54"/>
      <c r="AI219" s="55"/>
    </row>
    <row r="220" spans="1:37" ht="15.75" thickBot="1" x14ac:dyDescent="0.3">
      <c r="A220" s="173" t="s">
        <v>35</v>
      </c>
      <c r="B220" s="103">
        <f>SUM(B214:B219)</f>
        <v>0</v>
      </c>
      <c r="C220" s="103">
        <f>SUM(C214:C219)</f>
        <v>3.54</v>
      </c>
      <c r="D220" s="103">
        <f t="shared" ref="D220:L220" si="32">SUM(D214:D219)</f>
        <v>3.54</v>
      </c>
      <c r="E220" s="103">
        <f t="shared" si="32"/>
        <v>3.54</v>
      </c>
      <c r="F220" s="103">
        <f t="shared" si="32"/>
        <v>3.54</v>
      </c>
      <c r="G220" s="103">
        <f t="shared" si="32"/>
        <v>3.54</v>
      </c>
      <c r="H220" s="103">
        <f t="shared" si="32"/>
        <v>3.54</v>
      </c>
      <c r="I220" s="103">
        <f t="shared" si="32"/>
        <v>3.54</v>
      </c>
      <c r="J220" s="103">
        <f t="shared" si="32"/>
        <v>3.54</v>
      </c>
      <c r="K220" s="103">
        <f t="shared" si="32"/>
        <v>3.54</v>
      </c>
      <c r="L220" s="103">
        <f t="shared" si="32"/>
        <v>3.54</v>
      </c>
      <c r="M220" s="103">
        <f>SUM(M214:M219)</f>
        <v>3.54</v>
      </c>
      <c r="N220" s="103">
        <f t="shared" ref="N220:S220" si="33">SUM(N214:N219)</f>
        <v>3.54</v>
      </c>
      <c r="O220" s="103">
        <f t="shared" si="33"/>
        <v>3.54</v>
      </c>
      <c r="P220" s="103">
        <f t="shared" si="33"/>
        <v>3.54</v>
      </c>
      <c r="Q220" s="103">
        <f t="shared" si="33"/>
        <v>0</v>
      </c>
      <c r="R220" s="103">
        <f t="shared" si="33"/>
        <v>0</v>
      </c>
      <c r="S220" s="103">
        <f t="shared" si="33"/>
        <v>0</v>
      </c>
      <c r="T220" s="103">
        <f>SUM(T214:T219)</f>
        <v>0</v>
      </c>
      <c r="U220" s="103">
        <f t="shared" ref="U220:AG220" si="34">SUM(U214:U219)</f>
        <v>0</v>
      </c>
      <c r="V220" s="103">
        <f t="shared" si="34"/>
        <v>0</v>
      </c>
      <c r="W220" s="103">
        <f t="shared" si="34"/>
        <v>0</v>
      </c>
      <c r="X220" s="103">
        <f t="shared" si="34"/>
        <v>0</v>
      </c>
      <c r="Y220" s="103">
        <f t="shared" si="34"/>
        <v>0</v>
      </c>
      <c r="Z220" s="103">
        <f t="shared" si="34"/>
        <v>0</v>
      </c>
      <c r="AA220" s="103">
        <f t="shared" si="34"/>
        <v>0</v>
      </c>
      <c r="AB220" s="103">
        <f t="shared" si="34"/>
        <v>0</v>
      </c>
      <c r="AC220" s="103">
        <f t="shared" si="34"/>
        <v>0</v>
      </c>
      <c r="AD220" s="103">
        <f t="shared" si="34"/>
        <v>0</v>
      </c>
      <c r="AE220" s="103">
        <f t="shared" si="34"/>
        <v>0</v>
      </c>
      <c r="AF220" s="103">
        <f t="shared" si="34"/>
        <v>0</v>
      </c>
      <c r="AG220" s="158">
        <f t="shared" si="34"/>
        <v>8.56</v>
      </c>
      <c r="AH220" s="54"/>
      <c r="AI220" s="55"/>
    </row>
    <row r="221" spans="1:37" ht="15.75" thickBot="1" x14ac:dyDescent="0.3"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  <c r="AC221" s="179"/>
      <c r="AD221" s="179"/>
      <c r="AE221" s="179"/>
      <c r="AF221" s="179"/>
      <c r="AG221" s="84"/>
      <c r="AH221" s="179"/>
    </row>
    <row r="222" spans="1:37" x14ac:dyDescent="0.25">
      <c r="A222" s="79" t="s">
        <v>89</v>
      </c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5"/>
      <c r="AG222" s="179"/>
      <c r="AH222" s="54"/>
      <c r="AI222" s="55"/>
    </row>
    <row r="223" spans="1:37" x14ac:dyDescent="0.25">
      <c r="A223" s="106" t="s">
        <v>90</v>
      </c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8"/>
      <c r="AG223" s="109"/>
      <c r="AH223" s="54"/>
      <c r="AI223" s="55"/>
    </row>
    <row r="224" spans="1:37" x14ac:dyDescent="0.25">
      <c r="A224" s="81" t="s">
        <v>91</v>
      </c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1"/>
      <c r="AG224" s="109"/>
      <c r="AH224" s="54"/>
      <c r="AI224" s="55"/>
    </row>
    <row r="225" spans="1:50" x14ac:dyDescent="0.25">
      <c r="A225" s="81" t="s">
        <v>92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ht="15.75" thickBot="1" x14ac:dyDescent="0.3">
      <c r="A226" s="112" t="s">
        <v>93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4"/>
      <c r="AG226" s="109"/>
      <c r="AH226" s="54"/>
      <c r="AI226" s="55"/>
    </row>
    <row r="227" spans="1:50" x14ac:dyDescent="0.25"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  <c r="AC227" s="179"/>
      <c r="AD227" s="179"/>
      <c r="AE227" s="179"/>
      <c r="AF227" s="179"/>
      <c r="AG227" s="179"/>
      <c r="AH227" s="179"/>
    </row>
    <row r="228" spans="1:50" x14ac:dyDescent="0.25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  <c r="AC228" s="179"/>
      <c r="AD228" s="179"/>
      <c r="AE228" s="179"/>
      <c r="AF228" s="179"/>
      <c r="AG228" s="179"/>
      <c r="AH228" s="179"/>
    </row>
    <row r="229" spans="1:50" x14ac:dyDescent="0.25">
      <c r="A229" s="115" t="s">
        <v>94</v>
      </c>
      <c r="B229" s="116">
        <f>MAX(G79:N79)</f>
        <v>1700.44</v>
      </c>
      <c r="C229" s="117">
        <f>INDEX(G9:N9,1,MATCH(MAX(G79:N79),G79:N79,0))</f>
        <v>0.375</v>
      </c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  <c r="AC229" s="179"/>
      <c r="AD229" s="179"/>
      <c r="AE229" s="179"/>
      <c r="AF229" s="179"/>
      <c r="AG229" s="179"/>
      <c r="AH229" s="179"/>
    </row>
    <row r="230" spans="1:50" x14ac:dyDescent="0.25"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18" t="str">
        <f ca="1">MID(CELL("filename",C7),FIND("]",CELL("filename",C7))+1,600)</f>
        <v>16</v>
      </c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79"/>
      <c r="AH230" s="179"/>
    </row>
    <row r="231" spans="1:50" x14ac:dyDescent="0.25">
      <c r="A231" s="208" t="s">
        <v>95</v>
      </c>
      <c r="B231" s="208"/>
      <c r="C231" s="179"/>
      <c r="D231" s="118" t="str">
        <f ca="1">"Pie Chart of Daily Peak Demand(Inclusive of Export) of Nepal ("&amp;A4&amp;" "&amp;B4&amp;")"</f>
        <v>Pie Chart of Daily Peak Demand(Inclusive of Export) of Nepal (Nepali Date: 2079/02/16)</v>
      </c>
      <c r="E231" s="179"/>
      <c r="F231" s="179"/>
      <c r="G231" s="118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18" t="str">
        <f ca="1">"Daily Load Curve(Excluding of Export) of Nepal ("&amp;A4&amp;" "&amp;B4&amp;")"</f>
        <v>Daily Load Curve(Excluding of Export) of Nepal (Nepali Date: 2079/02/16)</v>
      </c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  <c r="AE231" s="179"/>
      <c r="AF231" s="179"/>
      <c r="AG231" s="179"/>
      <c r="AH231" s="179"/>
    </row>
    <row r="232" spans="1:50" ht="12.75" customHeight="1" thickBot="1" x14ac:dyDescent="0.3">
      <c r="A232" s="119" t="s">
        <v>7</v>
      </c>
      <c r="B232" s="120"/>
      <c r="C232" s="179"/>
      <c r="D232" s="121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  <c r="AC232" s="179"/>
      <c r="AD232" s="179"/>
      <c r="AE232" s="179"/>
      <c r="AF232" s="179"/>
      <c r="AG232" s="179"/>
      <c r="AH232" s="179"/>
    </row>
    <row r="233" spans="1:50" ht="15.75" thickTop="1" x14ac:dyDescent="0.25">
      <c r="A233" s="119" t="s">
        <v>96</v>
      </c>
      <c r="B233" s="120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22" t="s">
        <v>97</v>
      </c>
      <c r="T233" s="123">
        <v>0</v>
      </c>
      <c r="U233" s="124">
        <v>4.1666666666666664E-2</v>
      </c>
      <c r="V233" s="125">
        <v>8.3333333333333301E-2</v>
      </c>
      <c r="W233" s="125">
        <v>0.125</v>
      </c>
      <c r="X233" s="125">
        <v>0.16666666666666699</v>
      </c>
      <c r="Y233" s="125">
        <v>0.20833333333333301</v>
      </c>
      <c r="Z233" s="125">
        <v>0.22916666666666666</v>
      </c>
      <c r="AA233" s="125">
        <v>0.25</v>
      </c>
      <c r="AB233" s="125">
        <v>0.27083333333333331</v>
      </c>
      <c r="AC233" s="125">
        <v>0.29166666666666669</v>
      </c>
      <c r="AD233" s="125">
        <v>0.3125</v>
      </c>
      <c r="AE233" s="126">
        <v>0.33333333333333331</v>
      </c>
      <c r="AF233" s="126">
        <v>0.375</v>
      </c>
      <c r="AG233" s="126">
        <v>0.41666666666666702</v>
      </c>
      <c r="AH233" s="126">
        <v>0.45833333333333298</v>
      </c>
      <c r="AI233" s="126">
        <v>0.5</v>
      </c>
      <c r="AJ233" s="126">
        <v>0.54166666666666696</v>
      </c>
      <c r="AK233" s="126">
        <v>0.58333333333333304</v>
      </c>
      <c r="AL233" s="126">
        <v>0.625</v>
      </c>
      <c r="AM233" s="126">
        <v>0.66666666666666696</v>
      </c>
      <c r="AN233" s="126">
        <v>0.70833333333333304</v>
      </c>
      <c r="AO233" s="126">
        <v>0.72916666666666663</v>
      </c>
      <c r="AP233" s="126">
        <v>0.75</v>
      </c>
      <c r="AQ233" s="126">
        <v>0.77083333333333337</v>
      </c>
      <c r="AR233" s="126">
        <v>0.79166666666666663</v>
      </c>
      <c r="AS233" s="126">
        <v>0.8125</v>
      </c>
      <c r="AT233" s="125">
        <v>0.83333333333333337</v>
      </c>
      <c r="AU233" s="125">
        <v>0.85416666666666663</v>
      </c>
      <c r="AV233" s="125">
        <v>0.875</v>
      </c>
      <c r="AW233" s="125">
        <v>0.91666666666666696</v>
      </c>
      <c r="AX233" s="125">
        <v>0.95833333333333304</v>
      </c>
    </row>
    <row r="234" spans="1:50" x14ac:dyDescent="0.25">
      <c r="A234" s="119" t="s">
        <v>98</v>
      </c>
      <c r="B234" s="120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 t="s">
        <v>99</v>
      </c>
      <c r="T234" s="127">
        <f t="shared" ref="T234:AX234" si="35">B79</f>
        <v>1651.44</v>
      </c>
      <c r="U234" s="127">
        <f t="shared" si="35"/>
        <v>1660.24</v>
      </c>
      <c r="V234" s="127">
        <f t="shared" si="35"/>
        <v>1608.6399999999999</v>
      </c>
      <c r="W234" s="127">
        <f t="shared" si="35"/>
        <v>1596.84</v>
      </c>
      <c r="X234" s="127">
        <f t="shared" si="35"/>
        <v>1571.44</v>
      </c>
      <c r="Y234" s="127">
        <f t="shared" si="35"/>
        <v>1571.44</v>
      </c>
      <c r="Z234" s="127">
        <f t="shared" si="35"/>
        <v>1566.8400000000001</v>
      </c>
      <c r="AA234" s="127">
        <f t="shared" si="35"/>
        <v>1582.94</v>
      </c>
      <c r="AB234" s="127">
        <f t="shared" si="35"/>
        <v>1582.94</v>
      </c>
      <c r="AC234" s="127">
        <f t="shared" si="35"/>
        <v>1582.94</v>
      </c>
      <c r="AD234" s="127">
        <f t="shared" si="35"/>
        <v>1595.54</v>
      </c>
      <c r="AE234" s="127">
        <f t="shared" si="35"/>
        <v>1677.1399999999999</v>
      </c>
      <c r="AF234" s="127">
        <f t="shared" si="35"/>
        <v>1700.44</v>
      </c>
      <c r="AG234" s="127">
        <f t="shared" si="35"/>
        <v>1674.64</v>
      </c>
      <c r="AH234" s="127">
        <f t="shared" si="35"/>
        <v>1706.44</v>
      </c>
      <c r="AI234" s="127">
        <f t="shared" si="35"/>
        <v>1747.14</v>
      </c>
      <c r="AJ234" s="127">
        <f t="shared" si="35"/>
        <v>1730.54</v>
      </c>
      <c r="AK234" s="127">
        <f t="shared" si="35"/>
        <v>1730.74</v>
      </c>
      <c r="AL234" s="127">
        <f t="shared" si="35"/>
        <v>1737.44</v>
      </c>
      <c r="AM234" s="127">
        <f t="shared" si="35"/>
        <v>1737.44</v>
      </c>
      <c r="AN234" s="127">
        <f t="shared" si="35"/>
        <v>1694.1399999999999</v>
      </c>
      <c r="AO234" s="127">
        <f t="shared" si="35"/>
        <v>1683.34</v>
      </c>
      <c r="AP234" s="127">
        <f t="shared" si="35"/>
        <v>1683.34</v>
      </c>
      <c r="AQ234" s="127">
        <f t="shared" si="35"/>
        <v>1705.34</v>
      </c>
      <c r="AR234" s="127">
        <f t="shared" si="35"/>
        <v>1763.24</v>
      </c>
      <c r="AS234" s="127">
        <f t="shared" si="35"/>
        <v>1840.64</v>
      </c>
      <c r="AT234" s="127">
        <f t="shared" si="35"/>
        <v>1835.94</v>
      </c>
      <c r="AU234" s="127">
        <f t="shared" si="35"/>
        <v>1813.44</v>
      </c>
      <c r="AV234" s="127">
        <f t="shared" si="35"/>
        <v>1780.44</v>
      </c>
      <c r="AW234" s="127">
        <f t="shared" si="35"/>
        <v>1737.64</v>
      </c>
      <c r="AX234" s="127">
        <f t="shared" si="35"/>
        <v>1654.44</v>
      </c>
    </row>
    <row r="235" spans="1:50" x14ac:dyDescent="0.25">
      <c r="A235" s="119" t="s">
        <v>100</v>
      </c>
      <c r="B235" s="120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  <c r="AC235" s="179"/>
      <c r="AD235" s="179"/>
      <c r="AE235" s="179"/>
      <c r="AF235" s="179"/>
      <c r="AG235" s="179"/>
      <c r="AH235" s="179"/>
    </row>
    <row r="236" spans="1:50" x14ac:dyDescent="0.25">
      <c r="A236" s="119" t="s">
        <v>101</v>
      </c>
      <c r="B236" s="120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79"/>
      <c r="AE236" s="179"/>
      <c r="AF236" s="179"/>
      <c r="AG236" s="179"/>
      <c r="AH236" s="179"/>
    </row>
    <row r="237" spans="1:50" x14ac:dyDescent="0.25">
      <c r="A237" s="119" t="s">
        <v>102</v>
      </c>
      <c r="B237" s="120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  <c r="AE237" s="179"/>
      <c r="AF237" s="179"/>
      <c r="AG237" s="179"/>
      <c r="AH237" s="179"/>
    </row>
    <row r="238" spans="1:50" x14ac:dyDescent="0.25">
      <c r="A238" s="119" t="s">
        <v>103</v>
      </c>
      <c r="B238" s="128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  <c r="AE238" s="179"/>
      <c r="AF238" s="179"/>
      <c r="AG238" s="179"/>
      <c r="AH238" s="179"/>
    </row>
    <row r="239" spans="1:50" x14ac:dyDescent="0.25">
      <c r="A239" s="119" t="s">
        <v>104</v>
      </c>
      <c r="B239" s="120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</row>
    <row r="240" spans="1:50" x14ac:dyDescent="0.25"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  <c r="AD240" s="179"/>
      <c r="AE240" s="179"/>
      <c r="AF240" s="179"/>
      <c r="AG240" s="179"/>
      <c r="AH240" s="179"/>
    </row>
    <row r="241" spans="1:36" x14ac:dyDescent="0.25"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  <c r="AC241" s="179"/>
      <c r="AD241" s="179"/>
      <c r="AE241" s="179"/>
      <c r="AF241" s="179"/>
      <c r="AG241" s="179"/>
      <c r="AH241" s="179"/>
    </row>
    <row r="242" spans="1:36" x14ac:dyDescent="0.25"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  <c r="AC242" s="179"/>
      <c r="AD242" s="179"/>
      <c r="AE242" s="179"/>
      <c r="AF242" s="179"/>
      <c r="AG242" s="179"/>
      <c r="AH242" s="179"/>
    </row>
    <row r="243" spans="1:36" x14ac:dyDescent="0.25"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  <c r="AC243" s="179"/>
      <c r="AD243" s="179"/>
      <c r="AE243" s="179"/>
      <c r="AF243" s="179"/>
      <c r="AG243" s="179"/>
      <c r="AH243" s="179"/>
    </row>
    <row r="244" spans="1:36" x14ac:dyDescent="0.25"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  <c r="AC244" s="179"/>
      <c r="AD244" s="179"/>
      <c r="AE244" s="179"/>
      <c r="AF244" s="179"/>
      <c r="AG244" s="179"/>
      <c r="AH244" s="179"/>
    </row>
    <row r="245" spans="1:36" x14ac:dyDescent="0.25"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  <c r="AG245" s="179"/>
      <c r="AH245" s="179"/>
    </row>
    <row r="246" spans="1:36" x14ac:dyDescent="0.25"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  <c r="AC246" s="179"/>
      <c r="AD246" s="179"/>
      <c r="AE246" s="179"/>
      <c r="AF246" s="179"/>
      <c r="AG246" s="179"/>
      <c r="AH246" s="179"/>
      <c r="AJ246"/>
    </row>
    <row r="247" spans="1:36" x14ac:dyDescent="0.25"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  <c r="AC247" s="179"/>
      <c r="AD247" s="179"/>
      <c r="AE247" s="179"/>
      <c r="AF247" s="179"/>
      <c r="AG247" s="179"/>
      <c r="AH247" s="179"/>
      <c r="AJ247"/>
    </row>
    <row r="248" spans="1:36" x14ac:dyDescent="0.25"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  <c r="AC248" s="179"/>
      <c r="AD248" s="179"/>
      <c r="AE248" s="179"/>
      <c r="AF248" s="179"/>
      <c r="AG248" s="179"/>
      <c r="AH248" s="179"/>
      <c r="AJ248"/>
    </row>
    <row r="249" spans="1:36" x14ac:dyDescent="0.25"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  <c r="AC249" s="179"/>
      <c r="AD249" s="179"/>
      <c r="AE249" s="179"/>
      <c r="AF249" s="179"/>
      <c r="AG249" s="179"/>
      <c r="AH249" s="179"/>
      <c r="AJ249"/>
    </row>
    <row r="250" spans="1:36" x14ac:dyDescent="0.25"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  <c r="AC250" s="179"/>
      <c r="AD250" s="179"/>
      <c r="AE250" s="179"/>
      <c r="AF250" s="179"/>
      <c r="AG250" s="179"/>
      <c r="AH250" s="179"/>
      <c r="AJ250"/>
    </row>
    <row r="251" spans="1:36" x14ac:dyDescent="0.25"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  <c r="AE251" s="179"/>
      <c r="AF251" s="179"/>
      <c r="AG251" s="179"/>
      <c r="AH251" s="179"/>
      <c r="AJ251"/>
    </row>
    <row r="252" spans="1:36" x14ac:dyDescent="0.25"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  <c r="AC252" s="179"/>
      <c r="AD252" s="179"/>
      <c r="AE252" s="179"/>
      <c r="AF252" s="179"/>
      <c r="AG252" s="179"/>
      <c r="AH252" s="179"/>
      <c r="AJ252"/>
    </row>
    <row r="253" spans="1:36" x14ac:dyDescent="0.25"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J253"/>
    </row>
    <row r="254" spans="1:36" x14ac:dyDescent="0.25"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  <c r="AE254" s="179"/>
      <c r="AF254" s="179"/>
      <c r="AG254" s="179"/>
      <c r="AH254" s="179"/>
      <c r="AJ254"/>
    </row>
    <row r="255" spans="1:36" x14ac:dyDescent="0.25">
      <c r="A255" s="129" t="s">
        <v>89</v>
      </c>
      <c r="B255" s="130">
        <f t="shared" ref="B255:AE255" si="36">C219</f>
        <v>0.64</v>
      </c>
      <c r="C255" s="130">
        <f t="shared" si="36"/>
        <v>0.64</v>
      </c>
      <c r="D255" s="130">
        <f t="shared" si="36"/>
        <v>0.64</v>
      </c>
      <c r="E255" s="130">
        <f t="shared" si="36"/>
        <v>0.64</v>
      </c>
      <c r="F255" s="130">
        <f t="shared" si="36"/>
        <v>0.64</v>
      </c>
      <c r="G255" s="130">
        <f t="shared" si="36"/>
        <v>0.64</v>
      </c>
      <c r="H255" s="130">
        <f t="shared" si="36"/>
        <v>0.64</v>
      </c>
      <c r="I255" s="130">
        <f t="shared" si="36"/>
        <v>0.64</v>
      </c>
      <c r="J255" s="130">
        <f t="shared" si="36"/>
        <v>0.64</v>
      </c>
      <c r="K255" s="130">
        <f t="shared" si="36"/>
        <v>0.64</v>
      </c>
      <c r="L255" s="130">
        <f t="shared" si="36"/>
        <v>0.64</v>
      </c>
      <c r="M255" s="130">
        <f t="shared" si="36"/>
        <v>0.64</v>
      </c>
      <c r="N255" s="130">
        <f t="shared" si="36"/>
        <v>0.64</v>
      </c>
      <c r="O255" s="130">
        <f t="shared" si="36"/>
        <v>0.64</v>
      </c>
      <c r="P255" s="130">
        <f t="shared" si="36"/>
        <v>0</v>
      </c>
      <c r="Q255" s="130">
        <f t="shared" si="36"/>
        <v>0</v>
      </c>
      <c r="R255" s="130">
        <f t="shared" si="36"/>
        <v>0</v>
      </c>
      <c r="S255" s="130">
        <f t="shared" si="36"/>
        <v>0</v>
      </c>
      <c r="T255" s="130">
        <f t="shared" si="36"/>
        <v>0</v>
      </c>
      <c r="U255" s="130">
        <f t="shared" si="36"/>
        <v>0</v>
      </c>
      <c r="V255" s="130">
        <f t="shared" si="36"/>
        <v>0</v>
      </c>
      <c r="W255" s="130">
        <f t="shared" si="36"/>
        <v>0</v>
      </c>
      <c r="X255" s="130">
        <f t="shared" si="36"/>
        <v>0</v>
      </c>
      <c r="Y255" s="130">
        <f t="shared" si="36"/>
        <v>0</v>
      </c>
      <c r="Z255" s="130">
        <f t="shared" si="36"/>
        <v>0</v>
      </c>
      <c r="AA255" s="130">
        <f t="shared" si="36"/>
        <v>0</v>
      </c>
      <c r="AB255" s="130">
        <f t="shared" si="36"/>
        <v>0</v>
      </c>
      <c r="AC255" s="130">
        <f t="shared" si="36"/>
        <v>0</v>
      </c>
      <c r="AD255" s="130">
        <f t="shared" si="36"/>
        <v>0</v>
      </c>
      <c r="AE255" s="130">
        <f t="shared" si="36"/>
        <v>0</v>
      </c>
      <c r="AF255" s="130">
        <f>B219</f>
        <v>0</v>
      </c>
      <c r="AG255" s="179"/>
      <c r="AH255" s="179"/>
      <c r="AJ255"/>
    </row>
    <row r="256" spans="1:36" x14ac:dyDescent="0.25">
      <c r="A256" s="88" t="str">
        <f>A223</f>
        <v>KGA</v>
      </c>
      <c r="B256" s="88" t="str">
        <f>IF(B223&lt;100,"",B223-520)</f>
        <v/>
      </c>
      <c r="C256" s="88" t="str">
        <f t="shared" ref="C256:AF256" si="37">IF(C223&lt;100,"",C223-520)</f>
        <v/>
      </c>
      <c r="D256" s="88" t="str">
        <f t="shared" si="37"/>
        <v/>
      </c>
      <c r="E256" s="88" t="str">
        <f t="shared" si="37"/>
        <v/>
      </c>
      <c r="F256" s="88" t="str">
        <f t="shared" si="37"/>
        <v/>
      </c>
      <c r="G256" s="88" t="str">
        <f t="shared" si="37"/>
        <v/>
      </c>
      <c r="H256" s="88" t="str">
        <f t="shared" si="37"/>
        <v/>
      </c>
      <c r="I256" s="88" t="str">
        <f t="shared" si="37"/>
        <v/>
      </c>
      <c r="J256" s="88" t="str">
        <f t="shared" si="37"/>
        <v/>
      </c>
      <c r="K256" s="88" t="str">
        <f t="shared" si="37"/>
        <v/>
      </c>
      <c r="L256" s="88" t="str">
        <f t="shared" si="37"/>
        <v/>
      </c>
      <c r="M256" s="88" t="str">
        <f t="shared" si="37"/>
        <v/>
      </c>
      <c r="N256" s="88" t="str">
        <f t="shared" si="37"/>
        <v/>
      </c>
      <c r="O256" s="88" t="str">
        <f t="shared" si="37"/>
        <v/>
      </c>
      <c r="P256" s="88" t="str">
        <f t="shared" si="37"/>
        <v/>
      </c>
      <c r="Q256" s="88" t="str">
        <f t="shared" si="37"/>
        <v/>
      </c>
      <c r="R256" s="88" t="str">
        <f t="shared" si="37"/>
        <v/>
      </c>
      <c r="S256" s="88" t="str">
        <f t="shared" si="37"/>
        <v/>
      </c>
      <c r="T256" s="88" t="str">
        <f t="shared" si="37"/>
        <v/>
      </c>
      <c r="U256" s="88" t="str">
        <f t="shared" si="37"/>
        <v/>
      </c>
      <c r="V256" s="88" t="str">
        <f t="shared" si="37"/>
        <v/>
      </c>
      <c r="W256" s="88" t="str">
        <f t="shared" si="37"/>
        <v/>
      </c>
      <c r="X256" s="88" t="str">
        <f t="shared" si="37"/>
        <v/>
      </c>
      <c r="Y256" s="88" t="str">
        <f t="shared" si="37"/>
        <v/>
      </c>
      <c r="Z256" s="88" t="str">
        <f t="shared" si="37"/>
        <v/>
      </c>
      <c r="AA256" s="88" t="str">
        <f t="shared" si="37"/>
        <v/>
      </c>
      <c r="AB256" s="88" t="str">
        <f t="shared" si="37"/>
        <v/>
      </c>
      <c r="AC256" s="88" t="str">
        <f t="shared" si="37"/>
        <v/>
      </c>
      <c r="AD256" s="88" t="str">
        <f t="shared" si="37"/>
        <v/>
      </c>
      <c r="AE256" s="88" t="str">
        <f t="shared" si="37"/>
        <v/>
      </c>
      <c r="AF256" s="88" t="str">
        <f t="shared" si="37"/>
        <v/>
      </c>
      <c r="AG256" s="179"/>
      <c r="AH256" s="179"/>
      <c r="AJ256"/>
    </row>
    <row r="257" spans="1:36" x14ac:dyDescent="0.25">
      <c r="A257" s="88" t="str">
        <f>A224</f>
        <v>MMRS</v>
      </c>
      <c r="B257" s="88" t="str">
        <f t="shared" ref="B257:AF257" si="38">IF(B224&lt;100,"",B224-620)</f>
        <v/>
      </c>
      <c r="C257" s="88" t="str">
        <f t="shared" si="38"/>
        <v/>
      </c>
      <c r="D257" s="88" t="str">
        <f t="shared" si="38"/>
        <v/>
      </c>
      <c r="E257" s="88" t="str">
        <f t="shared" si="38"/>
        <v/>
      </c>
      <c r="F257" s="88" t="str">
        <f t="shared" si="38"/>
        <v/>
      </c>
      <c r="G257" s="88" t="str">
        <f t="shared" si="38"/>
        <v/>
      </c>
      <c r="H257" s="88" t="str">
        <f t="shared" si="38"/>
        <v/>
      </c>
      <c r="I257" s="88" t="str">
        <f t="shared" si="38"/>
        <v/>
      </c>
      <c r="J257" s="88" t="str">
        <f t="shared" si="38"/>
        <v/>
      </c>
      <c r="K257" s="88" t="str">
        <f t="shared" si="38"/>
        <v/>
      </c>
      <c r="L257" s="88" t="str">
        <f t="shared" si="38"/>
        <v/>
      </c>
      <c r="M257" s="88" t="str">
        <f t="shared" si="38"/>
        <v/>
      </c>
      <c r="N257" s="88" t="str">
        <f t="shared" si="38"/>
        <v/>
      </c>
      <c r="O257" s="88" t="str">
        <f t="shared" si="38"/>
        <v/>
      </c>
      <c r="P257" s="88" t="str">
        <f t="shared" si="38"/>
        <v/>
      </c>
      <c r="Q257" s="88" t="str">
        <f t="shared" si="38"/>
        <v/>
      </c>
      <c r="R257" s="88" t="str">
        <f t="shared" si="38"/>
        <v/>
      </c>
      <c r="S257" s="88" t="str">
        <f t="shared" si="38"/>
        <v/>
      </c>
      <c r="T257" s="88" t="str">
        <f t="shared" si="38"/>
        <v/>
      </c>
      <c r="U257" s="88" t="str">
        <f t="shared" si="38"/>
        <v/>
      </c>
      <c r="V257" s="88" t="str">
        <f t="shared" si="38"/>
        <v/>
      </c>
      <c r="W257" s="88" t="str">
        <f t="shared" si="38"/>
        <v/>
      </c>
      <c r="X257" s="88" t="str">
        <f t="shared" si="38"/>
        <v/>
      </c>
      <c r="Y257" s="88" t="str">
        <f t="shared" si="38"/>
        <v/>
      </c>
      <c r="Z257" s="88" t="str">
        <f t="shared" si="38"/>
        <v/>
      </c>
      <c r="AA257" s="88" t="str">
        <f t="shared" si="38"/>
        <v/>
      </c>
      <c r="AB257" s="88" t="str">
        <f t="shared" si="38"/>
        <v/>
      </c>
      <c r="AC257" s="88" t="str">
        <f t="shared" si="38"/>
        <v/>
      </c>
      <c r="AD257" s="88" t="str">
        <f t="shared" si="38"/>
        <v/>
      </c>
      <c r="AE257" s="88" t="str">
        <f t="shared" si="38"/>
        <v/>
      </c>
      <c r="AF257" s="88" t="str">
        <f t="shared" si="38"/>
        <v/>
      </c>
      <c r="AG257" s="179"/>
      <c r="AH257" s="179"/>
      <c r="AJ257"/>
    </row>
    <row r="258" spans="1:36" x14ac:dyDescent="0.25">
      <c r="A258" s="88" t="str">
        <f>A225</f>
        <v>MRS</v>
      </c>
      <c r="B258" s="88" t="str">
        <f t="shared" ref="B258:AF258" si="39">IF(B225&lt;100,"",B225-330)</f>
        <v/>
      </c>
      <c r="C258" s="88" t="str">
        <f t="shared" si="39"/>
        <v/>
      </c>
      <c r="D258" s="88" t="str">
        <f t="shared" si="39"/>
        <v/>
      </c>
      <c r="E258" s="88" t="str">
        <f t="shared" si="39"/>
        <v/>
      </c>
      <c r="F258" s="88" t="str">
        <f t="shared" si="39"/>
        <v/>
      </c>
      <c r="G258" s="88" t="str">
        <f t="shared" si="39"/>
        <v/>
      </c>
      <c r="H258" s="88" t="str">
        <f t="shared" si="39"/>
        <v/>
      </c>
      <c r="I258" s="88" t="str">
        <f t="shared" si="39"/>
        <v/>
      </c>
      <c r="J258" s="88" t="str">
        <f t="shared" si="39"/>
        <v/>
      </c>
      <c r="K258" s="88" t="str">
        <f t="shared" si="39"/>
        <v/>
      </c>
      <c r="L258" s="88" t="str">
        <f t="shared" si="39"/>
        <v/>
      </c>
      <c r="M258" s="88" t="str">
        <f t="shared" si="39"/>
        <v/>
      </c>
      <c r="N258" s="88" t="str">
        <f t="shared" si="39"/>
        <v/>
      </c>
      <c r="O258" s="88" t="str">
        <f t="shared" si="39"/>
        <v/>
      </c>
      <c r="P258" s="88" t="str">
        <f t="shared" si="39"/>
        <v/>
      </c>
      <c r="Q258" s="88" t="str">
        <f t="shared" si="39"/>
        <v/>
      </c>
      <c r="R258" s="88" t="str">
        <f t="shared" si="39"/>
        <v/>
      </c>
      <c r="S258" s="88" t="str">
        <f t="shared" si="39"/>
        <v/>
      </c>
      <c r="T258" s="88" t="str">
        <f t="shared" si="39"/>
        <v/>
      </c>
      <c r="U258" s="88" t="str">
        <f t="shared" si="39"/>
        <v/>
      </c>
      <c r="V258" s="88" t="str">
        <f t="shared" si="39"/>
        <v/>
      </c>
      <c r="W258" s="88" t="str">
        <f t="shared" si="39"/>
        <v/>
      </c>
      <c r="X258" s="88" t="str">
        <f t="shared" si="39"/>
        <v/>
      </c>
      <c r="Y258" s="88" t="str">
        <f t="shared" si="39"/>
        <v/>
      </c>
      <c r="Z258" s="88" t="str">
        <f t="shared" si="39"/>
        <v/>
      </c>
      <c r="AA258" s="88" t="str">
        <f t="shared" si="39"/>
        <v/>
      </c>
      <c r="AB258" s="88" t="str">
        <f t="shared" si="39"/>
        <v/>
      </c>
      <c r="AC258" s="88" t="str">
        <f t="shared" si="39"/>
        <v/>
      </c>
      <c r="AD258" s="88" t="str">
        <f t="shared" si="39"/>
        <v/>
      </c>
      <c r="AE258" s="88" t="str">
        <f t="shared" si="39"/>
        <v/>
      </c>
      <c r="AF258" s="88" t="str">
        <f t="shared" si="39"/>
        <v/>
      </c>
      <c r="AG258" s="179"/>
      <c r="AH258" s="179"/>
      <c r="AJ258"/>
    </row>
    <row r="259" spans="1:36" x14ac:dyDescent="0.25">
      <c r="A259" s="88" t="str">
        <f>A226</f>
        <v>KL 1</v>
      </c>
      <c r="B259" s="88" t="str">
        <f>IF(B226&lt;100,"",B226-1500)</f>
        <v/>
      </c>
      <c r="C259" s="88" t="str">
        <f t="shared" ref="C259:AF259" si="40">IF(C226&lt;100,"",C226-1500)</f>
        <v/>
      </c>
      <c r="D259" s="88" t="str">
        <f t="shared" si="40"/>
        <v/>
      </c>
      <c r="E259" s="88" t="str">
        <f t="shared" si="40"/>
        <v/>
      </c>
      <c r="F259" s="88" t="str">
        <f t="shared" si="40"/>
        <v/>
      </c>
      <c r="G259" s="88" t="str">
        <f t="shared" si="40"/>
        <v/>
      </c>
      <c r="H259" s="88" t="str">
        <f t="shared" si="40"/>
        <v/>
      </c>
      <c r="I259" s="88" t="str">
        <f t="shared" si="40"/>
        <v/>
      </c>
      <c r="J259" s="88" t="str">
        <f t="shared" si="40"/>
        <v/>
      </c>
      <c r="K259" s="88" t="str">
        <f t="shared" si="40"/>
        <v/>
      </c>
      <c r="L259" s="88" t="str">
        <f t="shared" si="40"/>
        <v/>
      </c>
      <c r="M259" s="88" t="str">
        <f t="shared" si="40"/>
        <v/>
      </c>
      <c r="N259" s="88" t="str">
        <f t="shared" si="40"/>
        <v/>
      </c>
      <c r="O259" s="88" t="str">
        <f t="shared" si="40"/>
        <v/>
      </c>
      <c r="P259" s="88" t="str">
        <f t="shared" si="40"/>
        <v/>
      </c>
      <c r="Q259" s="88" t="str">
        <f t="shared" si="40"/>
        <v/>
      </c>
      <c r="R259" s="88" t="str">
        <f t="shared" si="40"/>
        <v/>
      </c>
      <c r="S259" s="88" t="str">
        <f t="shared" si="40"/>
        <v/>
      </c>
      <c r="T259" s="88" t="str">
        <f t="shared" si="40"/>
        <v/>
      </c>
      <c r="U259" s="88" t="str">
        <f t="shared" si="40"/>
        <v/>
      </c>
      <c r="V259" s="88" t="str">
        <f t="shared" si="40"/>
        <v/>
      </c>
      <c r="W259" s="88" t="str">
        <f t="shared" si="40"/>
        <v/>
      </c>
      <c r="X259" s="88" t="str">
        <f t="shared" si="40"/>
        <v/>
      </c>
      <c r="Y259" s="88" t="str">
        <f t="shared" si="40"/>
        <v/>
      </c>
      <c r="Z259" s="88" t="str">
        <f t="shared" si="40"/>
        <v/>
      </c>
      <c r="AA259" s="88" t="str">
        <f t="shared" si="40"/>
        <v/>
      </c>
      <c r="AB259" s="88" t="str">
        <f t="shared" si="40"/>
        <v/>
      </c>
      <c r="AC259" s="88" t="str">
        <f t="shared" si="40"/>
        <v/>
      </c>
      <c r="AD259" s="88" t="str">
        <f t="shared" si="40"/>
        <v/>
      </c>
      <c r="AE259" s="88" t="str">
        <f t="shared" si="40"/>
        <v/>
      </c>
      <c r="AF259" s="88" t="str">
        <f t="shared" si="40"/>
        <v/>
      </c>
      <c r="AG259" s="179"/>
      <c r="AH259" s="179"/>
      <c r="AJ259"/>
    </row>
    <row r="260" spans="1:36" x14ac:dyDescent="0.25"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  <c r="AC260" s="179"/>
      <c r="AD260" s="179"/>
      <c r="AE260" s="179"/>
      <c r="AF260" s="179"/>
      <c r="AG260" s="179"/>
      <c r="AH260" s="179"/>
      <c r="AJ260"/>
    </row>
    <row r="261" spans="1:36" x14ac:dyDescent="0.25"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  <c r="AJ261"/>
    </row>
    <row r="262" spans="1:36" x14ac:dyDescent="0.25"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  <c r="AE262" s="179"/>
      <c r="AF262" s="179"/>
      <c r="AG262" s="179"/>
      <c r="AH262" s="179"/>
      <c r="AJ262"/>
    </row>
    <row r="263" spans="1:36" x14ac:dyDescent="0.25"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  <c r="AC263" s="179"/>
      <c r="AD263" s="179"/>
      <c r="AE263" s="179"/>
      <c r="AF263" s="179"/>
      <c r="AG263" s="179"/>
      <c r="AH263" s="179"/>
      <c r="AJ263"/>
    </row>
    <row r="264" spans="1:36" x14ac:dyDescent="0.25"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  <c r="AC264" s="179"/>
      <c r="AD264" s="179"/>
      <c r="AE264" s="179"/>
      <c r="AF264" s="179"/>
      <c r="AG264" s="179"/>
      <c r="AH264" s="179"/>
      <c r="AJ264"/>
    </row>
    <row r="265" spans="1:36" x14ac:dyDescent="0.25"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  <c r="AC265" s="179"/>
      <c r="AD265" s="179"/>
      <c r="AE265" s="179"/>
      <c r="AF265" s="179"/>
      <c r="AG265" s="179"/>
      <c r="AH265" s="179"/>
      <c r="AJ265"/>
    </row>
    <row r="266" spans="1:36" x14ac:dyDescent="0.25"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  <c r="AC266" s="179"/>
      <c r="AD266" s="179"/>
      <c r="AE266" s="179"/>
      <c r="AF266" s="179"/>
      <c r="AJ266"/>
    </row>
    <row r="490" spans="36:38" x14ac:dyDescent="0.25">
      <c r="AK490" s="1"/>
    </row>
    <row r="491" spans="36:38" x14ac:dyDescent="0.25">
      <c r="AK491" s="1"/>
      <c r="AL491" s="1"/>
    </row>
    <row r="492" spans="36:38" x14ac:dyDescent="0.25">
      <c r="AJ49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1:B23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28">
      <iconSet iconSet="3TrafficLights2" reverse="1">
        <cfvo type="percent" val="0"/>
        <cfvo type="num" val="1"/>
        <cfvo type="num" val="1"/>
      </iconSet>
    </cfRule>
  </conditionalFormatting>
  <conditionalFormatting sqref="D214:AF220 B214:B220 B212:AF212 U233:AF233 B9:AF10 C99:AF105 AB11:AF11">
    <cfRule type="expression" dxfId="3772" priority="224">
      <formula>B$9&gt;=20/24</formula>
    </cfRule>
    <cfRule type="expression" dxfId="3771" priority="225">
      <formula>AND(B$9&gt;=14/24,B$9&lt;20/24)</formula>
    </cfRule>
    <cfRule type="expression" dxfId="3770" priority="226">
      <formula>AND(B$9&gt;=8/24,B$9&lt;14/24)</formula>
    </cfRule>
    <cfRule type="expression" dxfId="3769" priority="227">
      <formula>B$9&lt;8/24</formula>
    </cfRule>
  </conditionalFormatting>
  <conditionalFormatting sqref="AL4:AL6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AB37:AF37">
    <cfRule type="expression" dxfId="3768" priority="219">
      <formula>AB$9&gt;=20/24</formula>
    </cfRule>
    <cfRule type="expression" dxfId="3767" priority="220">
      <formula>AND(AB$9&gt;=14/24,AB$9&lt;20/24)</formula>
    </cfRule>
    <cfRule type="expression" dxfId="3766" priority="221">
      <formula>AND(AB$9&gt;=8/24,AB$9&lt;14/24)</formula>
    </cfRule>
    <cfRule type="expression" dxfId="3765" priority="222">
      <formula>AB$9&lt;8/24</formula>
    </cfRule>
  </conditionalFormatting>
  <conditionalFormatting sqref="AG55 AB37:AF37 D11 B12:D16 E11:AF16 B35:AF35">
    <cfRule type="expression" dxfId="3764" priority="218">
      <formula>B11&gt;$AG11</formula>
    </cfRule>
  </conditionalFormatting>
  <conditionalFormatting sqref="A89:A102 A11:A14 A49:A76 A85:A87 A190:A220 A16:A30 A36:A47 A106:A177 A32:A33 A81:A83 A78:A79">
    <cfRule type="expression" dxfId="3763" priority="217">
      <formula>$AH11=0</formula>
    </cfRule>
  </conditionalFormatting>
  <conditionalFormatting sqref="A103">
    <cfRule type="expression" dxfId="3762" priority="216">
      <formula>$AH103=0</formula>
    </cfRule>
  </conditionalFormatting>
  <conditionalFormatting sqref="AL3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3761" priority="214">
      <formula>$AH35=0</formula>
    </cfRule>
  </conditionalFormatting>
  <conditionalFormatting sqref="A88">
    <cfRule type="expression" dxfId="3760" priority="213">
      <formula>$AH88=0</formula>
    </cfRule>
  </conditionalFormatting>
  <conditionalFormatting sqref="A15">
    <cfRule type="expression" dxfId="3759" priority="212">
      <formula>$AH15=0</formula>
    </cfRule>
  </conditionalFormatting>
  <conditionalFormatting sqref="A184:A189">
    <cfRule type="expression" dxfId="3758" priority="211">
      <formula>$AH184=0</formula>
    </cfRule>
  </conditionalFormatting>
  <conditionalFormatting sqref="A178:A183">
    <cfRule type="expression" dxfId="3757" priority="210">
      <formula>$AH178=0</formula>
    </cfRule>
  </conditionalFormatting>
  <conditionalFormatting sqref="A48">
    <cfRule type="expression" dxfId="3756" priority="209">
      <formula>$AH48=0</formula>
    </cfRule>
  </conditionalFormatting>
  <conditionalFormatting sqref="A84">
    <cfRule type="expression" dxfId="3755" priority="208">
      <formula>$AH84=0</formula>
    </cfRule>
  </conditionalFormatting>
  <conditionalFormatting sqref="L89:AF89">
    <cfRule type="expression" dxfId="3754" priority="204">
      <formula>L$9&gt;=20/24</formula>
    </cfRule>
    <cfRule type="expression" dxfId="3753" priority="205">
      <formula>AND(L$9&gt;=14/24,L$9&lt;20/24)</formula>
    </cfRule>
    <cfRule type="expression" dxfId="3752" priority="206">
      <formula>AND(L$9&gt;=8/24,L$9&lt;14/24)</formula>
    </cfRule>
    <cfRule type="expression" dxfId="3751" priority="207">
      <formula>L$9&lt;8/24</formula>
    </cfRule>
  </conditionalFormatting>
  <conditionalFormatting sqref="AL34">
    <cfRule type="iconSet" priority="20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750" priority="230">
      <formula>C$9&gt;=20/24</formula>
    </cfRule>
    <cfRule type="expression" dxfId="3749" priority="231">
      <formula>AND(C$9&gt;=14/24,C$9&lt;20/24)</formula>
    </cfRule>
    <cfRule type="expression" dxfId="3748" priority="232">
      <formula>AND(C$9&gt;=8/24,C$9&lt;14/24)</formula>
    </cfRule>
    <cfRule type="expression" dxfId="3747" priority="233">
      <formula>C$9&lt;8/24</formula>
    </cfRule>
  </conditionalFormatting>
  <conditionalFormatting sqref="A221">
    <cfRule type="expression" dxfId="3746" priority="234">
      <formula>$AH221=0</formula>
    </cfRule>
  </conditionalFormatting>
  <conditionalFormatting sqref="AG233">
    <cfRule type="expression" dxfId="3745" priority="235">
      <formula>B$9&gt;=20/24</formula>
    </cfRule>
    <cfRule type="expression" dxfId="3744" priority="236">
      <formula>AND(B$9&gt;=14/24,B$9&lt;20/24)</formula>
    </cfRule>
    <cfRule type="expression" dxfId="3743" priority="237">
      <formula>AND(B$9&gt;=8/24,B$9&lt;14/24)</formula>
    </cfRule>
    <cfRule type="expression" dxfId="3742" priority="238">
      <formula>B$9&lt;8/24</formula>
    </cfRule>
  </conditionalFormatting>
  <conditionalFormatting sqref="S8">
    <cfRule type="expression" dxfId="3741" priority="199">
      <formula>U$9&gt;=20/24</formula>
    </cfRule>
    <cfRule type="expression" dxfId="3740" priority="200">
      <formula>AND(U$9&gt;=14/24,U$9&lt;20/24)</formula>
    </cfRule>
    <cfRule type="expression" dxfId="3739" priority="201">
      <formula>AND(U$9&gt;=8/24,U$9&lt;14/24)</formula>
    </cfRule>
    <cfRule type="expression" dxfId="3738" priority="202">
      <formula>U$9&lt;8/24</formula>
    </cfRule>
  </conditionalFormatting>
  <conditionalFormatting sqref="AB8">
    <cfRule type="expression" dxfId="3737" priority="195">
      <formula>AD$9&gt;=20/24</formula>
    </cfRule>
    <cfRule type="expression" dxfId="3736" priority="196">
      <formula>AND(AD$9&gt;=14/24,AD$9&lt;20/24)</formula>
    </cfRule>
    <cfRule type="expression" dxfId="3735" priority="197">
      <formula>AND(AD$9&gt;=8/24,AD$9&lt;14/24)</formula>
    </cfRule>
    <cfRule type="expression" dxfId="3734" priority="198">
      <formula>AD$9&lt;8/24</formula>
    </cfRule>
  </conditionalFormatting>
  <conditionalFormatting sqref="AH233:AX233">
    <cfRule type="expression" dxfId="3733" priority="239">
      <formula>AG$9&gt;=20/24</formula>
    </cfRule>
    <cfRule type="expression" dxfId="3732" priority="240">
      <formula>AND(AG$9&gt;=14/24,AG$9&lt;20/24)</formula>
    </cfRule>
    <cfRule type="expression" dxfId="3731" priority="241">
      <formula>AND(AG$9&gt;=8/24,AG$9&lt;14/24)</formula>
    </cfRule>
    <cfRule type="expression" dxfId="3730" priority="242">
      <formula>AG$9&lt;8/24</formula>
    </cfRule>
  </conditionalFormatting>
  <conditionalFormatting sqref="T233">
    <cfRule type="expression" dxfId="3729" priority="243">
      <formula>AX$9&gt;=20/24</formula>
    </cfRule>
    <cfRule type="expression" dxfId="3728" priority="244">
      <formula>AND(AX$9&gt;=14/24,AX$9&lt;20/24)</formula>
    </cfRule>
    <cfRule type="expression" dxfId="3727" priority="245">
      <formula>AND(AX$9&gt;=8/24,AX$9&lt;14/24)</formula>
    </cfRule>
    <cfRule type="expression" dxfId="3726" priority="246">
      <formula>AX$9&lt;8/24</formula>
    </cfRule>
  </conditionalFormatting>
  <conditionalFormatting sqref="A104:A105">
    <cfRule type="expression" dxfId="3725" priority="194">
      <formula>$AH104=0</formula>
    </cfRule>
  </conditionalFormatting>
  <conditionalFormatting sqref="E44:L45 S44:AF45 C61:AF61 AB36:AF36">
    <cfRule type="expression" dxfId="3724" priority="190">
      <formula>C$9&gt;=20/24</formula>
    </cfRule>
    <cfRule type="expression" dxfId="3723" priority="191">
      <formula>AND(C$9&gt;=14/24,C$9&lt;20/24)</formula>
    </cfRule>
    <cfRule type="expression" dxfId="3722" priority="192">
      <formula>AND(C$9&gt;=8/24,C$9&lt;14/24)</formula>
    </cfRule>
    <cfRule type="expression" dxfId="3721" priority="193">
      <formula>C$9&lt;8/24</formula>
    </cfRule>
  </conditionalFormatting>
  <conditionalFormatting sqref="E43:L43 S43:AF43">
    <cfRule type="expression" dxfId="3720" priority="186">
      <formula>E$9&gt;=20/24</formula>
    </cfRule>
    <cfRule type="expression" dxfId="3719" priority="187">
      <formula>AND(E$9&gt;=14/24,E$9&lt;20/24)</formula>
    </cfRule>
    <cfRule type="expression" dxfId="3718" priority="188">
      <formula>AND(E$9&gt;=8/24,E$9&lt;14/24)</formula>
    </cfRule>
    <cfRule type="expression" dxfId="3717" priority="189">
      <formula>E$9&lt;8/24</formula>
    </cfRule>
  </conditionalFormatting>
  <conditionalFormatting sqref="E43:L45 S43:AF45 AB36:AF36">
    <cfRule type="expression" dxfId="3716" priority="185">
      <formula>E36&gt;$AG36</formula>
    </cfRule>
  </conditionalFormatting>
  <conditionalFormatting sqref="C86:AF86 C76:AF76 AF28 C62:T63 M64:T71 M90:AF96 M37:AA37 AF24:AF26 AF18:AF22 AB12:AF14 AB16:AF16 AC25:AE25 AB18:AE20 I57:AF59 U62:AF71 M73:AF75">
    <cfRule type="expression" dxfId="3715" priority="181">
      <formula>C$9&gt;=20/24</formula>
    </cfRule>
    <cfRule type="expression" dxfId="3714" priority="182">
      <formula>AND(C$9&gt;=14/24,C$9&lt;20/24)</formula>
    </cfRule>
    <cfRule type="expression" dxfId="3713" priority="183">
      <formula>AND(C$9&gt;=8/24,C$9&lt;14/24)</formula>
    </cfRule>
    <cfRule type="expression" dxfId="3712" priority="184">
      <formula>C$9&lt;8/24</formula>
    </cfRule>
  </conditionalFormatting>
  <conditionalFormatting sqref="C55:AF55 E46:L46 M37:AA37 AF24:AF28 AF18:AF22 AC25:AE25 AB18:AE20 AB46:AF47 I57:AF59">
    <cfRule type="expression" dxfId="3711" priority="176">
      <formula>C18&gt;$AG18</formula>
    </cfRule>
  </conditionalFormatting>
  <conditionalFormatting sqref="AF35">
    <cfRule type="expression" dxfId="3710" priority="172">
      <formula>AF$9&gt;=20/24</formula>
    </cfRule>
    <cfRule type="expression" dxfId="3709" priority="173">
      <formula>AND(AF$9&gt;=14/24,AF$9&lt;20/24)</formula>
    </cfRule>
    <cfRule type="expression" dxfId="3708" priority="174">
      <formula>AND(AF$9&gt;=8/24,AF$9&lt;14/24)</formula>
    </cfRule>
    <cfRule type="expression" dxfId="3707" priority="175">
      <formula>AF$9&lt;8/24</formula>
    </cfRule>
  </conditionalFormatting>
  <conditionalFormatting sqref="AB15:AF15">
    <cfRule type="expression" dxfId="3706" priority="168">
      <formula>AB$9&gt;=20/24</formula>
    </cfRule>
    <cfRule type="expression" dxfId="3705" priority="169">
      <formula>AND(AB$9&gt;=14/24,AB$9&lt;20/24)</formula>
    </cfRule>
    <cfRule type="expression" dxfId="3704" priority="170">
      <formula>AND(AB$9&gt;=8/24,AB$9&lt;14/24)</formula>
    </cfRule>
    <cfRule type="expression" dxfId="3703" priority="171">
      <formula>AB$9&lt;8/24</formula>
    </cfRule>
  </conditionalFormatting>
  <conditionalFormatting sqref="V46:W46 W47 X46:AA47 AB48:AF54">
    <cfRule type="expression" dxfId="3702" priority="155">
      <formula>V$9&gt;=20/24</formula>
    </cfRule>
    <cfRule type="expression" dxfId="3701" priority="156">
      <formula>AND(V$9&gt;=14/24,V$9&lt;20/24)</formula>
    </cfRule>
    <cfRule type="expression" dxfId="3700" priority="157">
      <formula>AND(V$9&gt;=8/24,V$9&lt;14/24)</formula>
    </cfRule>
    <cfRule type="expression" dxfId="3699" priority="158">
      <formula>V$9&lt;8/24</formula>
    </cfRule>
  </conditionalFormatting>
  <conditionalFormatting sqref="V46:W46 W47 X46:AA47 AB48:AF54">
    <cfRule type="expression" dxfId="3698" priority="154">
      <formula>V46&gt;$AG46</formula>
    </cfRule>
  </conditionalFormatting>
  <conditionalFormatting sqref="M43:R54 S46:U54 V47:V54 W48:AA54">
    <cfRule type="expression" dxfId="3697" priority="150">
      <formula>M$9&gt;=20/24</formula>
    </cfRule>
    <cfRule type="expression" dxfId="3696" priority="151">
      <formula>AND(M$9&gt;=14/24,M$9&lt;20/24)</formula>
    </cfRule>
    <cfRule type="expression" dxfId="3695" priority="152">
      <formula>AND(M$9&gt;=8/24,M$9&lt;14/24)</formula>
    </cfRule>
    <cfRule type="expression" dxfId="3694" priority="153">
      <formula>M$9&lt;8/24</formula>
    </cfRule>
  </conditionalFormatting>
  <conditionalFormatting sqref="M43:R54 S46:U54 V47:V54 W48:AA54">
    <cfRule type="expression" dxfId="3693" priority="149">
      <formula>M43&gt;$AG43</formula>
    </cfRule>
  </conditionalFormatting>
  <conditionalFormatting sqref="AF27">
    <cfRule type="expression" dxfId="3692" priority="145">
      <formula>AF$9&gt;=20/24</formula>
    </cfRule>
    <cfRule type="expression" dxfId="3691" priority="146">
      <formula>AND(AF$9&gt;=14/24,AF$9&lt;20/24)</formula>
    </cfRule>
    <cfRule type="expression" dxfId="3690" priority="147">
      <formula>AND(AF$9&gt;=8/24,AF$9&lt;14/24)</formula>
    </cfRule>
    <cfRule type="expression" dxfId="3689" priority="148">
      <formula>AF$9&lt;8/24</formula>
    </cfRule>
  </conditionalFormatting>
  <conditionalFormatting sqref="AF23 D11:AA11 AB17:AF17">
    <cfRule type="expression" dxfId="3688" priority="141">
      <formula>D$9&gt;=20/24</formula>
    </cfRule>
    <cfRule type="expression" dxfId="3687" priority="142">
      <formula>AND(D$9&gt;=14/24,D$9&lt;20/24)</formula>
    </cfRule>
    <cfRule type="expression" dxfId="3686" priority="143">
      <formula>AND(D$9&gt;=8/24,D$9&lt;14/24)</formula>
    </cfRule>
    <cfRule type="expression" dxfId="3685" priority="144">
      <formula>D$9&lt;8/24</formula>
    </cfRule>
  </conditionalFormatting>
  <conditionalFormatting sqref="AF23 AB17:AF17">
    <cfRule type="expression" dxfId="3684" priority="136">
      <formula>AB17&gt;$AG17</formula>
    </cfRule>
  </conditionalFormatting>
  <conditionalFormatting sqref="C44:D45">
    <cfRule type="expression" dxfId="3683" priority="119">
      <formula>C$9&gt;=20/24</formula>
    </cfRule>
    <cfRule type="expression" dxfId="3682" priority="120">
      <formula>AND(C$9&gt;=14/24,C$9&lt;20/24)</formula>
    </cfRule>
    <cfRule type="expression" dxfId="3681" priority="121">
      <formula>AND(C$9&gt;=8/24,C$9&lt;14/24)</formula>
    </cfRule>
    <cfRule type="expression" dxfId="3680" priority="122">
      <formula>C$9&lt;8/24</formula>
    </cfRule>
  </conditionalFormatting>
  <conditionalFormatting sqref="C43:D43">
    <cfRule type="expression" dxfId="3679" priority="115">
      <formula>C$9&gt;=20/24</formula>
    </cfRule>
    <cfRule type="expression" dxfId="3678" priority="116">
      <formula>AND(C$9&gt;=14/24,C$9&lt;20/24)</formula>
    </cfRule>
    <cfRule type="expression" dxfId="3677" priority="117">
      <formula>AND(C$9&gt;=8/24,C$9&lt;14/24)</formula>
    </cfRule>
    <cfRule type="expression" dxfId="3676" priority="118">
      <formula>C$9&lt;8/24</formula>
    </cfRule>
  </conditionalFormatting>
  <conditionalFormatting sqref="C43:D45">
    <cfRule type="expression" dxfId="3675" priority="114">
      <formula>C43&gt;$AG43</formula>
    </cfRule>
  </conditionalFormatting>
  <conditionalFormatting sqref="D46">
    <cfRule type="expression" dxfId="3674" priority="109">
      <formula>D46&gt;$AG46</formula>
    </cfRule>
  </conditionalFormatting>
  <conditionalFormatting sqref="B99:B105 B78:AF78 B87:AF87 B11:C11">
    <cfRule type="expression" dxfId="3673" priority="91">
      <formula>B$9&gt;=20/24</formula>
    </cfRule>
    <cfRule type="expression" dxfId="3672" priority="92">
      <formula>AND(B$9&gt;=14/24,B$9&lt;20/24)</formula>
    </cfRule>
    <cfRule type="expression" dxfId="3671" priority="93">
      <formula>AND(B$9&gt;=8/24,B$9&lt;14/24)</formula>
    </cfRule>
    <cfRule type="expression" dxfId="3670" priority="94">
      <formula>B$9&lt;8/24</formula>
    </cfRule>
  </conditionalFormatting>
  <conditionalFormatting sqref="B37:L37">
    <cfRule type="expression" dxfId="3669" priority="87">
      <formula>B$9&gt;=20/24</formula>
    </cfRule>
    <cfRule type="expression" dxfId="3668" priority="88">
      <formula>AND(B$9&gt;=14/24,B$9&lt;20/24)</formula>
    </cfRule>
    <cfRule type="expression" dxfId="3667" priority="89">
      <formula>AND(B$9&gt;=8/24,B$9&lt;14/24)</formula>
    </cfRule>
    <cfRule type="expression" dxfId="3666" priority="90">
      <formula>B$9&lt;8/24</formula>
    </cfRule>
  </conditionalFormatting>
  <conditionalFormatting sqref="B11:C11 B37:L37">
    <cfRule type="expression" dxfId="3665" priority="86">
      <formula>B11&gt;$AG11</formula>
    </cfRule>
  </conditionalFormatting>
  <conditionalFormatting sqref="B89:K89">
    <cfRule type="expression" dxfId="3664" priority="82">
      <formula>B$9&gt;=20/24</formula>
    </cfRule>
    <cfRule type="expression" dxfId="3663" priority="83">
      <formula>AND(B$9&gt;=14/24,B$9&lt;20/24)</formula>
    </cfRule>
    <cfRule type="expression" dxfId="3662" priority="84">
      <formula>AND(B$9&gt;=8/24,B$9&lt;14/24)</formula>
    </cfRule>
    <cfRule type="expression" dxfId="3661" priority="85">
      <formula>B$9&lt;8/24</formula>
    </cfRule>
  </conditionalFormatting>
  <conditionalFormatting sqref="B44:B45 B61 B36:AA36">
    <cfRule type="expression" dxfId="3660" priority="78">
      <formula>B$9&gt;=20/24</formula>
    </cfRule>
    <cfRule type="expression" dxfId="3659" priority="79">
      <formula>AND(B$9&gt;=14/24,B$9&lt;20/24)</formula>
    </cfRule>
    <cfRule type="expression" dxfId="3658" priority="80">
      <formula>AND(B$9&gt;=8/24,B$9&lt;14/24)</formula>
    </cfRule>
    <cfRule type="expression" dxfId="3657" priority="81">
      <formula>B$9&lt;8/24</formula>
    </cfRule>
  </conditionalFormatting>
  <conditionalFormatting sqref="B43">
    <cfRule type="expression" dxfId="3656" priority="74">
      <formula>B$9&gt;=20/24</formula>
    </cfRule>
    <cfRule type="expression" dxfId="3655" priority="75">
      <formula>AND(B$9&gt;=14/24,B$9&lt;20/24)</formula>
    </cfRule>
    <cfRule type="expression" dxfId="3654" priority="76">
      <formula>AND(B$9&gt;=8/24,B$9&lt;14/24)</formula>
    </cfRule>
    <cfRule type="expression" dxfId="3653" priority="77">
      <formula>B$9&lt;8/24</formula>
    </cfRule>
  </conditionalFormatting>
  <conditionalFormatting sqref="B43:B45 B36:AA36">
    <cfRule type="expression" dxfId="3652" priority="73">
      <formula>B36&gt;$AG36</formula>
    </cfRule>
  </conditionalFormatting>
  <conditionalFormatting sqref="B57:B60 B73:B77 B79:AF79 B86 C60:AG60 C77:AG77 B88:AF88 B62:B71 C73:L75 C64:L71 C57:H59 B90:L96 B16:AA16 B12:AA14 B18:AA22 B24:AB26 AB21:AE22 AC24:AE24 B28:AE30 AC26:AE26 AF29:AF30 B32:AF32">
    <cfRule type="expression" dxfId="3651" priority="69">
      <formula>B$9&gt;=20/24</formula>
    </cfRule>
    <cfRule type="expression" dxfId="3650" priority="70">
      <formula>AND(B$9&gt;=14/24,B$9&lt;20/24)</formula>
    </cfRule>
    <cfRule type="expression" dxfId="3649" priority="71">
      <formula>AND(B$9&gt;=8/24,B$9&lt;14/24)</formula>
    </cfRule>
    <cfRule type="expression" dxfId="3648" priority="72">
      <formula>B$9&lt;8/24</formula>
    </cfRule>
  </conditionalFormatting>
  <conditionalFormatting sqref="B33:AF33">
    <cfRule type="expression" dxfId="3647" priority="65">
      <formula>B$9&gt;=20/24</formula>
    </cfRule>
    <cfRule type="expression" dxfId="3646" priority="66">
      <formula>AND(B$9&gt;=14/24,B$9&lt;20/24)</formula>
    </cfRule>
    <cfRule type="expression" dxfId="3645" priority="67">
      <formula>AND(B$9&gt;=8/24,B$9&lt;14/24)</formula>
    </cfRule>
    <cfRule type="expression" dxfId="3644" priority="68">
      <formula>B$9&lt;8/24</formula>
    </cfRule>
  </conditionalFormatting>
  <conditionalFormatting sqref="B55:B60 B38:AG38 C56:AG56 C60:AG60 B46:C47 C57:H59 D47:L47 B18:AA22 B24:AB30 AB21:AE22 AC24:AE24 AC26:AE30 AF29:AF30 B32:AF33">
    <cfRule type="expression" dxfId="3643" priority="64">
      <formula>B18&gt;$AG18</formula>
    </cfRule>
  </conditionalFormatting>
  <conditionalFormatting sqref="B35:AE35">
    <cfRule type="expression" dxfId="3642" priority="60">
      <formula>B$9&gt;=20/24</formula>
    </cfRule>
    <cfRule type="expression" dxfId="3641" priority="61">
      <formula>AND(B$9&gt;=14/24,B$9&lt;20/24)</formula>
    </cfRule>
    <cfRule type="expression" dxfId="3640" priority="62">
      <formula>AND(B$9&gt;=8/24,B$9&lt;14/24)</formula>
    </cfRule>
    <cfRule type="expression" dxfId="3639" priority="63">
      <formula>B$9&lt;8/24</formula>
    </cfRule>
  </conditionalFormatting>
  <conditionalFormatting sqref="B15:AA15">
    <cfRule type="expression" dxfId="3638" priority="56">
      <formula>B$9&gt;=20/24</formula>
    </cfRule>
    <cfRule type="expression" dxfId="3637" priority="57">
      <formula>AND(B$9&gt;=14/24,B$9&lt;20/24)</formula>
    </cfRule>
    <cfRule type="expression" dxfId="3636" priority="58">
      <formula>AND(B$9&gt;=8/24,B$9&lt;14/24)</formula>
    </cfRule>
    <cfRule type="expression" dxfId="3635" priority="59">
      <formula>B$9&lt;8/24</formula>
    </cfRule>
  </conditionalFormatting>
  <conditionalFormatting sqref="B34:AF34">
    <cfRule type="expression" dxfId="3634" priority="52">
      <formula>B$9&gt;=20/24</formula>
    </cfRule>
    <cfRule type="expression" dxfId="3633" priority="53">
      <formula>AND(B$9&gt;=14/24,B$9&lt;20/24)</formula>
    </cfRule>
    <cfRule type="expression" dxfId="3632" priority="54">
      <formula>AND(B$9&gt;=8/24,B$9&lt;14/24)</formula>
    </cfRule>
    <cfRule type="expression" dxfId="3631" priority="55">
      <formula>B$9&lt;8/24</formula>
    </cfRule>
  </conditionalFormatting>
  <conditionalFormatting sqref="B34:AF34">
    <cfRule type="expression" dxfId="3630" priority="51">
      <formula>B34&gt;$AG34</formula>
    </cfRule>
  </conditionalFormatting>
  <conditionalFormatting sqref="B48:L54">
    <cfRule type="expression" dxfId="3629" priority="47">
      <formula>B$9&gt;=20/24</formula>
    </cfRule>
    <cfRule type="expression" dxfId="3628" priority="48">
      <formula>AND(B$9&gt;=14/24,B$9&lt;20/24)</formula>
    </cfRule>
    <cfRule type="expression" dxfId="3627" priority="49">
      <formula>AND(B$9&gt;=8/24,B$9&lt;14/24)</formula>
    </cfRule>
    <cfRule type="expression" dxfId="3626" priority="50">
      <formula>B$9&lt;8/24</formula>
    </cfRule>
  </conditionalFormatting>
  <conditionalFormatting sqref="B48:L54">
    <cfRule type="expression" dxfId="3625" priority="46">
      <formula>B48&gt;$AG48</formula>
    </cfRule>
  </conditionalFormatting>
  <conditionalFormatting sqref="B27:AE27">
    <cfRule type="expression" dxfId="3624" priority="42">
      <formula>B$9&gt;=20/24</formula>
    </cfRule>
    <cfRule type="expression" dxfId="3623" priority="43">
      <formula>AND(B$9&gt;=14/24,B$9&lt;20/24)</formula>
    </cfRule>
    <cfRule type="expression" dxfId="3622" priority="44">
      <formula>AND(B$9&gt;=8/24,B$9&lt;14/24)</formula>
    </cfRule>
    <cfRule type="expression" dxfId="3621" priority="45">
      <formula>B$9&lt;8/24</formula>
    </cfRule>
  </conditionalFormatting>
  <conditionalFormatting sqref="B17:AA17 B23:AE23">
    <cfRule type="expression" dxfId="3620" priority="38">
      <formula>B$9&gt;=20/24</formula>
    </cfRule>
    <cfRule type="expression" dxfId="3619" priority="39">
      <formula>AND(B$9&gt;=14/24,B$9&lt;20/24)</formula>
    </cfRule>
    <cfRule type="expression" dxfId="3618" priority="40">
      <formula>AND(B$9&gt;=8/24,B$9&lt;14/24)</formula>
    </cfRule>
    <cfRule type="expression" dxfId="3617" priority="41">
      <formula>B$9&lt;8/24</formula>
    </cfRule>
  </conditionalFormatting>
  <conditionalFormatting sqref="B17:AA17 B23:AE23">
    <cfRule type="expression" dxfId="3616" priority="37">
      <formula>B17&gt;$AG17</formula>
    </cfRule>
  </conditionalFormatting>
  <conditionalFormatting sqref="A34">
    <cfRule type="expression" dxfId="3615" priority="36">
      <formula>$AH34=0</formula>
    </cfRule>
  </conditionalFormatting>
  <conditionalFormatting sqref="B72:AF72">
    <cfRule type="expression" dxfId="3614" priority="32">
      <formula>B$9&gt;=20/24</formula>
    </cfRule>
    <cfRule type="expression" dxfId="3613" priority="33">
      <formula>AND(B$9&gt;=14/24,B$9&lt;20/24)</formula>
    </cfRule>
    <cfRule type="expression" dxfId="3612" priority="34">
      <formula>AND(B$9&gt;=8/24,B$9&lt;14/24)</formula>
    </cfRule>
    <cfRule type="expression" dxfId="3611" priority="35">
      <formula>B$9&lt;8/24</formula>
    </cfRule>
  </conditionalFormatting>
  <conditionalFormatting sqref="B81:AF85">
    <cfRule type="expression" dxfId="3610" priority="28">
      <formula>B$9&gt;=20/24</formula>
    </cfRule>
    <cfRule type="expression" dxfId="3609" priority="29">
      <formula>AND(B$9&gt;=14/24,B$9&lt;20/24)</formula>
    </cfRule>
    <cfRule type="expression" dxfId="3608" priority="30">
      <formula>AND(B$9&gt;=8/24,B$9&lt;14/24)</formula>
    </cfRule>
    <cfRule type="expression" dxfId="3607" priority="31">
      <formula>B$9&lt;8/24</formula>
    </cfRule>
  </conditionalFormatting>
  <conditionalFormatting sqref="AL35 AL7:AL30 AL32">
    <cfRule type="iconSet" priority="247">
      <iconSet iconSet="3TrafficLights2" reverse="1">
        <cfvo type="percent" val="0"/>
        <cfvo type="num" val="1"/>
        <cfvo type="num" val="1"/>
      </iconSet>
    </cfRule>
  </conditionalFormatting>
  <conditionalFormatting sqref="M41:P41 E39:P40 Q39:AF41">
    <cfRule type="expression" dxfId="3606" priority="24">
      <formula>E$9&gt;=20/24</formula>
    </cfRule>
    <cfRule type="expression" dxfId="3605" priority="25">
      <formula>AND(E$9&gt;=14/24,E$9&lt;20/24)</formula>
    </cfRule>
    <cfRule type="expression" dxfId="3604" priority="26">
      <formula>AND(E$9&gt;=8/24,E$9&lt;14/24)</formula>
    </cfRule>
    <cfRule type="expression" dxfId="3603" priority="27">
      <formula>E$9&lt;8/24</formula>
    </cfRule>
  </conditionalFormatting>
  <conditionalFormatting sqref="M41:P41 E39:P40 Q39:AF41">
    <cfRule type="expression" dxfId="3602" priority="23">
      <formula>E39&gt;$AG39</formula>
    </cfRule>
  </conditionalFormatting>
  <conditionalFormatting sqref="B39:B42 C42:AG42 C39:D41 E41:L41">
    <cfRule type="expression" dxfId="3601" priority="19">
      <formula>B$9&gt;=20/24</formula>
    </cfRule>
    <cfRule type="expression" dxfId="3600" priority="20">
      <formula>AND(B$9&gt;=14/24,B$9&lt;20/24)</formula>
    </cfRule>
    <cfRule type="expression" dxfId="3599" priority="21">
      <formula>AND(B$9&gt;=8/24,B$9&lt;14/24)</formula>
    </cfRule>
    <cfRule type="expression" dxfId="3598" priority="22">
      <formula>B$9&lt;8/24</formula>
    </cfRule>
  </conditionalFormatting>
  <conditionalFormatting sqref="B39:B42 C42:AG42 C39:D41 E41:L41">
    <cfRule type="expression" dxfId="3597" priority="18">
      <formula>B39&gt;$AG39</formula>
    </cfRule>
  </conditionalFormatting>
  <conditionalFormatting sqref="C97:AF97">
    <cfRule type="expression" dxfId="3596" priority="14">
      <formula>C$9&gt;=20/24</formula>
    </cfRule>
    <cfRule type="expression" dxfId="3595" priority="15">
      <formula>AND(C$9&gt;=14/24,C$9&lt;20/24)</formula>
    </cfRule>
    <cfRule type="expression" dxfId="3594" priority="16">
      <formula>AND(C$9&gt;=8/24,C$9&lt;14/24)</formula>
    </cfRule>
    <cfRule type="expression" dxfId="3593" priority="17">
      <formula>C$9&lt;8/24</formula>
    </cfRule>
  </conditionalFormatting>
  <conditionalFormatting sqref="B97">
    <cfRule type="expression" dxfId="3592" priority="10">
      <formula>B$9&gt;=20/24</formula>
    </cfRule>
    <cfRule type="expression" dxfId="3591" priority="11">
      <formula>AND(B$9&gt;=14/24,B$9&lt;20/24)</formula>
    </cfRule>
    <cfRule type="expression" dxfId="3590" priority="12">
      <formula>AND(B$9&gt;=8/24,B$9&lt;14/24)</formula>
    </cfRule>
    <cfRule type="expression" dxfId="3589" priority="13">
      <formula>B$9&lt;8/24</formula>
    </cfRule>
  </conditionalFormatting>
  <conditionalFormatting sqref="AL31">
    <cfRule type="iconSet" priority="9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3588" priority="3">
      <formula>$AH31=0</formula>
    </cfRule>
  </conditionalFormatting>
  <conditionalFormatting sqref="A80">
    <cfRule type="expression" dxfId="3587" priority="1">
      <formula>$AH80=0</formula>
    </cfRule>
  </conditionalFormatting>
  <conditionalFormatting sqref="A77">
    <cfRule type="expression" dxfId="3586" priority="2">
      <formula>$AH77=0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EDF3538C-9BDC-4AFF-87EA-9B65B5370963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" id="{93BDDEFC-BF7C-40E8-99B3-A2E511DDCCA1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" id="{A2DEF1F2-DA4F-430E-852D-FBEDDE68E585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" id="{549EB279-6C49-43F0-8DB2-AF37CF8073DC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4" id="{84432095-435A-4E17-BC6D-FD2552C51ADD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2"/>
  <sheetViews>
    <sheetView zoomScale="90" zoomScaleNormal="9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R29" sqref="R29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2079/02/17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("&amp;ROUND(B237,0)&amp;" MW)"&amp;"    IPP   = "&amp;ROUND(B232,0)&amp;" MW     NEA RoR = "&amp;ROUND(B233,0)&amp;" MWImport   = "&amp;ROUND(B235,0)&amp;" MW      KL1+KL2+K3 = "&amp;ROUND(B234,0) &amp;" MW    EXPORT = "&amp;ROUND(B236,0)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0</v>
      </c>
      <c r="C5" s="32">
        <f t="shared" si="0"/>
        <v>0</v>
      </c>
      <c r="D5" s="32">
        <f t="shared" si="0"/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0</v>
      </c>
      <c r="O5" s="32">
        <f t="shared" si="0"/>
        <v>0</v>
      </c>
      <c r="P5" s="32">
        <f t="shared" si="0"/>
        <v>0</v>
      </c>
      <c r="Q5" s="32">
        <f t="shared" si="0"/>
        <v>0</v>
      </c>
      <c r="R5" s="32">
        <f t="shared" si="0"/>
        <v>0</v>
      </c>
      <c r="S5" s="32">
        <f t="shared" si="0"/>
        <v>0</v>
      </c>
      <c r="T5" s="32">
        <f t="shared" si="0"/>
        <v>0</v>
      </c>
      <c r="U5" s="32">
        <f t="shared" si="0"/>
        <v>0</v>
      </c>
      <c r="V5" s="32">
        <f t="shared" si="0"/>
        <v>0</v>
      </c>
      <c r="W5" s="32">
        <f t="shared" si="0"/>
        <v>0</v>
      </c>
      <c r="X5" s="32">
        <f t="shared" si="0"/>
        <v>0</v>
      </c>
      <c r="Y5" s="32">
        <f t="shared" si="0"/>
        <v>0</v>
      </c>
      <c r="Z5" s="32">
        <f t="shared" si="0"/>
        <v>18.2</v>
      </c>
      <c r="AA5" s="32">
        <f t="shared" si="0"/>
        <v>22</v>
      </c>
      <c r="AB5" s="32">
        <f t="shared" si="0"/>
        <v>22</v>
      </c>
      <c r="AC5" s="32">
        <f t="shared" si="0"/>
        <v>23</v>
      </c>
      <c r="AD5" s="32">
        <f t="shared" si="0"/>
        <v>22</v>
      </c>
      <c r="AE5" s="32">
        <f t="shared" si="0"/>
        <v>0</v>
      </c>
      <c r="AF5" s="32">
        <f>B72</f>
        <v>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"&amp;ROUND(B237,0)&amp;"MW at "&amp;TRUNC(B238*24,0)&amp;":"&amp;ROUND((B238*24-TRUNC(B238*24,0))*60,0)&amp;"hr at "&amp;ROUND(B239,1)&amp;"Hz     "&amp;A229&amp;" "&amp;ROUND(B229,0)&amp;"MW at "&amp;TRUNC(C229*24,0)&amp;":"&amp;ROUND((C229*24-TRUNC(C229*24,0))*6,0)&amp;"0hr"</f>
        <v>Evening Peak 0MW at 0:0hr at 0Hz     Morning Peak 1746MW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Load=1566</v>
      </c>
      <c r="B7" s="37">
        <f>B79</f>
        <v>1635.2399999999998</v>
      </c>
      <c r="C7" s="37">
        <f t="shared" ref="C7:AF7" si="1">C79</f>
        <v>1627.04</v>
      </c>
      <c r="D7" s="37">
        <f t="shared" si="1"/>
        <v>1635.74</v>
      </c>
      <c r="E7" s="37">
        <f t="shared" si="1"/>
        <v>1604.44</v>
      </c>
      <c r="F7" s="37">
        <f t="shared" si="1"/>
        <v>1586.3400000000001</v>
      </c>
      <c r="G7" s="37">
        <f t="shared" si="1"/>
        <v>1584.64</v>
      </c>
      <c r="H7" s="37">
        <f t="shared" si="1"/>
        <v>1565.64</v>
      </c>
      <c r="I7" s="37">
        <f t="shared" si="1"/>
        <v>1576.2400000000002</v>
      </c>
      <c r="J7" s="37">
        <f t="shared" si="1"/>
        <v>1585.2400000000002</v>
      </c>
      <c r="K7" s="37">
        <f t="shared" si="1"/>
        <v>1638.1399999999999</v>
      </c>
      <c r="L7" s="37">
        <f t="shared" si="1"/>
        <v>1701.74</v>
      </c>
      <c r="M7" s="37">
        <f t="shared" si="1"/>
        <v>1746.1399999999999</v>
      </c>
      <c r="N7" s="37">
        <f t="shared" si="1"/>
        <v>1675.3400000000001</v>
      </c>
      <c r="O7" s="37">
        <f t="shared" si="1"/>
        <v>1698.9399999999998</v>
      </c>
      <c r="P7" s="37">
        <f t="shared" si="1"/>
        <v>1719.34</v>
      </c>
      <c r="Q7" s="37">
        <f t="shared" si="1"/>
        <v>1734.2399999999998</v>
      </c>
      <c r="R7" s="37">
        <f t="shared" si="1"/>
        <v>1693.8400000000001</v>
      </c>
      <c r="S7" s="37">
        <f t="shared" si="1"/>
        <v>1729.8400000000001</v>
      </c>
      <c r="T7" s="37">
        <f t="shared" si="1"/>
        <v>1735.8400000000001</v>
      </c>
      <c r="U7" s="37">
        <f t="shared" si="1"/>
        <v>1724.14</v>
      </c>
      <c r="V7" s="37">
        <f t="shared" si="1"/>
        <v>1748.3400000000001</v>
      </c>
      <c r="W7" s="37">
        <f t="shared" si="1"/>
        <v>1748.3400000000001</v>
      </c>
      <c r="X7" s="37">
        <f t="shared" si="1"/>
        <v>1748.3400000000001</v>
      </c>
      <c r="Y7" s="37">
        <f t="shared" si="1"/>
        <v>1751.3400000000001</v>
      </c>
      <c r="Z7" s="37">
        <f t="shared" si="1"/>
        <v>1757.3400000000001</v>
      </c>
      <c r="AA7" s="37">
        <f t="shared" si="1"/>
        <v>1853.64</v>
      </c>
      <c r="AB7" s="37">
        <f t="shared" si="1"/>
        <v>1863.34</v>
      </c>
      <c r="AC7" s="37">
        <f t="shared" si="1"/>
        <v>1863.34</v>
      </c>
      <c r="AD7" s="37">
        <f t="shared" si="1"/>
        <v>1864.34</v>
      </c>
      <c r="AE7" s="37">
        <f t="shared" si="1"/>
        <v>1834.34</v>
      </c>
      <c r="AF7" s="37">
        <f t="shared" si="1"/>
        <v>1742.34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179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0">
        <v>53.4</v>
      </c>
      <c r="C11" s="49">
        <v>52.9</v>
      </c>
      <c r="D11" s="49">
        <v>52.8</v>
      </c>
      <c r="E11" s="49">
        <v>52.8</v>
      </c>
      <c r="F11" s="50">
        <v>52.7</v>
      </c>
      <c r="G11" s="50">
        <v>52.7</v>
      </c>
      <c r="H11" s="50">
        <v>52.7</v>
      </c>
      <c r="I11" s="50">
        <v>52.7</v>
      </c>
      <c r="J11" s="50">
        <v>52.7</v>
      </c>
      <c r="K11" s="51">
        <v>53.1</v>
      </c>
      <c r="L11" s="51">
        <v>53.3</v>
      </c>
      <c r="M11" s="51">
        <v>53.3</v>
      </c>
      <c r="N11" s="51">
        <v>53.3</v>
      </c>
      <c r="O11" s="51">
        <v>53.3</v>
      </c>
      <c r="P11" s="51">
        <v>53.3</v>
      </c>
      <c r="Q11" s="51">
        <v>53.2</v>
      </c>
      <c r="R11" s="51">
        <v>53.2</v>
      </c>
      <c r="S11" s="51">
        <v>53.2</v>
      </c>
      <c r="T11" s="51">
        <v>53.2</v>
      </c>
      <c r="U11" s="51">
        <v>53.2</v>
      </c>
      <c r="V11" s="51">
        <v>53.2</v>
      </c>
      <c r="W11" s="51">
        <v>53.2</v>
      </c>
      <c r="X11" s="51">
        <v>53.2</v>
      </c>
      <c r="Y11" s="51">
        <v>53.2</v>
      </c>
      <c r="Z11" s="51">
        <v>53.2</v>
      </c>
      <c r="AA11" s="52">
        <v>53.2</v>
      </c>
      <c r="AB11" s="52">
        <v>53.2</v>
      </c>
      <c r="AC11" s="52">
        <v>53.2</v>
      </c>
      <c r="AD11" s="52">
        <v>53.2</v>
      </c>
      <c r="AE11" s="52">
        <v>53.2</v>
      </c>
      <c r="AF11" s="52">
        <v>53.2</v>
      </c>
      <c r="AG11" s="133">
        <v>52.4</v>
      </c>
      <c r="AH11" s="54">
        <f>MAX(B11:AF11)</f>
        <v>53.4</v>
      </c>
      <c r="AI11" s="55">
        <f>MIN(B11:AF11)</f>
        <v>52.7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49.9</v>
      </c>
      <c r="C12" s="50">
        <v>50.4</v>
      </c>
      <c r="D12" s="50">
        <v>50.5</v>
      </c>
      <c r="E12" s="50">
        <v>50.5</v>
      </c>
      <c r="F12" s="50">
        <v>50.2</v>
      </c>
      <c r="G12" s="50">
        <v>50.2</v>
      </c>
      <c r="H12" s="50">
        <v>50.2</v>
      </c>
      <c r="I12" s="50">
        <v>50.2</v>
      </c>
      <c r="J12" s="50">
        <v>50.2</v>
      </c>
      <c r="K12" s="50">
        <v>50.3</v>
      </c>
      <c r="L12" s="50">
        <v>50.3</v>
      </c>
      <c r="M12" s="50">
        <v>50.3</v>
      </c>
      <c r="N12" s="50">
        <v>50.3</v>
      </c>
      <c r="O12" s="50">
        <v>50.3</v>
      </c>
      <c r="P12" s="50">
        <v>50.3</v>
      </c>
      <c r="Q12" s="50">
        <v>50.5</v>
      </c>
      <c r="R12" s="50">
        <v>50.5</v>
      </c>
      <c r="S12" s="50">
        <v>50.5</v>
      </c>
      <c r="T12" s="50">
        <v>50.5</v>
      </c>
      <c r="U12" s="50">
        <v>50.5</v>
      </c>
      <c r="V12" s="50">
        <v>50.5</v>
      </c>
      <c r="W12" s="50">
        <v>50.5</v>
      </c>
      <c r="X12" s="50">
        <v>50.5</v>
      </c>
      <c r="Y12" s="50">
        <v>50.5</v>
      </c>
      <c r="Z12" s="50">
        <v>50.5</v>
      </c>
      <c r="AA12" s="50">
        <v>50.5</v>
      </c>
      <c r="AB12" s="50">
        <v>50.5</v>
      </c>
      <c r="AC12" s="50">
        <v>50.5</v>
      </c>
      <c r="AD12" s="50">
        <v>50.5</v>
      </c>
      <c r="AE12" s="50">
        <v>50.5</v>
      </c>
      <c r="AF12" s="50">
        <v>50.5</v>
      </c>
      <c r="AG12" s="134">
        <v>50</v>
      </c>
      <c r="AH12" s="54">
        <f t="shared" ref="AH12:AH79" si="2">MAX(B12:AF12)</f>
        <v>50.5</v>
      </c>
      <c r="AI12" s="55">
        <f t="shared" ref="AI12:AI79" si="3">MIN(B12:AF12)</f>
        <v>49.9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43</v>
      </c>
      <c r="C13" s="50">
        <v>43</v>
      </c>
      <c r="D13" s="50">
        <v>43.8</v>
      </c>
      <c r="E13" s="50">
        <v>43.8</v>
      </c>
      <c r="F13" s="50">
        <v>43.9</v>
      </c>
      <c r="G13" s="50">
        <v>43.9</v>
      </c>
      <c r="H13" s="50">
        <v>43.9</v>
      </c>
      <c r="I13" s="50">
        <v>43.9</v>
      </c>
      <c r="J13" s="50">
        <v>43.9</v>
      </c>
      <c r="K13" s="50">
        <v>46.1</v>
      </c>
      <c r="L13" s="50">
        <v>46.1</v>
      </c>
      <c r="M13" s="50">
        <v>46.1</v>
      </c>
      <c r="N13" s="50">
        <v>46.1</v>
      </c>
      <c r="O13" s="50">
        <v>46.1</v>
      </c>
      <c r="P13" s="50">
        <v>46.1</v>
      </c>
      <c r="Q13" s="50">
        <v>45.6</v>
      </c>
      <c r="R13" s="50">
        <v>45.6</v>
      </c>
      <c r="S13" s="50">
        <v>46.2</v>
      </c>
      <c r="T13" s="50">
        <v>46.2</v>
      </c>
      <c r="U13" s="50">
        <v>46.2</v>
      </c>
      <c r="V13" s="50">
        <v>46.2</v>
      </c>
      <c r="W13" s="50">
        <v>46.2</v>
      </c>
      <c r="X13" s="50">
        <v>46.2</v>
      </c>
      <c r="Y13" s="50">
        <v>46.2</v>
      </c>
      <c r="Z13" s="50">
        <v>46.2</v>
      </c>
      <c r="AA13" s="50">
        <v>46.2</v>
      </c>
      <c r="AB13" s="50">
        <v>46.2</v>
      </c>
      <c r="AC13" s="50">
        <v>46.2</v>
      </c>
      <c r="AD13" s="50">
        <v>46.2</v>
      </c>
      <c r="AE13" s="50">
        <v>46.2</v>
      </c>
      <c r="AF13" s="50">
        <v>46.2</v>
      </c>
      <c r="AG13" s="134">
        <v>45</v>
      </c>
      <c r="AH13" s="54">
        <f t="shared" si="2"/>
        <v>46.2</v>
      </c>
      <c r="AI13" s="55">
        <f t="shared" si="3"/>
        <v>43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26</v>
      </c>
      <c r="C14" s="50">
        <v>26</v>
      </c>
      <c r="D14" s="50">
        <v>26</v>
      </c>
      <c r="E14" s="50">
        <v>26</v>
      </c>
      <c r="F14" s="50">
        <v>26</v>
      </c>
      <c r="G14" s="50">
        <v>26</v>
      </c>
      <c r="H14" s="50">
        <v>26</v>
      </c>
      <c r="I14" s="50">
        <v>26</v>
      </c>
      <c r="J14" s="50">
        <v>26</v>
      </c>
      <c r="K14" s="50">
        <v>35</v>
      </c>
      <c r="L14" s="50">
        <v>35</v>
      </c>
      <c r="M14" s="50">
        <v>35</v>
      </c>
      <c r="N14" s="50">
        <v>35</v>
      </c>
      <c r="O14" s="50">
        <v>35</v>
      </c>
      <c r="P14" s="50">
        <v>35</v>
      </c>
      <c r="Q14" s="50">
        <v>35</v>
      </c>
      <c r="R14" s="50">
        <v>35</v>
      </c>
      <c r="S14" s="50">
        <v>35</v>
      </c>
      <c r="T14" s="50">
        <v>35</v>
      </c>
      <c r="U14" s="50">
        <v>30</v>
      </c>
      <c r="V14" s="50">
        <v>30</v>
      </c>
      <c r="W14" s="50">
        <v>30</v>
      </c>
      <c r="X14" s="50">
        <v>30</v>
      </c>
      <c r="Y14" s="50">
        <v>30</v>
      </c>
      <c r="Z14" s="50">
        <v>36</v>
      </c>
      <c r="AA14" s="50">
        <v>36</v>
      </c>
      <c r="AB14" s="50">
        <v>36</v>
      </c>
      <c r="AC14" s="50">
        <v>36</v>
      </c>
      <c r="AD14" s="50">
        <v>36</v>
      </c>
      <c r="AE14" s="50">
        <v>36</v>
      </c>
      <c r="AF14" s="50">
        <v>36</v>
      </c>
      <c r="AG14" s="134">
        <v>42</v>
      </c>
      <c r="AH14" s="54">
        <f t="shared" si="2"/>
        <v>36</v>
      </c>
      <c r="AI14" s="55">
        <f t="shared" si="3"/>
        <v>26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0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30</v>
      </c>
      <c r="L15" s="50">
        <v>30</v>
      </c>
      <c r="M15" s="50">
        <v>20</v>
      </c>
      <c r="N15" s="50">
        <v>15</v>
      </c>
      <c r="O15" s="50">
        <v>15</v>
      </c>
      <c r="P15" s="50">
        <v>30</v>
      </c>
      <c r="Q15" s="50">
        <v>30</v>
      </c>
      <c r="R15" s="50">
        <v>30</v>
      </c>
      <c r="S15" s="50">
        <v>30</v>
      </c>
      <c r="T15" s="50">
        <v>30</v>
      </c>
      <c r="U15" s="50">
        <v>15</v>
      </c>
      <c r="V15" s="50">
        <v>30</v>
      </c>
      <c r="W15" s="50">
        <v>30</v>
      </c>
      <c r="X15" s="50">
        <v>30</v>
      </c>
      <c r="Y15" s="50">
        <v>30</v>
      </c>
      <c r="Z15" s="50">
        <v>30</v>
      </c>
      <c r="AA15" s="50">
        <v>30</v>
      </c>
      <c r="AB15" s="50">
        <v>30</v>
      </c>
      <c r="AC15" s="50">
        <v>30</v>
      </c>
      <c r="AD15" s="50">
        <v>30</v>
      </c>
      <c r="AE15" s="50">
        <v>30</v>
      </c>
      <c r="AF15" s="50">
        <v>30</v>
      </c>
      <c r="AG15" s="135">
        <v>30</v>
      </c>
      <c r="AH15" s="54">
        <f t="shared" si="2"/>
        <v>30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25.3</v>
      </c>
      <c r="C16" s="50">
        <v>23.2</v>
      </c>
      <c r="D16" s="50">
        <v>23.3</v>
      </c>
      <c r="E16" s="50">
        <v>23.3</v>
      </c>
      <c r="F16" s="50">
        <v>23.1</v>
      </c>
      <c r="G16" s="50">
        <v>23.1</v>
      </c>
      <c r="H16" s="50">
        <v>23.1</v>
      </c>
      <c r="I16" s="50">
        <v>23.1</v>
      </c>
      <c r="J16" s="50">
        <v>23.1</v>
      </c>
      <c r="K16" s="50">
        <v>26.1</v>
      </c>
      <c r="L16" s="50">
        <v>26.1</v>
      </c>
      <c r="M16" s="50">
        <v>26.1</v>
      </c>
      <c r="N16" s="50">
        <v>0</v>
      </c>
      <c r="O16" s="50">
        <v>25.5</v>
      </c>
      <c r="P16" s="50">
        <v>26</v>
      </c>
      <c r="Q16" s="50">
        <v>26.1</v>
      </c>
      <c r="R16" s="50">
        <v>26.1</v>
      </c>
      <c r="S16" s="50">
        <v>26.1</v>
      </c>
      <c r="T16" s="50">
        <v>26.1</v>
      </c>
      <c r="U16" s="50">
        <v>26.1</v>
      </c>
      <c r="V16" s="50">
        <v>26.1</v>
      </c>
      <c r="W16" s="50">
        <v>26.1</v>
      </c>
      <c r="X16" s="50">
        <v>26.1</v>
      </c>
      <c r="Y16" s="50">
        <v>26.1</v>
      </c>
      <c r="Z16" s="50">
        <v>26.1</v>
      </c>
      <c r="AA16" s="50">
        <v>26.1</v>
      </c>
      <c r="AB16" s="50">
        <v>26.1</v>
      </c>
      <c r="AC16" s="50">
        <v>26.1</v>
      </c>
      <c r="AD16" s="50">
        <v>26.1</v>
      </c>
      <c r="AE16" s="50">
        <v>26.1</v>
      </c>
      <c r="AF16" s="50">
        <v>26.1</v>
      </c>
      <c r="AG16" s="134">
        <v>25</v>
      </c>
      <c r="AH16" s="54">
        <f t="shared" si="2"/>
        <v>26.1</v>
      </c>
      <c r="AI16" s="55">
        <f t="shared" si="3"/>
        <v>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23</v>
      </c>
      <c r="C17" s="50">
        <v>23</v>
      </c>
      <c r="D17" s="50">
        <v>23</v>
      </c>
      <c r="E17" s="50">
        <v>23</v>
      </c>
      <c r="F17" s="50">
        <v>23</v>
      </c>
      <c r="G17" s="50">
        <v>23</v>
      </c>
      <c r="H17" s="50">
        <v>23</v>
      </c>
      <c r="I17" s="50">
        <v>23</v>
      </c>
      <c r="J17" s="50">
        <v>23</v>
      </c>
      <c r="K17" s="50">
        <v>0</v>
      </c>
      <c r="L17" s="50">
        <v>0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22</v>
      </c>
      <c r="D18" s="50">
        <v>22</v>
      </c>
      <c r="E18" s="50">
        <v>22</v>
      </c>
      <c r="F18" s="50">
        <v>22</v>
      </c>
      <c r="G18" s="50">
        <v>22</v>
      </c>
      <c r="H18" s="50">
        <v>22</v>
      </c>
      <c r="I18" s="50">
        <v>22</v>
      </c>
      <c r="J18" s="50">
        <v>22</v>
      </c>
      <c r="K18" s="50">
        <v>22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22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25.4</v>
      </c>
      <c r="C19" s="50">
        <v>25.4</v>
      </c>
      <c r="D19" s="50">
        <v>25.4</v>
      </c>
      <c r="E19" s="50">
        <v>25.4</v>
      </c>
      <c r="F19" s="50">
        <v>25.4</v>
      </c>
      <c r="G19" s="50">
        <v>25.4</v>
      </c>
      <c r="H19" s="50">
        <v>25.4</v>
      </c>
      <c r="I19" s="50">
        <v>25.4</v>
      </c>
      <c r="J19" s="50">
        <v>25.4</v>
      </c>
      <c r="K19" s="50">
        <v>25.4</v>
      </c>
      <c r="L19" s="50">
        <v>33</v>
      </c>
      <c r="M19" s="50">
        <v>33</v>
      </c>
      <c r="N19" s="50">
        <v>25.9</v>
      </c>
      <c r="O19" s="50">
        <v>25.9</v>
      </c>
      <c r="P19" s="50">
        <v>25.9</v>
      </c>
      <c r="Q19" s="50">
        <v>26</v>
      </c>
      <c r="R19" s="50">
        <v>33.1</v>
      </c>
      <c r="S19" s="50">
        <v>25.1</v>
      </c>
      <c r="T19" s="50">
        <v>25.1</v>
      </c>
      <c r="U19" s="50">
        <v>33.1</v>
      </c>
      <c r="V19" s="50">
        <v>33.1</v>
      </c>
      <c r="W19" s="50">
        <v>33.1</v>
      </c>
      <c r="X19" s="50">
        <v>33.1</v>
      </c>
      <c r="Y19" s="50">
        <v>33.1</v>
      </c>
      <c r="Z19" s="50">
        <v>33.1</v>
      </c>
      <c r="AA19" s="50">
        <v>33.1</v>
      </c>
      <c r="AB19" s="50">
        <v>33.1</v>
      </c>
      <c r="AC19" s="50">
        <v>33.1</v>
      </c>
      <c r="AD19" s="50">
        <v>33.1</v>
      </c>
      <c r="AE19" s="50">
        <v>33.1</v>
      </c>
      <c r="AF19" s="50">
        <v>33.1</v>
      </c>
      <c r="AG19" s="134">
        <v>24.2</v>
      </c>
      <c r="AH19" s="54">
        <f t="shared" si="2"/>
        <v>33.1</v>
      </c>
      <c r="AI19" s="55">
        <f t="shared" si="3"/>
        <v>25.1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23.7</v>
      </c>
      <c r="C20" s="50">
        <v>23.8</v>
      </c>
      <c r="D20" s="50">
        <v>15.1</v>
      </c>
      <c r="E20" s="50">
        <v>15.1</v>
      </c>
      <c r="F20" s="50">
        <v>22.9</v>
      </c>
      <c r="G20" s="50">
        <v>22.9</v>
      </c>
      <c r="H20" s="50">
        <v>22.9</v>
      </c>
      <c r="I20" s="50">
        <v>22.9</v>
      </c>
      <c r="J20" s="50">
        <v>22.9</v>
      </c>
      <c r="K20" s="50">
        <v>22.9</v>
      </c>
      <c r="L20" s="50">
        <v>23.5</v>
      </c>
      <c r="M20" s="50">
        <v>23.5</v>
      </c>
      <c r="N20" s="50">
        <v>23.5</v>
      </c>
      <c r="O20" s="50">
        <v>23.5</v>
      </c>
      <c r="P20" s="50">
        <v>23.5</v>
      </c>
      <c r="Q20" s="50">
        <v>23.8</v>
      </c>
      <c r="R20" s="50">
        <v>23.8</v>
      </c>
      <c r="S20" s="50">
        <v>23.8</v>
      </c>
      <c r="T20" s="50">
        <v>23.8</v>
      </c>
      <c r="U20" s="50">
        <v>23.8</v>
      </c>
      <c r="V20" s="50">
        <v>23.8</v>
      </c>
      <c r="W20" s="50">
        <v>23.8</v>
      </c>
      <c r="X20" s="50">
        <v>23.8</v>
      </c>
      <c r="Y20" s="50">
        <v>23.8</v>
      </c>
      <c r="Z20" s="50">
        <v>23.8</v>
      </c>
      <c r="AA20" s="50">
        <v>23.8</v>
      </c>
      <c r="AB20" s="50">
        <v>23.8</v>
      </c>
      <c r="AC20" s="50">
        <v>23.8</v>
      </c>
      <c r="AD20" s="50">
        <v>23.8</v>
      </c>
      <c r="AE20" s="50">
        <v>23.8</v>
      </c>
      <c r="AF20" s="50">
        <v>23.8</v>
      </c>
      <c r="AG20" s="134">
        <v>23.5</v>
      </c>
      <c r="AH20" s="54">
        <f t="shared" si="2"/>
        <v>23.8</v>
      </c>
      <c r="AI20" s="55">
        <f t="shared" si="3"/>
        <v>15.1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22</v>
      </c>
      <c r="C21" s="50">
        <v>22</v>
      </c>
      <c r="D21" s="50">
        <v>22</v>
      </c>
      <c r="E21" s="50">
        <v>22</v>
      </c>
      <c r="F21" s="50">
        <v>22</v>
      </c>
      <c r="G21" s="50">
        <v>22</v>
      </c>
      <c r="H21" s="50">
        <v>22</v>
      </c>
      <c r="I21" s="50">
        <v>22</v>
      </c>
      <c r="J21" s="50">
        <v>22</v>
      </c>
      <c r="K21" s="50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134">
        <v>22.2</v>
      </c>
      <c r="AH21" s="54">
        <f t="shared" si="2"/>
        <v>22</v>
      </c>
      <c r="AI21" s="55">
        <f t="shared" si="3"/>
        <v>22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134">
        <v>22.1</v>
      </c>
      <c r="AH22" s="54">
        <f t="shared" si="2"/>
        <v>22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20</v>
      </c>
      <c r="C23" s="50">
        <v>20</v>
      </c>
      <c r="D23" s="50">
        <v>20</v>
      </c>
      <c r="E23" s="50">
        <v>20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20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22</v>
      </c>
      <c r="C24" s="50">
        <v>20</v>
      </c>
      <c r="D24" s="50">
        <v>20</v>
      </c>
      <c r="E24" s="50">
        <v>20</v>
      </c>
      <c r="F24" s="50">
        <v>21.8</v>
      </c>
      <c r="G24" s="50">
        <v>21.8</v>
      </c>
      <c r="H24" s="50">
        <v>21.8</v>
      </c>
      <c r="I24" s="50">
        <v>21.8</v>
      </c>
      <c r="J24" s="50">
        <v>21.8</v>
      </c>
      <c r="K24" s="50">
        <v>21.8</v>
      </c>
      <c r="L24" s="50">
        <v>23.9</v>
      </c>
      <c r="M24" s="50">
        <v>23.9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23.9</v>
      </c>
      <c r="AI24" s="55">
        <f t="shared" si="3"/>
        <v>20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0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20</v>
      </c>
      <c r="N25" s="50">
        <v>12</v>
      </c>
      <c r="O25" s="50">
        <v>10</v>
      </c>
      <c r="P25" s="50">
        <v>10</v>
      </c>
      <c r="Q25" s="50">
        <v>15</v>
      </c>
      <c r="R25" s="50">
        <v>4</v>
      </c>
      <c r="S25" s="50">
        <v>4</v>
      </c>
      <c r="T25" s="50">
        <v>10</v>
      </c>
      <c r="U25" s="50">
        <v>10</v>
      </c>
      <c r="V25" s="50">
        <v>20</v>
      </c>
      <c r="W25" s="50">
        <v>20</v>
      </c>
      <c r="X25" s="50">
        <v>20</v>
      </c>
      <c r="Y25" s="50">
        <v>20</v>
      </c>
      <c r="Z25" s="50">
        <v>20</v>
      </c>
      <c r="AA25" s="50">
        <v>20</v>
      </c>
      <c r="AB25" s="50">
        <v>20</v>
      </c>
      <c r="AC25" s="50">
        <v>20</v>
      </c>
      <c r="AD25" s="50">
        <v>20</v>
      </c>
      <c r="AE25" s="50">
        <v>20</v>
      </c>
      <c r="AF25" s="50">
        <v>20</v>
      </c>
      <c r="AG25" s="134">
        <v>20</v>
      </c>
      <c r="AH25" s="54">
        <f t="shared" si="2"/>
        <v>20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14.9</v>
      </c>
      <c r="C26" s="50">
        <v>14.9</v>
      </c>
      <c r="D26" s="50">
        <v>14.9</v>
      </c>
      <c r="E26" s="50">
        <v>14.9</v>
      </c>
      <c r="F26" s="50">
        <v>14.9</v>
      </c>
      <c r="G26" s="50">
        <v>14.9</v>
      </c>
      <c r="H26" s="50">
        <v>14.9</v>
      </c>
      <c r="I26" s="50">
        <v>14.9</v>
      </c>
      <c r="J26" s="50">
        <v>14.9</v>
      </c>
      <c r="K26" s="50">
        <v>14.9</v>
      </c>
      <c r="L26" s="50">
        <v>14.9</v>
      </c>
      <c r="M26" s="50">
        <v>14.9</v>
      </c>
      <c r="N26" s="50">
        <v>14.9</v>
      </c>
      <c r="O26" s="50">
        <v>14.9</v>
      </c>
      <c r="P26" s="50">
        <v>14.9</v>
      </c>
      <c r="Q26" s="50">
        <v>14.9</v>
      </c>
      <c r="R26" s="50">
        <v>14.9</v>
      </c>
      <c r="S26" s="50">
        <v>14.9</v>
      </c>
      <c r="T26" s="50">
        <v>14.9</v>
      </c>
      <c r="U26" s="50">
        <v>14.9</v>
      </c>
      <c r="V26" s="50">
        <v>14.9</v>
      </c>
      <c r="W26" s="50">
        <v>14.9</v>
      </c>
      <c r="X26" s="50">
        <v>14.9</v>
      </c>
      <c r="Y26" s="50">
        <v>14.9</v>
      </c>
      <c r="Z26" s="50">
        <v>14.9</v>
      </c>
      <c r="AA26" s="50">
        <v>14.9</v>
      </c>
      <c r="AB26" s="50">
        <v>14.9</v>
      </c>
      <c r="AC26" s="50">
        <v>14.9</v>
      </c>
      <c r="AD26" s="50">
        <v>14.9</v>
      </c>
      <c r="AE26" s="50">
        <v>14.9</v>
      </c>
      <c r="AF26" s="50">
        <v>14.9</v>
      </c>
      <c r="AG26" s="134">
        <v>14.9</v>
      </c>
      <c r="AH26" s="54">
        <f t="shared" si="2"/>
        <v>14.9</v>
      </c>
      <c r="AI26" s="55">
        <f t="shared" si="3"/>
        <v>14.9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10</v>
      </c>
      <c r="C27" s="50">
        <v>10</v>
      </c>
      <c r="D27" s="50">
        <v>10</v>
      </c>
      <c r="E27" s="50">
        <v>10</v>
      </c>
      <c r="F27" s="50">
        <v>10</v>
      </c>
      <c r="G27" s="50">
        <v>10</v>
      </c>
      <c r="H27" s="50">
        <v>10</v>
      </c>
      <c r="I27" s="50">
        <v>10</v>
      </c>
      <c r="J27" s="50">
        <v>10</v>
      </c>
      <c r="K27" s="50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134">
        <v>13.6</v>
      </c>
      <c r="AH27" s="54">
        <f t="shared" si="2"/>
        <v>10</v>
      </c>
      <c r="AI27" s="55">
        <f t="shared" si="3"/>
        <v>10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13</v>
      </c>
      <c r="C28" s="50">
        <v>13</v>
      </c>
      <c r="D28" s="50">
        <v>13</v>
      </c>
      <c r="E28" s="50">
        <v>13</v>
      </c>
      <c r="F28" s="50">
        <v>13</v>
      </c>
      <c r="G28" s="50">
        <v>13</v>
      </c>
      <c r="H28" s="50">
        <v>13</v>
      </c>
      <c r="I28" s="50">
        <v>13</v>
      </c>
      <c r="J28" s="50">
        <v>13</v>
      </c>
      <c r="K28" s="50">
        <v>13</v>
      </c>
      <c r="L28" s="50">
        <v>13</v>
      </c>
      <c r="M28" s="50">
        <v>13</v>
      </c>
      <c r="N28" s="50">
        <v>13</v>
      </c>
      <c r="O28" s="50">
        <v>13</v>
      </c>
      <c r="P28" s="50">
        <v>13</v>
      </c>
      <c r="Q28" s="50">
        <v>13</v>
      </c>
      <c r="R28" s="50">
        <v>13</v>
      </c>
      <c r="S28" s="50">
        <v>13</v>
      </c>
      <c r="T28" s="50">
        <v>13</v>
      </c>
      <c r="U28" s="50">
        <v>13</v>
      </c>
      <c r="V28" s="50">
        <v>13</v>
      </c>
      <c r="W28" s="50">
        <v>13</v>
      </c>
      <c r="X28" s="50">
        <v>13</v>
      </c>
      <c r="Y28" s="50">
        <v>13</v>
      </c>
      <c r="Z28" s="50">
        <v>13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134">
        <v>13</v>
      </c>
      <c r="AH28" s="54">
        <f t="shared" si="2"/>
        <v>13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12</v>
      </c>
      <c r="C29" s="50">
        <v>12</v>
      </c>
      <c r="D29" s="50">
        <v>12</v>
      </c>
      <c r="E29" s="50">
        <v>12</v>
      </c>
      <c r="F29" s="50">
        <v>12</v>
      </c>
      <c r="G29" s="50">
        <v>12</v>
      </c>
      <c r="H29" s="50">
        <v>12</v>
      </c>
      <c r="I29" s="50">
        <v>12</v>
      </c>
      <c r="J29" s="50">
        <v>12</v>
      </c>
      <c r="K29" s="50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134">
        <v>12</v>
      </c>
      <c r="AH29" s="54">
        <f t="shared" si="2"/>
        <v>12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7</v>
      </c>
      <c r="C30" s="50">
        <v>7</v>
      </c>
      <c r="D30" s="50">
        <v>7</v>
      </c>
      <c r="E30" s="50">
        <v>7</v>
      </c>
      <c r="F30" s="50">
        <v>7</v>
      </c>
      <c r="G30" s="50">
        <v>7</v>
      </c>
      <c r="H30" s="50">
        <v>7</v>
      </c>
      <c r="I30" s="50">
        <v>7</v>
      </c>
      <c r="J30" s="50">
        <v>7</v>
      </c>
      <c r="K30" s="50">
        <v>7</v>
      </c>
      <c r="L30" s="50">
        <v>7</v>
      </c>
      <c r="M30" s="50">
        <v>7</v>
      </c>
      <c r="N30" s="50">
        <v>7</v>
      </c>
      <c r="O30" s="50">
        <v>7</v>
      </c>
      <c r="P30" s="50">
        <v>7</v>
      </c>
      <c r="Q30" s="50">
        <v>7</v>
      </c>
      <c r="R30" s="50">
        <v>7</v>
      </c>
      <c r="S30" s="50">
        <v>7</v>
      </c>
      <c r="T30" s="50">
        <v>7</v>
      </c>
      <c r="U30" s="50">
        <v>7</v>
      </c>
      <c r="V30" s="50">
        <v>7</v>
      </c>
      <c r="W30" s="50">
        <v>7</v>
      </c>
      <c r="X30" s="50">
        <v>7</v>
      </c>
      <c r="Y30" s="50">
        <v>7</v>
      </c>
      <c r="Z30" s="50">
        <v>7</v>
      </c>
      <c r="AA30" s="50">
        <v>7</v>
      </c>
      <c r="AB30" s="50">
        <v>7</v>
      </c>
      <c r="AC30" s="50">
        <v>7</v>
      </c>
      <c r="AD30" s="50">
        <v>7</v>
      </c>
      <c r="AE30" s="50">
        <v>7</v>
      </c>
      <c r="AF30" s="50">
        <v>7</v>
      </c>
      <c r="AG30" s="134">
        <v>12</v>
      </c>
      <c r="AH30" s="54">
        <f t="shared" si="2"/>
        <v>7</v>
      </c>
      <c r="AI30" s="55">
        <f t="shared" si="3"/>
        <v>7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12</v>
      </c>
      <c r="C31" s="50">
        <v>8.5</v>
      </c>
      <c r="D31" s="50">
        <v>8.5</v>
      </c>
      <c r="E31" s="50">
        <v>8.5</v>
      </c>
      <c r="F31" s="50">
        <v>8.5</v>
      </c>
      <c r="G31" s="50">
        <v>8.5</v>
      </c>
      <c r="H31" s="50">
        <v>8.5</v>
      </c>
      <c r="I31" s="50">
        <v>8.5</v>
      </c>
      <c r="J31" s="50">
        <v>8.5</v>
      </c>
      <c r="K31" s="50">
        <v>8.5</v>
      </c>
      <c r="L31" s="50">
        <v>8.5</v>
      </c>
      <c r="M31" s="50">
        <v>8.5</v>
      </c>
      <c r="N31" s="50">
        <v>8.5</v>
      </c>
      <c r="O31" s="50">
        <v>8.5</v>
      </c>
      <c r="P31" s="50">
        <v>8.5</v>
      </c>
      <c r="Q31" s="50">
        <v>8.5</v>
      </c>
      <c r="R31" s="50">
        <v>8.5</v>
      </c>
      <c r="S31" s="50">
        <v>8.5</v>
      </c>
      <c r="T31" s="50">
        <v>8.5</v>
      </c>
      <c r="U31" s="50">
        <v>8.5</v>
      </c>
      <c r="V31" s="50">
        <v>8.5</v>
      </c>
      <c r="W31" s="50">
        <v>8.5</v>
      </c>
      <c r="X31" s="50">
        <v>8.5</v>
      </c>
      <c r="Y31" s="50">
        <v>8.5</v>
      </c>
      <c r="Z31" s="50">
        <v>8.5</v>
      </c>
      <c r="AA31" s="50">
        <v>8.5</v>
      </c>
      <c r="AB31" s="50">
        <v>8.5</v>
      </c>
      <c r="AC31" s="50">
        <v>8.5</v>
      </c>
      <c r="AD31" s="50">
        <v>8.5</v>
      </c>
      <c r="AE31" s="50">
        <v>8.5</v>
      </c>
      <c r="AF31" s="50">
        <v>8.5</v>
      </c>
      <c r="AG31" s="178">
        <v>22</v>
      </c>
      <c r="AH31" s="54">
        <f>MAX(B31:AF31)</f>
        <v>12</v>
      </c>
      <c r="AI31" s="55">
        <f>MIN(B31:AF31)</f>
        <v>8.5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11</v>
      </c>
      <c r="C32" s="50">
        <v>11</v>
      </c>
      <c r="D32" s="50">
        <v>11</v>
      </c>
      <c r="E32" s="50">
        <v>11</v>
      </c>
      <c r="F32" s="50">
        <v>11</v>
      </c>
      <c r="G32" s="50">
        <v>11</v>
      </c>
      <c r="H32" s="50">
        <v>11</v>
      </c>
      <c r="I32" s="50">
        <v>11</v>
      </c>
      <c r="J32" s="50">
        <v>11</v>
      </c>
      <c r="K32" s="50">
        <v>11</v>
      </c>
      <c r="L32" s="50">
        <v>11</v>
      </c>
      <c r="M32" s="50">
        <v>11</v>
      </c>
      <c r="N32" s="50">
        <v>11</v>
      </c>
      <c r="O32" s="50">
        <v>11</v>
      </c>
      <c r="P32" s="50">
        <v>11</v>
      </c>
      <c r="Q32" s="50">
        <v>11</v>
      </c>
      <c r="R32" s="50">
        <v>11</v>
      </c>
      <c r="S32" s="50">
        <v>11</v>
      </c>
      <c r="T32" s="50">
        <v>11</v>
      </c>
      <c r="U32" s="50">
        <v>11</v>
      </c>
      <c r="V32" s="50">
        <v>11</v>
      </c>
      <c r="W32" s="50">
        <v>11</v>
      </c>
      <c r="X32" s="50">
        <v>11</v>
      </c>
      <c r="Y32" s="50">
        <v>11</v>
      </c>
      <c r="Z32" s="50">
        <v>11</v>
      </c>
      <c r="AA32" s="50">
        <v>11</v>
      </c>
      <c r="AB32" s="50">
        <v>11</v>
      </c>
      <c r="AC32" s="50">
        <v>11</v>
      </c>
      <c r="AD32" s="50">
        <v>11</v>
      </c>
      <c r="AE32" s="50">
        <v>11</v>
      </c>
      <c r="AF32" s="50">
        <v>11</v>
      </c>
      <c r="AG32" s="135">
        <v>11.88</v>
      </c>
      <c r="AH32" s="54">
        <f t="shared" si="2"/>
        <v>11</v>
      </c>
      <c r="AI32" s="55">
        <f t="shared" si="3"/>
        <v>11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11</v>
      </c>
      <c r="D33" s="50">
        <v>11</v>
      </c>
      <c r="E33" s="50">
        <v>11</v>
      </c>
      <c r="F33" s="50">
        <v>11</v>
      </c>
      <c r="G33" s="50">
        <v>11</v>
      </c>
      <c r="H33" s="50">
        <v>11</v>
      </c>
      <c r="I33" s="50">
        <v>11</v>
      </c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11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10</v>
      </c>
      <c r="C34" s="50">
        <v>10</v>
      </c>
      <c r="D34" s="50">
        <v>10</v>
      </c>
      <c r="E34" s="50">
        <v>10</v>
      </c>
      <c r="F34" s="50">
        <v>10</v>
      </c>
      <c r="G34" s="50">
        <v>10</v>
      </c>
      <c r="H34" s="50">
        <v>10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50">
        <v>8.1</v>
      </c>
      <c r="P34" s="50">
        <v>8.1</v>
      </c>
      <c r="Q34" s="50">
        <v>8.1</v>
      </c>
      <c r="R34" s="50">
        <v>8.1</v>
      </c>
      <c r="S34" s="50">
        <v>8.1</v>
      </c>
      <c r="T34" s="50">
        <v>8.1</v>
      </c>
      <c r="U34" s="50">
        <v>8.1</v>
      </c>
      <c r="V34" s="50">
        <v>8.1</v>
      </c>
      <c r="W34" s="50">
        <v>8.1</v>
      </c>
      <c r="X34" s="50">
        <v>8.1</v>
      </c>
      <c r="Y34" s="50">
        <v>8.1</v>
      </c>
      <c r="Z34" s="50">
        <v>8.1</v>
      </c>
      <c r="AA34" s="50">
        <v>8.1</v>
      </c>
      <c r="AB34" s="50">
        <v>8.1</v>
      </c>
      <c r="AC34" s="50">
        <v>8.1</v>
      </c>
      <c r="AD34" s="50">
        <v>8.1</v>
      </c>
      <c r="AE34" s="50">
        <v>8.1</v>
      </c>
      <c r="AF34" s="50">
        <v>8.1</v>
      </c>
      <c r="AG34" s="136">
        <v>10</v>
      </c>
      <c r="AH34" s="54">
        <f t="shared" si="2"/>
        <v>10</v>
      </c>
      <c r="AI34" s="55">
        <f t="shared" si="3"/>
        <v>0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136">
        <v>10</v>
      </c>
      <c r="AH35" s="54">
        <f t="shared" si="2"/>
        <v>2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300</v>
      </c>
      <c r="C36" s="62">
        <v>300</v>
      </c>
      <c r="D36" s="62">
        <v>300</v>
      </c>
      <c r="E36" s="62">
        <v>300</v>
      </c>
      <c r="F36" s="62">
        <v>285</v>
      </c>
      <c r="G36" s="62">
        <v>285</v>
      </c>
      <c r="H36" s="62">
        <v>285</v>
      </c>
      <c r="I36" s="62">
        <v>285</v>
      </c>
      <c r="J36" s="62">
        <v>285</v>
      </c>
      <c r="K36" s="62">
        <v>300</v>
      </c>
      <c r="L36" s="62">
        <v>300</v>
      </c>
      <c r="M36" s="62">
        <v>300</v>
      </c>
      <c r="N36" s="62">
        <v>300</v>
      </c>
      <c r="O36" s="62">
        <v>300</v>
      </c>
      <c r="P36" s="62">
        <v>300</v>
      </c>
      <c r="Q36" s="62">
        <v>300</v>
      </c>
      <c r="R36" s="62">
        <v>300</v>
      </c>
      <c r="S36" s="62">
        <v>300</v>
      </c>
      <c r="T36" s="62">
        <v>300</v>
      </c>
      <c r="U36" s="62">
        <v>300</v>
      </c>
      <c r="V36" s="62">
        <v>300</v>
      </c>
      <c r="W36" s="62">
        <v>300</v>
      </c>
      <c r="X36" s="62">
        <v>300</v>
      </c>
      <c r="Y36" s="62">
        <v>300</v>
      </c>
      <c r="Z36" s="62">
        <v>300</v>
      </c>
      <c r="AA36" s="62">
        <v>300</v>
      </c>
      <c r="AB36" s="62">
        <v>300</v>
      </c>
      <c r="AC36" s="62">
        <v>300</v>
      </c>
      <c r="AD36" s="62">
        <v>300</v>
      </c>
      <c r="AE36" s="62">
        <v>300</v>
      </c>
      <c r="AF36" s="62">
        <v>300</v>
      </c>
      <c r="AG36" s="136">
        <v>85</v>
      </c>
      <c r="AH36" s="54">
        <f t="shared" si="2"/>
        <v>300</v>
      </c>
      <c r="AI36" s="55">
        <f t="shared" si="3"/>
        <v>285</v>
      </c>
      <c r="AK36" s="56"/>
    </row>
    <row r="37" spans="1:88" ht="15.75" thickBot="1" x14ac:dyDescent="0.3">
      <c r="A37" s="63" t="s">
        <v>21</v>
      </c>
      <c r="B37" s="64">
        <f>95.3+71.7</f>
        <v>167</v>
      </c>
      <c r="C37" s="62">
        <f>93.6+69.2</f>
        <v>162.80000000000001</v>
      </c>
      <c r="D37" s="62">
        <f>94.6+69.6</f>
        <v>164.2</v>
      </c>
      <c r="E37" s="62">
        <f>95.4+64.6</f>
        <v>160</v>
      </c>
      <c r="F37" s="62">
        <f>95.7+68.8</f>
        <v>164.5</v>
      </c>
      <c r="G37" s="62">
        <f>89.1+69.7</f>
        <v>158.80000000000001</v>
      </c>
      <c r="H37" s="62">
        <f>88+65.8</f>
        <v>153.80000000000001</v>
      </c>
      <c r="I37" s="62">
        <f>89.7+63.9</f>
        <v>153.6</v>
      </c>
      <c r="J37" s="62">
        <f>91.1+70.3</f>
        <v>161.39999999999998</v>
      </c>
      <c r="K37" s="62">
        <f>90.9+40.6</f>
        <v>131.5</v>
      </c>
      <c r="L37" s="62">
        <f>90.8+39.5</f>
        <v>130.30000000000001</v>
      </c>
      <c r="M37" s="62">
        <f>56.7+91.4</f>
        <v>148.10000000000002</v>
      </c>
      <c r="N37" s="62">
        <f>71.7+92.2</f>
        <v>163.9</v>
      </c>
      <c r="O37" s="62">
        <f>73+89.9</f>
        <v>162.9</v>
      </c>
      <c r="P37" s="62">
        <f>72.9+88.3</f>
        <v>161.19999999999999</v>
      </c>
      <c r="Q37" s="62">
        <f>73.3+91.1</f>
        <v>164.39999999999998</v>
      </c>
      <c r="R37" s="62">
        <f>73+90.2</f>
        <v>163.19999999999999</v>
      </c>
      <c r="S37" s="62">
        <f>73+90.2</f>
        <v>163.19999999999999</v>
      </c>
      <c r="T37" s="62">
        <f>73+90.2</f>
        <v>163.19999999999999</v>
      </c>
      <c r="U37" s="62">
        <f>73+96.4</f>
        <v>169.4</v>
      </c>
      <c r="V37" s="64">
        <f>96.2+71.7</f>
        <v>167.9</v>
      </c>
      <c r="W37" s="64">
        <f>96.2+71.7</f>
        <v>167.9</v>
      </c>
      <c r="X37" s="64">
        <f>96.2+71.7</f>
        <v>167.9</v>
      </c>
      <c r="Y37" s="64">
        <f>83.1+72.4</f>
        <v>155.5</v>
      </c>
      <c r="Z37" s="64">
        <f>83.1+72.4</f>
        <v>155.5</v>
      </c>
      <c r="AA37" s="64">
        <v>155.5</v>
      </c>
      <c r="AB37" s="64">
        <f>73+83</f>
        <v>156</v>
      </c>
      <c r="AC37" s="64">
        <f t="shared" ref="AC37" si="4">73+83</f>
        <v>156</v>
      </c>
      <c r="AD37" s="64">
        <v>157</v>
      </c>
      <c r="AE37" s="64">
        <v>157</v>
      </c>
      <c r="AF37" s="64">
        <v>157</v>
      </c>
      <c r="AG37" s="136">
        <v>240</v>
      </c>
      <c r="AH37" s="54">
        <f t="shared" si="2"/>
        <v>169.4</v>
      </c>
      <c r="AI37" s="55">
        <f t="shared" si="3"/>
        <v>130.30000000000001</v>
      </c>
      <c r="AK37" s="56"/>
    </row>
    <row r="38" spans="1:88" ht="15.75" thickBot="1" x14ac:dyDescent="0.3">
      <c r="A38" s="131" t="s">
        <v>22</v>
      </c>
      <c r="B38" s="66">
        <f t="shared" ref="B38" si="5">SUM(B11:B36)</f>
        <v>781.59999999999991</v>
      </c>
      <c r="C38" s="66">
        <f t="shared" ref="C38:AG38" si="6">SUM(C11:C36)</f>
        <v>771.09999999999991</v>
      </c>
      <c r="D38" s="66">
        <f t="shared" si="6"/>
        <v>763.3</v>
      </c>
      <c r="E38" s="66">
        <f t="shared" si="6"/>
        <v>763.3</v>
      </c>
      <c r="F38" s="66">
        <f t="shared" si="6"/>
        <v>759.4</v>
      </c>
      <c r="G38" s="66">
        <f t="shared" si="6"/>
        <v>759.4</v>
      </c>
      <c r="H38" s="66">
        <f t="shared" si="6"/>
        <v>759.4</v>
      </c>
      <c r="I38" s="66">
        <f t="shared" si="6"/>
        <v>749.4</v>
      </c>
      <c r="J38" s="66">
        <f t="shared" si="6"/>
        <v>749.4</v>
      </c>
      <c r="K38" s="66">
        <f t="shared" si="6"/>
        <v>786.09999999999991</v>
      </c>
      <c r="L38" s="66">
        <f t="shared" si="6"/>
        <v>799.59999999999991</v>
      </c>
      <c r="M38" s="66">
        <f t="shared" si="6"/>
        <v>836.59999999999991</v>
      </c>
      <c r="N38" s="66">
        <f t="shared" si="6"/>
        <v>788.5</v>
      </c>
      <c r="O38" s="66">
        <f t="shared" si="6"/>
        <v>820.09999999999991</v>
      </c>
      <c r="P38" s="66">
        <f t="shared" si="6"/>
        <v>835.6</v>
      </c>
      <c r="Q38" s="66">
        <f t="shared" si="6"/>
        <v>840.69999999999993</v>
      </c>
      <c r="R38" s="66">
        <f t="shared" si="6"/>
        <v>836.80000000000007</v>
      </c>
      <c r="S38" s="66">
        <f t="shared" si="6"/>
        <v>817.4</v>
      </c>
      <c r="T38" s="66">
        <f t="shared" si="6"/>
        <v>823.4</v>
      </c>
      <c r="U38" s="66">
        <f t="shared" si="6"/>
        <v>811.40000000000009</v>
      </c>
      <c r="V38" s="66">
        <f t="shared" si="6"/>
        <v>836.4</v>
      </c>
      <c r="W38" s="66">
        <f t="shared" si="6"/>
        <v>836.4</v>
      </c>
      <c r="X38" s="66">
        <f t="shared" si="6"/>
        <v>836.4</v>
      </c>
      <c r="Y38" s="66">
        <f t="shared" si="6"/>
        <v>836.4</v>
      </c>
      <c r="Z38" s="66">
        <f t="shared" si="6"/>
        <v>842.4</v>
      </c>
      <c r="AA38" s="66">
        <f t="shared" si="6"/>
        <v>827.4</v>
      </c>
      <c r="AB38" s="66">
        <f t="shared" si="6"/>
        <v>827.4</v>
      </c>
      <c r="AC38" s="66">
        <f t="shared" si="6"/>
        <v>827.4</v>
      </c>
      <c r="AD38" s="66">
        <f t="shared" si="6"/>
        <v>827.4</v>
      </c>
      <c r="AE38" s="66">
        <f t="shared" si="6"/>
        <v>827.4</v>
      </c>
      <c r="AF38" s="66">
        <f t="shared" si="6"/>
        <v>827.4</v>
      </c>
      <c r="AG38" s="143">
        <f t="shared" si="6"/>
        <v>665.78</v>
      </c>
      <c r="AH38" s="54">
        <f t="shared" si="2"/>
        <v>842.4</v>
      </c>
      <c r="AI38" s="55">
        <f t="shared" si="3"/>
        <v>749.4</v>
      </c>
      <c r="AK38" s="56"/>
    </row>
    <row r="39" spans="1:88" x14ac:dyDescent="0.25">
      <c r="A39" s="159" t="s">
        <v>130</v>
      </c>
      <c r="B39" s="50">
        <v>400</v>
      </c>
      <c r="C39" s="50">
        <v>420</v>
      </c>
      <c r="D39" s="50">
        <v>430</v>
      </c>
      <c r="E39" s="50">
        <v>456</v>
      </c>
      <c r="F39" s="50">
        <v>456</v>
      </c>
      <c r="G39" s="50">
        <v>456</v>
      </c>
      <c r="H39" s="50">
        <v>436</v>
      </c>
      <c r="I39" s="50">
        <v>456</v>
      </c>
      <c r="J39" s="50">
        <v>456</v>
      </c>
      <c r="K39" s="50">
        <v>456</v>
      </c>
      <c r="L39" s="50">
        <v>456</v>
      </c>
      <c r="M39" s="50">
        <v>456</v>
      </c>
      <c r="N39" s="50">
        <v>456</v>
      </c>
      <c r="O39" s="50">
        <v>456</v>
      </c>
      <c r="P39" s="50">
        <v>456</v>
      </c>
      <c r="Q39" s="50">
        <v>456</v>
      </c>
      <c r="R39" s="50">
        <v>456</v>
      </c>
      <c r="S39" s="50">
        <v>456</v>
      </c>
      <c r="T39" s="50">
        <v>456</v>
      </c>
      <c r="U39" s="50">
        <v>456</v>
      </c>
      <c r="V39" s="50">
        <v>456</v>
      </c>
      <c r="W39" s="50">
        <v>456</v>
      </c>
      <c r="X39" s="50">
        <v>456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456</v>
      </c>
      <c r="AF39" s="50">
        <v>456</v>
      </c>
      <c r="AG39" s="135">
        <v>456</v>
      </c>
      <c r="AH39" s="54">
        <f t="shared" si="2"/>
        <v>456</v>
      </c>
      <c r="AI39" s="55">
        <f t="shared" si="3"/>
        <v>400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f t="shared" ref="B42" si="7">SUM(B39:B41)</f>
        <v>482</v>
      </c>
      <c r="C42" s="66">
        <f t="shared" ref="C42:AG42" si="8">SUM(C39:C41)</f>
        <v>502</v>
      </c>
      <c r="D42" s="66">
        <f t="shared" si="8"/>
        <v>512</v>
      </c>
      <c r="E42" s="66">
        <f t="shared" si="8"/>
        <v>538</v>
      </c>
      <c r="F42" s="66">
        <f t="shared" si="8"/>
        <v>538</v>
      </c>
      <c r="G42" s="66">
        <f t="shared" si="8"/>
        <v>538</v>
      </c>
      <c r="H42" s="66">
        <f t="shared" si="8"/>
        <v>518</v>
      </c>
      <c r="I42" s="66">
        <f t="shared" si="8"/>
        <v>538</v>
      </c>
      <c r="J42" s="66">
        <f t="shared" si="8"/>
        <v>538</v>
      </c>
      <c r="K42" s="66">
        <f t="shared" si="8"/>
        <v>538</v>
      </c>
      <c r="L42" s="66">
        <f t="shared" si="8"/>
        <v>538</v>
      </c>
      <c r="M42" s="66">
        <f t="shared" si="8"/>
        <v>538</v>
      </c>
      <c r="N42" s="66">
        <f t="shared" si="8"/>
        <v>538</v>
      </c>
      <c r="O42" s="66">
        <f t="shared" si="8"/>
        <v>538</v>
      </c>
      <c r="P42" s="66">
        <f t="shared" si="8"/>
        <v>538</v>
      </c>
      <c r="Q42" s="66">
        <f t="shared" si="8"/>
        <v>538</v>
      </c>
      <c r="R42" s="66">
        <f t="shared" si="8"/>
        <v>538</v>
      </c>
      <c r="S42" s="66">
        <f t="shared" si="8"/>
        <v>538</v>
      </c>
      <c r="T42" s="66">
        <f t="shared" si="8"/>
        <v>538</v>
      </c>
      <c r="U42" s="66">
        <f t="shared" si="8"/>
        <v>538</v>
      </c>
      <c r="V42" s="66">
        <f t="shared" si="8"/>
        <v>538</v>
      </c>
      <c r="W42" s="66">
        <f t="shared" si="8"/>
        <v>538</v>
      </c>
      <c r="X42" s="66">
        <f t="shared" si="8"/>
        <v>538</v>
      </c>
      <c r="Y42" s="66">
        <f t="shared" si="8"/>
        <v>538</v>
      </c>
      <c r="Z42" s="66">
        <f t="shared" si="8"/>
        <v>538</v>
      </c>
      <c r="AA42" s="66">
        <f t="shared" si="8"/>
        <v>538</v>
      </c>
      <c r="AB42" s="66">
        <f t="shared" si="8"/>
        <v>538</v>
      </c>
      <c r="AC42" s="66">
        <f t="shared" si="8"/>
        <v>538</v>
      </c>
      <c r="AD42" s="66">
        <f t="shared" si="8"/>
        <v>538</v>
      </c>
      <c r="AE42" s="66">
        <f t="shared" si="8"/>
        <v>538</v>
      </c>
      <c r="AF42" s="66">
        <f t="shared" si="8"/>
        <v>538</v>
      </c>
      <c r="AG42" s="143">
        <f t="shared" si="8"/>
        <v>538.1</v>
      </c>
      <c r="AH42" s="54">
        <f t="shared" si="2"/>
        <v>538</v>
      </c>
      <c r="AI42" s="55">
        <f t="shared" si="3"/>
        <v>482</v>
      </c>
      <c r="AK42" s="56"/>
    </row>
    <row r="43" spans="1:88" x14ac:dyDescent="0.25">
      <c r="A43" s="57" t="s">
        <v>23</v>
      </c>
      <c r="B43" s="50">
        <v>137.4</v>
      </c>
      <c r="C43" s="50">
        <v>126.2</v>
      </c>
      <c r="D43" s="50">
        <v>126.3</v>
      </c>
      <c r="E43" s="50">
        <v>126.4</v>
      </c>
      <c r="F43" s="50">
        <v>137.30000000000001</v>
      </c>
      <c r="G43" s="50">
        <v>135.6</v>
      </c>
      <c r="H43" s="50">
        <v>136.4</v>
      </c>
      <c r="I43" s="50">
        <v>136.5</v>
      </c>
      <c r="J43" s="50">
        <v>136.19999999999999</v>
      </c>
      <c r="K43" s="50">
        <v>135.69999999999999</v>
      </c>
      <c r="L43" s="50">
        <v>135.80000000000001</v>
      </c>
      <c r="M43" s="50">
        <v>135.19999999999999</v>
      </c>
      <c r="N43" s="50">
        <v>103.3</v>
      </c>
      <c r="O43" s="50">
        <v>103.3</v>
      </c>
      <c r="P43" s="50">
        <v>103.4</v>
      </c>
      <c r="Q43" s="50">
        <v>103.4</v>
      </c>
      <c r="R43" s="50">
        <v>48.7</v>
      </c>
      <c r="S43" s="50">
        <v>131.4</v>
      </c>
      <c r="T43" s="50">
        <v>131.4</v>
      </c>
      <c r="U43" s="50">
        <v>133.1</v>
      </c>
      <c r="V43" s="50">
        <v>133.1</v>
      </c>
      <c r="W43" s="50">
        <v>133.1</v>
      </c>
      <c r="X43" s="50">
        <v>133.1</v>
      </c>
      <c r="Y43" s="50">
        <v>133.1</v>
      </c>
      <c r="Z43" s="50">
        <v>133.1</v>
      </c>
      <c r="AA43" s="50">
        <v>133.1</v>
      </c>
      <c r="AB43" s="50">
        <v>131.69999999999999</v>
      </c>
      <c r="AC43" s="50">
        <v>131.69999999999999</v>
      </c>
      <c r="AD43" s="50">
        <v>131.69999999999999</v>
      </c>
      <c r="AE43" s="50">
        <v>131.69999999999999</v>
      </c>
      <c r="AF43" s="50">
        <v>131.69999999999999</v>
      </c>
      <c r="AG43" s="135">
        <v>144</v>
      </c>
      <c r="AH43" s="54">
        <f t="shared" si="2"/>
        <v>137.4</v>
      </c>
      <c r="AI43" s="55">
        <f t="shared" si="3"/>
        <v>48.7</v>
      </c>
      <c r="AK43" s="56"/>
    </row>
    <row r="44" spans="1:88" x14ac:dyDescent="0.25">
      <c r="A44" s="60" t="s">
        <v>24</v>
      </c>
      <c r="B44" s="48">
        <v>60</v>
      </c>
      <c r="C44" s="48">
        <v>55</v>
      </c>
      <c r="D44" s="48">
        <v>68.099999999999994</v>
      </c>
      <c r="E44" s="48">
        <v>49.6</v>
      </c>
      <c r="F44" s="48">
        <v>50</v>
      </c>
      <c r="G44" s="48">
        <v>50</v>
      </c>
      <c r="H44" s="48">
        <v>50.2</v>
      </c>
      <c r="I44" s="48">
        <v>50.7</v>
      </c>
      <c r="J44" s="48">
        <v>60</v>
      </c>
      <c r="K44" s="48">
        <v>70.7</v>
      </c>
      <c r="L44" s="48">
        <v>69.8</v>
      </c>
      <c r="M44" s="50">
        <v>70.400000000000006</v>
      </c>
      <c r="N44" s="50">
        <v>70.8</v>
      </c>
      <c r="O44" s="50">
        <v>70.400000000000006</v>
      </c>
      <c r="P44" s="50">
        <v>70.8</v>
      </c>
      <c r="Q44" s="50">
        <v>72.3</v>
      </c>
      <c r="R44" s="50">
        <v>72.3</v>
      </c>
      <c r="S44" s="50">
        <v>72.3</v>
      </c>
      <c r="T44" s="50">
        <v>72.3</v>
      </c>
      <c r="U44" s="50">
        <v>72.3</v>
      </c>
      <c r="V44" s="50">
        <v>72.3</v>
      </c>
      <c r="W44" s="50">
        <v>72.3</v>
      </c>
      <c r="X44" s="50">
        <v>72.3</v>
      </c>
      <c r="Y44" s="50">
        <v>72.3</v>
      </c>
      <c r="Z44" s="50">
        <v>72.3</v>
      </c>
      <c r="AA44" s="48">
        <v>73.099999999999994</v>
      </c>
      <c r="AB44" s="48">
        <v>73.099999999999994</v>
      </c>
      <c r="AC44" s="48">
        <v>73.099999999999994</v>
      </c>
      <c r="AD44" s="48">
        <v>73.099999999999994</v>
      </c>
      <c r="AE44" s="48">
        <v>73.099999999999994</v>
      </c>
      <c r="AF44" s="48">
        <v>73.099999999999994</v>
      </c>
      <c r="AG44" s="136">
        <v>70</v>
      </c>
      <c r="AH44" s="54">
        <f t="shared" si="2"/>
        <v>73.099999999999994</v>
      </c>
      <c r="AI44" s="55">
        <f t="shared" si="3"/>
        <v>49.6</v>
      </c>
      <c r="AK44" s="56"/>
    </row>
    <row r="45" spans="1:88" x14ac:dyDescent="0.25">
      <c r="A45" s="60" t="s">
        <v>25</v>
      </c>
      <c r="B45" s="48">
        <v>55</v>
      </c>
      <c r="C45" s="48">
        <v>60</v>
      </c>
      <c r="D45" s="48">
        <v>60.4</v>
      </c>
      <c r="E45" s="48">
        <v>15.7</v>
      </c>
      <c r="F45" s="48">
        <v>0</v>
      </c>
      <c r="G45" s="48">
        <v>0</v>
      </c>
      <c r="H45" s="48">
        <v>0</v>
      </c>
      <c r="I45" s="48">
        <v>0</v>
      </c>
      <c r="J45" s="48">
        <v>0</v>
      </c>
      <c r="K45" s="48">
        <v>0</v>
      </c>
      <c r="L45" s="48">
        <v>0</v>
      </c>
      <c r="M45" s="50">
        <v>44.5</v>
      </c>
      <c r="N45" s="50">
        <v>60.5</v>
      </c>
      <c r="O45" s="50">
        <v>60.9</v>
      </c>
      <c r="P45" s="50">
        <v>61</v>
      </c>
      <c r="Q45" s="50">
        <v>61</v>
      </c>
      <c r="R45" s="50">
        <v>61</v>
      </c>
      <c r="S45" s="50">
        <v>61</v>
      </c>
      <c r="T45" s="50">
        <v>61</v>
      </c>
      <c r="U45" s="50">
        <v>61</v>
      </c>
      <c r="V45" s="50">
        <v>61</v>
      </c>
      <c r="W45" s="50">
        <v>61</v>
      </c>
      <c r="X45" s="50">
        <v>61</v>
      </c>
      <c r="Y45" s="50">
        <v>61</v>
      </c>
      <c r="Z45" s="50">
        <v>61</v>
      </c>
      <c r="AA45" s="48">
        <v>61</v>
      </c>
      <c r="AB45" s="48">
        <v>61</v>
      </c>
      <c r="AC45" s="48">
        <v>61</v>
      </c>
      <c r="AD45" s="48">
        <v>61</v>
      </c>
      <c r="AE45" s="48">
        <v>61</v>
      </c>
      <c r="AF45" s="48">
        <v>61</v>
      </c>
      <c r="AG45" s="136">
        <v>69</v>
      </c>
      <c r="AH45" s="54">
        <f t="shared" si="2"/>
        <v>61</v>
      </c>
      <c r="AI45" s="55">
        <f t="shared" si="3"/>
        <v>0</v>
      </c>
      <c r="AK45" s="56"/>
    </row>
    <row r="46" spans="1:88" x14ac:dyDescent="0.25">
      <c r="A46" s="60" t="s">
        <v>26</v>
      </c>
      <c r="B46" s="62">
        <v>30.5</v>
      </c>
      <c r="C46" s="62">
        <v>30.5</v>
      </c>
      <c r="D46" s="62">
        <v>24.7</v>
      </c>
      <c r="E46" s="62">
        <v>30.5</v>
      </c>
      <c r="F46" s="62">
        <v>30.5</v>
      </c>
      <c r="G46" s="62">
        <v>30.5</v>
      </c>
      <c r="H46" s="62">
        <v>30.5</v>
      </c>
      <c r="I46" s="62">
        <v>30.5</v>
      </c>
      <c r="J46" s="62">
        <v>30.5</v>
      </c>
      <c r="K46" s="62">
        <v>30.5</v>
      </c>
      <c r="L46" s="62">
        <v>30.5</v>
      </c>
      <c r="M46" s="50">
        <v>30.5</v>
      </c>
      <c r="N46" s="50">
        <v>30.5</v>
      </c>
      <c r="O46" s="50">
        <v>30.7</v>
      </c>
      <c r="P46" s="50">
        <v>31</v>
      </c>
      <c r="Q46" s="50">
        <v>30.7</v>
      </c>
      <c r="R46" s="50">
        <v>30.7</v>
      </c>
      <c r="S46" s="50">
        <v>30.7</v>
      </c>
      <c r="T46" s="50">
        <v>30.7</v>
      </c>
      <c r="U46" s="50">
        <v>30.7</v>
      </c>
      <c r="V46" s="50">
        <v>30.7</v>
      </c>
      <c r="W46" s="50">
        <v>30.7</v>
      </c>
      <c r="X46" s="50">
        <v>30.7</v>
      </c>
      <c r="Y46" s="50">
        <v>30.7</v>
      </c>
      <c r="Z46" s="50">
        <v>30.7</v>
      </c>
      <c r="AA46" s="48">
        <v>30.7</v>
      </c>
      <c r="AB46" s="48">
        <v>30.7</v>
      </c>
      <c r="AC46" s="48">
        <v>30.7</v>
      </c>
      <c r="AD46" s="48">
        <v>30.7</v>
      </c>
      <c r="AE46" s="48">
        <v>30.7</v>
      </c>
      <c r="AF46" s="48">
        <v>30.7</v>
      </c>
      <c r="AG46" s="136">
        <v>60</v>
      </c>
      <c r="AH46" s="54">
        <f t="shared" si="2"/>
        <v>31</v>
      </c>
      <c r="AI46" s="55">
        <f t="shared" si="3"/>
        <v>24.7</v>
      </c>
      <c r="AK46" s="56"/>
    </row>
    <row r="47" spans="1:88" x14ac:dyDescent="0.25">
      <c r="A47" s="60" t="s">
        <v>27</v>
      </c>
      <c r="B47" s="62">
        <v>28.3</v>
      </c>
      <c r="C47" s="62">
        <v>28.3</v>
      </c>
      <c r="D47" s="62">
        <v>28.5</v>
      </c>
      <c r="E47" s="62">
        <v>28.4</v>
      </c>
      <c r="F47" s="62">
        <v>24</v>
      </c>
      <c r="G47" s="62">
        <v>24</v>
      </c>
      <c r="H47" s="62">
        <v>24</v>
      </c>
      <c r="I47" s="62">
        <v>24</v>
      </c>
      <c r="J47" s="62">
        <v>24</v>
      </c>
      <c r="K47" s="62">
        <v>30</v>
      </c>
      <c r="L47" s="62">
        <v>30</v>
      </c>
      <c r="M47" s="50">
        <v>28.4</v>
      </c>
      <c r="N47" s="50">
        <v>28.3</v>
      </c>
      <c r="O47" s="50">
        <v>28.3</v>
      </c>
      <c r="P47" s="50">
        <v>28.3</v>
      </c>
      <c r="Q47" s="50">
        <v>28.5</v>
      </c>
      <c r="R47" s="50">
        <v>28.5</v>
      </c>
      <c r="S47" s="50">
        <v>28.5</v>
      </c>
      <c r="T47" s="50">
        <v>28.5</v>
      </c>
      <c r="U47" s="50">
        <v>28.5</v>
      </c>
      <c r="V47" s="50">
        <v>28.5</v>
      </c>
      <c r="W47" s="50">
        <v>28.5</v>
      </c>
      <c r="X47" s="50">
        <v>28.5</v>
      </c>
      <c r="Y47" s="50">
        <v>28.5</v>
      </c>
      <c r="Z47" s="50">
        <v>28.5</v>
      </c>
      <c r="AA47" s="48">
        <v>28.5</v>
      </c>
      <c r="AB47" s="48">
        <v>28.5</v>
      </c>
      <c r="AC47" s="48">
        <v>28.5</v>
      </c>
      <c r="AD47" s="48">
        <v>28.5</v>
      </c>
      <c r="AE47" s="48">
        <v>28.5</v>
      </c>
      <c r="AF47" s="48">
        <v>28.5</v>
      </c>
      <c r="AG47" s="136">
        <v>30</v>
      </c>
      <c r="AH47" s="54">
        <f t="shared" si="2"/>
        <v>30</v>
      </c>
      <c r="AI47" s="55">
        <f t="shared" si="3"/>
        <v>24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62">
        <v>0</v>
      </c>
      <c r="G48" s="62">
        <v>0</v>
      </c>
      <c r="H48" s="62">
        <v>0</v>
      </c>
      <c r="I48" s="62">
        <v>0</v>
      </c>
      <c r="J48" s="62">
        <v>0</v>
      </c>
      <c r="K48" s="62">
        <v>0</v>
      </c>
      <c r="L48" s="62">
        <v>0</v>
      </c>
      <c r="M48" s="50">
        <v>4</v>
      </c>
      <c r="N48" s="50">
        <v>4</v>
      </c>
      <c r="O48" s="50">
        <v>4</v>
      </c>
      <c r="P48" s="50">
        <v>8</v>
      </c>
      <c r="Q48" s="50">
        <v>8</v>
      </c>
      <c r="R48" s="50">
        <v>8</v>
      </c>
      <c r="S48" s="50">
        <v>8</v>
      </c>
      <c r="T48" s="50">
        <v>8</v>
      </c>
      <c r="U48" s="50">
        <v>8</v>
      </c>
      <c r="V48" s="50">
        <v>8</v>
      </c>
      <c r="W48" s="50">
        <v>8</v>
      </c>
      <c r="X48" s="50">
        <v>8</v>
      </c>
      <c r="Y48" s="50">
        <v>8</v>
      </c>
      <c r="Z48" s="50">
        <v>8</v>
      </c>
      <c r="AA48" s="50">
        <v>0</v>
      </c>
      <c r="AB48" s="50">
        <v>0</v>
      </c>
      <c r="AC48" s="50">
        <v>0</v>
      </c>
      <c r="AD48" s="50">
        <v>0</v>
      </c>
      <c r="AE48" s="50">
        <v>0</v>
      </c>
      <c r="AF48" s="50">
        <v>0</v>
      </c>
      <c r="AG48" s="136">
        <v>25</v>
      </c>
      <c r="AH48" s="54">
        <f t="shared" si="2"/>
        <v>8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16</v>
      </c>
      <c r="C49" s="48">
        <v>16</v>
      </c>
      <c r="D49" s="48">
        <v>16</v>
      </c>
      <c r="E49" s="48">
        <v>16</v>
      </c>
      <c r="F49" s="48">
        <v>16</v>
      </c>
      <c r="G49" s="48">
        <v>16</v>
      </c>
      <c r="H49" s="48">
        <v>16</v>
      </c>
      <c r="I49" s="48">
        <v>16</v>
      </c>
      <c r="J49" s="48">
        <v>16</v>
      </c>
      <c r="K49" s="48">
        <v>16</v>
      </c>
      <c r="L49" s="48">
        <v>16</v>
      </c>
      <c r="M49" s="50">
        <v>16</v>
      </c>
      <c r="N49" s="50">
        <v>16</v>
      </c>
      <c r="O49" s="50">
        <v>8.3000000000000007</v>
      </c>
      <c r="P49" s="50">
        <v>8.3000000000000007</v>
      </c>
      <c r="Q49" s="50">
        <v>16.7</v>
      </c>
      <c r="R49" s="50">
        <v>16.7</v>
      </c>
      <c r="S49" s="50">
        <v>14.5</v>
      </c>
      <c r="T49" s="50">
        <v>14.5</v>
      </c>
      <c r="U49" s="50">
        <v>13.1</v>
      </c>
      <c r="V49" s="50">
        <v>14.3</v>
      </c>
      <c r="W49" s="50">
        <v>14.3</v>
      </c>
      <c r="X49" s="50">
        <v>14.3</v>
      </c>
      <c r="Y49" s="50">
        <v>14.3</v>
      </c>
      <c r="Z49" s="50">
        <v>14.3</v>
      </c>
      <c r="AA49" s="50">
        <v>16.899999999999999</v>
      </c>
      <c r="AB49" s="50">
        <v>16.899999999999999</v>
      </c>
      <c r="AC49" s="50">
        <v>16.899999999999999</v>
      </c>
      <c r="AD49" s="50">
        <v>16.899999999999999</v>
      </c>
      <c r="AE49" s="50">
        <v>16.899999999999999</v>
      </c>
      <c r="AF49" s="50">
        <v>16.899999999999999</v>
      </c>
      <c r="AG49" s="136">
        <v>24</v>
      </c>
      <c r="AH49" s="54">
        <f t="shared" si="2"/>
        <v>16.899999999999999</v>
      </c>
      <c r="AI49" s="55">
        <f t="shared" si="3"/>
        <v>8.3000000000000007</v>
      </c>
      <c r="AK49" s="56"/>
    </row>
    <row r="50" spans="1:41" x14ac:dyDescent="0.25">
      <c r="A50" s="60" t="s">
        <v>30</v>
      </c>
      <c r="B50" s="48">
        <v>0</v>
      </c>
      <c r="C50" s="48">
        <v>0</v>
      </c>
      <c r="D50" s="48">
        <v>0</v>
      </c>
      <c r="E50" s="48">
        <v>0</v>
      </c>
      <c r="F50" s="48">
        <v>0</v>
      </c>
      <c r="G50" s="48">
        <v>0</v>
      </c>
      <c r="H50" s="48">
        <v>0</v>
      </c>
      <c r="I50" s="48">
        <v>0</v>
      </c>
      <c r="J50" s="48">
        <v>0</v>
      </c>
      <c r="K50" s="48">
        <v>0</v>
      </c>
      <c r="L50" s="48">
        <v>0</v>
      </c>
      <c r="M50" s="50">
        <v>0</v>
      </c>
      <c r="N50" s="50">
        <v>0</v>
      </c>
      <c r="O50" s="50">
        <v>0</v>
      </c>
      <c r="P50" s="50">
        <v>0</v>
      </c>
      <c r="Q50" s="50">
        <v>0</v>
      </c>
      <c r="R50" s="50">
        <v>0</v>
      </c>
      <c r="S50" s="50">
        <v>0</v>
      </c>
      <c r="T50" s="50">
        <v>0</v>
      </c>
      <c r="U50" s="50">
        <v>0</v>
      </c>
      <c r="V50" s="50">
        <v>0</v>
      </c>
      <c r="W50" s="50">
        <v>0</v>
      </c>
      <c r="X50" s="50">
        <v>0</v>
      </c>
      <c r="Y50" s="50">
        <v>0</v>
      </c>
      <c r="Z50" s="50">
        <v>0</v>
      </c>
      <c r="AA50" s="50">
        <v>0</v>
      </c>
      <c r="AB50" s="50">
        <v>0</v>
      </c>
      <c r="AC50" s="50">
        <v>0</v>
      </c>
      <c r="AD50" s="50">
        <v>0</v>
      </c>
      <c r="AE50" s="50">
        <v>0</v>
      </c>
      <c r="AF50" s="50">
        <v>0</v>
      </c>
      <c r="AG50" s="136">
        <v>15</v>
      </c>
      <c r="AH50" s="54">
        <f t="shared" si="2"/>
        <v>0</v>
      </c>
      <c r="AI50" s="55">
        <f t="shared" si="3"/>
        <v>0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12.4</v>
      </c>
      <c r="C51" s="48">
        <v>12.5</v>
      </c>
      <c r="D51" s="48">
        <v>12.6</v>
      </c>
      <c r="E51" s="48">
        <v>12.8</v>
      </c>
      <c r="F51" s="48">
        <v>12.6</v>
      </c>
      <c r="G51" s="48">
        <v>12.6</v>
      </c>
      <c r="H51" s="48">
        <v>12.6</v>
      </c>
      <c r="I51" s="48">
        <v>12.6</v>
      </c>
      <c r="J51" s="48">
        <v>12.6</v>
      </c>
      <c r="K51" s="48">
        <v>12.6</v>
      </c>
      <c r="L51" s="48">
        <v>12.6</v>
      </c>
      <c r="M51" s="50">
        <v>11.6</v>
      </c>
      <c r="N51" s="50">
        <v>11.6</v>
      </c>
      <c r="O51" s="50">
        <v>11.9</v>
      </c>
      <c r="P51" s="50">
        <v>11.9</v>
      </c>
      <c r="Q51" s="50">
        <v>11.9</v>
      </c>
      <c r="R51" s="50">
        <v>11.9</v>
      </c>
      <c r="S51" s="50">
        <v>11.9</v>
      </c>
      <c r="T51" s="50">
        <v>11.9</v>
      </c>
      <c r="U51" s="50">
        <v>11.9</v>
      </c>
      <c r="V51" s="50">
        <v>9.9</v>
      </c>
      <c r="W51" s="50">
        <v>9.9</v>
      </c>
      <c r="X51" s="50">
        <v>9.9</v>
      </c>
      <c r="Y51" s="50">
        <v>12.9</v>
      </c>
      <c r="Z51" s="50">
        <v>12.9</v>
      </c>
      <c r="AA51" s="50">
        <v>12.9</v>
      </c>
      <c r="AB51" s="50">
        <v>12.9</v>
      </c>
      <c r="AC51" s="50">
        <v>12.9</v>
      </c>
      <c r="AD51" s="50">
        <v>12.9</v>
      </c>
      <c r="AE51" s="50">
        <v>12.9</v>
      </c>
      <c r="AF51" s="50">
        <v>12.9</v>
      </c>
      <c r="AG51" s="136">
        <v>14.1</v>
      </c>
      <c r="AH51" s="54">
        <f t="shared" si="2"/>
        <v>12.9</v>
      </c>
      <c r="AI51" s="55">
        <f t="shared" si="3"/>
        <v>9.9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13.7</v>
      </c>
      <c r="C52" s="48">
        <v>7.1</v>
      </c>
      <c r="D52" s="48">
        <v>5.5</v>
      </c>
      <c r="E52" s="48">
        <v>5.4</v>
      </c>
      <c r="F52" s="48">
        <v>0</v>
      </c>
      <c r="G52" s="48">
        <v>0</v>
      </c>
      <c r="H52" s="48">
        <v>0</v>
      </c>
      <c r="I52" s="48">
        <v>0</v>
      </c>
      <c r="J52" s="48">
        <v>0</v>
      </c>
      <c r="K52" s="48">
        <v>0</v>
      </c>
      <c r="L52" s="48">
        <v>0</v>
      </c>
      <c r="M52" s="50">
        <v>6.9</v>
      </c>
      <c r="N52" s="50">
        <v>6.9</v>
      </c>
      <c r="O52" s="50">
        <v>6.9</v>
      </c>
      <c r="P52" s="50">
        <v>6.9</v>
      </c>
      <c r="Q52" s="50">
        <v>6.9</v>
      </c>
      <c r="R52" s="50">
        <v>6.9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0">
        <v>0</v>
      </c>
      <c r="Y52" s="50">
        <v>0</v>
      </c>
      <c r="Z52" s="50">
        <v>0</v>
      </c>
      <c r="AA52" s="50">
        <v>6</v>
      </c>
      <c r="AB52" s="50">
        <v>6</v>
      </c>
      <c r="AC52" s="50">
        <v>6</v>
      </c>
      <c r="AD52" s="50">
        <v>6</v>
      </c>
      <c r="AE52" s="50">
        <v>6</v>
      </c>
      <c r="AF52" s="50">
        <v>6</v>
      </c>
      <c r="AG52" s="136">
        <v>14</v>
      </c>
      <c r="AH52" s="54">
        <f t="shared" si="2"/>
        <v>13.7</v>
      </c>
      <c r="AI52" s="55">
        <f t="shared" si="3"/>
        <v>0</v>
      </c>
      <c r="AK52" s="56"/>
    </row>
    <row r="53" spans="1:41" x14ac:dyDescent="0.25">
      <c r="A53" s="60" t="s">
        <v>33</v>
      </c>
      <c r="B53" s="48">
        <v>8.6</v>
      </c>
      <c r="C53" s="48">
        <v>8.6</v>
      </c>
      <c r="D53" s="48">
        <v>8.6</v>
      </c>
      <c r="E53" s="48">
        <v>8.6</v>
      </c>
      <c r="F53" s="48">
        <v>8.8000000000000007</v>
      </c>
      <c r="G53" s="48">
        <v>8.8000000000000007</v>
      </c>
      <c r="H53" s="48">
        <v>8.8000000000000007</v>
      </c>
      <c r="I53" s="48">
        <v>8.8000000000000007</v>
      </c>
      <c r="J53" s="48">
        <v>8.8000000000000007</v>
      </c>
      <c r="K53" s="48">
        <v>8.8000000000000007</v>
      </c>
      <c r="L53" s="48">
        <v>8.8000000000000007</v>
      </c>
      <c r="M53" s="50">
        <v>7.2</v>
      </c>
      <c r="N53" s="50">
        <v>7.2</v>
      </c>
      <c r="O53" s="50">
        <v>6.4</v>
      </c>
      <c r="P53" s="50">
        <v>6.4</v>
      </c>
      <c r="Q53" s="50">
        <v>6.4</v>
      </c>
      <c r="R53" s="50">
        <v>6.4</v>
      </c>
      <c r="S53" s="50">
        <v>6.4</v>
      </c>
      <c r="T53" s="50">
        <v>6.4</v>
      </c>
      <c r="U53" s="50">
        <v>6.4</v>
      </c>
      <c r="V53" s="50">
        <v>6.4</v>
      </c>
      <c r="W53" s="50">
        <v>6.4</v>
      </c>
      <c r="X53" s="50">
        <v>6.4</v>
      </c>
      <c r="Y53" s="50">
        <v>6.4</v>
      </c>
      <c r="Z53" s="50">
        <v>6.4</v>
      </c>
      <c r="AA53" s="50">
        <v>6.4</v>
      </c>
      <c r="AB53" s="50">
        <v>6.4</v>
      </c>
      <c r="AC53" s="50">
        <v>6.4</v>
      </c>
      <c r="AD53" s="50">
        <v>6.4</v>
      </c>
      <c r="AE53" s="50">
        <v>6.4</v>
      </c>
      <c r="AF53" s="50">
        <v>6.4</v>
      </c>
      <c r="AG53" s="136">
        <v>10.050000000000001</v>
      </c>
      <c r="AH53" s="54">
        <f t="shared" si="2"/>
        <v>8.8000000000000007</v>
      </c>
      <c r="AI53" s="55">
        <f t="shared" si="3"/>
        <v>6.4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50">
        <v>6.2</v>
      </c>
      <c r="N54" s="50">
        <v>6.2</v>
      </c>
      <c r="O54" s="50">
        <v>6.2</v>
      </c>
      <c r="P54" s="50">
        <v>6.2</v>
      </c>
      <c r="Q54" s="50">
        <v>6.2</v>
      </c>
      <c r="R54" s="50">
        <v>6.2</v>
      </c>
      <c r="S54" s="50">
        <v>6.2</v>
      </c>
      <c r="T54" s="50">
        <v>6.2</v>
      </c>
      <c r="U54" s="50">
        <v>6.2</v>
      </c>
      <c r="V54" s="50">
        <v>6.2</v>
      </c>
      <c r="W54" s="50">
        <v>6.2</v>
      </c>
      <c r="X54" s="50">
        <v>6.2</v>
      </c>
      <c r="Y54" s="50">
        <v>6.2</v>
      </c>
      <c r="Z54" s="50">
        <v>6.2</v>
      </c>
      <c r="AA54" s="50">
        <v>6.2</v>
      </c>
      <c r="AB54" s="50">
        <v>6.2</v>
      </c>
      <c r="AC54" s="50">
        <v>6.2</v>
      </c>
      <c r="AD54" s="50">
        <v>6.2</v>
      </c>
      <c r="AE54" s="50">
        <v>6.2</v>
      </c>
      <c r="AF54" s="50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9">AG220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 t="shared" ref="B56" si="10">SUM(B43:B55)</f>
        <v>371.64</v>
      </c>
      <c r="C56" s="66">
        <f t="shared" ref="C56:AG56" si="11">SUM(C43:C55)</f>
        <v>353.94000000000005</v>
      </c>
      <c r="D56" s="66">
        <f t="shared" si="11"/>
        <v>360.44000000000005</v>
      </c>
      <c r="E56" s="66">
        <f t="shared" si="11"/>
        <v>303.14000000000004</v>
      </c>
      <c r="F56" s="66">
        <f>SUM(F43:F55)</f>
        <v>288.94000000000005</v>
      </c>
      <c r="G56" s="66">
        <f t="shared" si="11"/>
        <v>287.24000000000007</v>
      </c>
      <c r="H56" s="66">
        <f t="shared" si="11"/>
        <v>288.24000000000007</v>
      </c>
      <c r="I56" s="66">
        <f t="shared" si="11"/>
        <v>288.84000000000003</v>
      </c>
      <c r="J56" s="66">
        <f t="shared" si="11"/>
        <v>297.84000000000003</v>
      </c>
      <c r="K56" s="66">
        <f t="shared" si="11"/>
        <v>314.04000000000002</v>
      </c>
      <c r="L56" s="66">
        <f t="shared" si="11"/>
        <v>313.24000000000007</v>
      </c>
      <c r="M56" s="66">
        <f t="shared" si="11"/>
        <v>364.44</v>
      </c>
      <c r="N56" s="66">
        <f t="shared" si="11"/>
        <v>348.84000000000003</v>
      </c>
      <c r="O56" s="66">
        <f t="shared" si="11"/>
        <v>340.84</v>
      </c>
      <c r="P56" s="66">
        <f t="shared" si="11"/>
        <v>345.73999999999995</v>
      </c>
      <c r="Q56" s="66">
        <f t="shared" si="11"/>
        <v>355.53999999999991</v>
      </c>
      <c r="R56" s="66">
        <f t="shared" si="11"/>
        <v>300.83999999999992</v>
      </c>
      <c r="S56" s="66">
        <f t="shared" si="11"/>
        <v>374.43999999999994</v>
      </c>
      <c r="T56" s="66">
        <f t="shared" si="11"/>
        <v>374.43999999999994</v>
      </c>
      <c r="U56" s="66">
        <f t="shared" si="11"/>
        <v>374.73999999999995</v>
      </c>
      <c r="V56" s="66">
        <f t="shared" si="11"/>
        <v>373.93999999999994</v>
      </c>
      <c r="W56" s="66">
        <f t="shared" si="11"/>
        <v>373.93999999999994</v>
      </c>
      <c r="X56" s="66">
        <f t="shared" si="11"/>
        <v>373.93999999999994</v>
      </c>
      <c r="Y56" s="66">
        <f t="shared" si="11"/>
        <v>376.93999999999994</v>
      </c>
      <c r="Z56" s="66">
        <f t="shared" si="11"/>
        <v>376.93999999999994</v>
      </c>
      <c r="AA56" s="66">
        <f t="shared" si="11"/>
        <v>378.33999999999992</v>
      </c>
      <c r="AB56" s="66">
        <f t="shared" si="11"/>
        <v>376.93999999999988</v>
      </c>
      <c r="AC56" s="66">
        <f t="shared" si="11"/>
        <v>376.93999999999988</v>
      </c>
      <c r="AD56" s="66">
        <f t="shared" si="11"/>
        <v>376.93999999999988</v>
      </c>
      <c r="AE56" s="66">
        <f t="shared" si="11"/>
        <v>376.93999999999988</v>
      </c>
      <c r="AF56" s="66">
        <f t="shared" si="11"/>
        <v>376.93999999999988</v>
      </c>
      <c r="AG56" s="143">
        <f t="shared" si="11"/>
        <v>489.91</v>
      </c>
      <c r="AH56" s="54">
        <f t="shared" si="2"/>
        <v>378.33999999999992</v>
      </c>
      <c r="AI56" s="55">
        <f t="shared" si="3"/>
        <v>287.24000000000007</v>
      </c>
      <c r="AK56" s="56"/>
    </row>
    <row r="57" spans="1:41" x14ac:dyDescent="0.25">
      <c r="A57" s="57" t="s">
        <v>37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30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11.1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55.1</v>
      </c>
      <c r="AB57" s="50">
        <v>59</v>
      </c>
      <c r="AC57" s="50">
        <v>59</v>
      </c>
      <c r="AD57" s="50">
        <v>59</v>
      </c>
      <c r="AE57" s="50">
        <v>30</v>
      </c>
      <c r="AF57" s="50">
        <v>0</v>
      </c>
      <c r="AG57" s="135">
        <v>60</v>
      </c>
      <c r="AH57" s="54">
        <f t="shared" si="2"/>
        <v>59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15.3</v>
      </c>
      <c r="M58" s="48">
        <v>5.2</v>
      </c>
      <c r="N58" s="48">
        <v>0</v>
      </c>
      <c r="O58" s="48">
        <v>0</v>
      </c>
      <c r="P58" s="48">
        <v>0</v>
      </c>
      <c r="Q58" s="48">
        <v>0</v>
      </c>
      <c r="R58" s="48">
        <v>5.2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26.8</v>
      </c>
      <c r="AB58" s="48">
        <v>29</v>
      </c>
      <c r="AC58" s="48">
        <v>29</v>
      </c>
      <c r="AD58" s="48">
        <v>29</v>
      </c>
      <c r="AE58" s="48">
        <v>29</v>
      </c>
      <c r="AF58" s="48">
        <v>0</v>
      </c>
      <c r="AG58" s="136">
        <v>32</v>
      </c>
      <c r="AH58" s="54">
        <f t="shared" si="2"/>
        <v>29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5.6</v>
      </c>
      <c r="M59" s="70">
        <v>1.9</v>
      </c>
      <c r="N59" s="70">
        <v>0</v>
      </c>
      <c r="O59" s="70">
        <v>0</v>
      </c>
      <c r="P59" s="70">
        <v>0</v>
      </c>
      <c r="Q59" s="70">
        <v>0</v>
      </c>
      <c r="R59" s="70">
        <v>1.9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70">
        <v>9.8000000000000007</v>
      </c>
      <c r="AB59" s="70">
        <v>11</v>
      </c>
      <c r="AC59" s="70">
        <v>11</v>
      </c>
      <c r="AD59" s="70">
        <v>11</v>
      </c>
      <c r="AE59" s="70">
        <v>11</v>
      </c>
      <c r="AF59" s="70">
        <v>0</v>
      </c>
      <c r="AG59" s="137">
        <v>14</v>
      </c>
      <c r="AH59" s="54">
        <f t="shared" si="2"/>
        <v>11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 t="shared" ref="B60" si="12">SUM(B57:B59)</f>
        <v>0</v>
      </c>
      <c r="C60" s="66">
        <f t="shared" ref="C60:AG60" si="13">SUM(C57:C59)</f>
        <v>0</v>
      </c>
      <c r="D60" s="66">
        <f t="shared" si="13"/>
        <v>0</v>
      </c>
      <c r="E60" s="66">
        <f t="shared" si="13"/>
        <v>0</v>
      </c>
      <c r="F60" s="66">
        <f t="shared" si="13"/>
        <v>0</v>
      </c>
      <c r="G60" s="66">
        <f t="shared" si="13"/>
        <v>0</v>
      </c>
      <c r="H60" s="66">
        <f t="shared" si="13"/>
        <v>0</v>
      </c>
      <c r="I60" s="66">
        <f t="shared" si="13"/>
        <v>0</v>
      </c>
      <c r="J60" s="66">
        <f t="shared" si="13"/>
        <v>0</v>
      </c>
      <c r="K60" s="66">
        <f t="shared" si="13"/>
        <v>0</v>
      </c>
      <c r="L60" s="66">
        <f t="shared" si="13"/>
        <v>50.9</v>
      </c>
      <c r="M60" s="66">
        <f t="shared" si="13"/>
        <v>7.1</v>
      </c>
      <c r="N60" s="66">
        <f t="shared" si="13"/>
        <v>0</v>
      </c>
      <c r="O60" s="66">
        <f t="shared" si="13"/>
        <v>0</v>
      </c>
      <c r="P60" s="66">
        <f t="shared" si="13"/>
        <v>0</v>
      </c>
      <c r="Q60" s="66">
        <f t="shared" si="13"/>
        <v>0</v>
      </c>
      <c r="R60" s="66">
        <f t="shared" si="13"/>
        <v>18.2</v>
      </c>
      <c r="S60" s="66">
        <f t="shared" si="13"/>
        <v>0</v>
      </c>
      <c r="T60" s="66">
        <f t="shared" si="13"/>
        <v>0</v>
      </c>
      <c r="U60" s="66">
        <f t="shared" si="13"/>
        <v>0</v>
      </c>
      <c r="V60" s="66">
        <f t="shared" si="13"/>
        <v>0</v>
      </c>
      <c r="W60" s="66">
        <f t="shared" si="13"/>
        <v>0</v>
      </c>
      <c r="X60" s="66">
        <f t="shared" si="13"/>
        <v>0</v>
      </c>
      <c r="Y60" s="66">
        <f t="shared" si="13"/>
        <v>0</v>
      </c>
      <c r="Z60" s="66">
        <f t="shared" si="13"/>
        <v>0</v>
      </c>
      <c r="AA60" s="66">
        <f t="shared" si="13"/>
        <v>91.7</v>
      </c>
      <c r="AB60" s="66">
        <f t="shared" si="13"/>
        <v>99</v>
      </c>
      <c r="AC60" s="66">
        <f t="shared" si="13"/>
        <v>99</v>
      </c>
      <c r="AD60" s="66">
        <f t="shared" si="13"/>
        <v>99</v>
      </c>
      <c r="AE60" s="66">
        <f t="shared" si="13"/>
        <v>70</v>
      </c>
      <c r="AF60" s="66">
        <f t="shared" si="13"/>
        <v>0</v>
      </c>
      <c r="AG60" s="143">
        <f t="shared" si="13"/>
        <v>106</v>
      </c>
      <c r="AH60" s="54">
        <f t="shared" si="2"/>
        <v>99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0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50">
        <v>0</v>
      </c>
      <c r="P61" s="50">
        <v>0</v>
      </c>
      <c r="Q61" s="50">
        <v>0</v>
      </c>
      <c r="R61" s="50">
        <v>0</v>
      </c>
      <c r="S61" s="50">
        <v>0</v>
      </c>
      <c r="T61" s="50">
        <v>0</v>
      </c>
      <c r="U61" s="50">
        <v>0</v>
      </c>
      <c r="V61" s="50">
        <v>0</v>
      </c>
      <c r="W61" s="50">
        <v>0</v>
      </c>
      <c r="X61" s="50">
        <v>0</v>
      </c>
      <c r="Y61" s="50">
        <v>0</v>
      </c>
      <c r="Z61" s="50">
        <v>0</v>
      </c>
      <c r="AA61" s="50">
        <v>18.2</v>
      </c>
      <c r="AB61" s="50">
        <v>22</v>
      </c>
      <c r="AC61" s="50">
        <v>22</v>
      </c>
      <c r="AD61" s="50">
        <v>23</v>
      </c>
      <c r="AE61" s="50">
        <v>22</v>
      </c>
      <c r="AF61" s="50">
        <v>0</v>
      </c>
      <c r="AG61" s="135"/>
      <c r="AH61" s="54">
        <f t="shared" si="2"/>
        <v>23</v>
      </c>
      <c r="AI61" s="55">
        <f t="shared" si="3"/>
        <v>0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-387</v>
      </c>
      <c r="C63" s="48">
        <v>-430.3</v>
      </c>
      <c r="D63" s="48">
        <v>-445</v>
      </c>
      <c r="E63" s="48">
        <v>-419.5</v>
      </c>
      <c r="F63" s="48">
        <v>-410</v>
      </c>
      <c r="G63" s="48">
        <v>-414</v>
      </c>
      <c r="H63" s="48">
        <v>-381</v>
      </c>
      <c r="I63" s="48">
        <v>-386</v>
      </c>
      <c r="J63" s="48">
        <v>-368</v>
      </c>
      <c r="K63" s="48">
        <v>-355</v>
      </c>
      <c r="L63" s="48">
        <v>-370</v>
      </c>
      <c r="M63" s="48">
        <v>-415.9</v>
      </c>
      <c r="N63" s="48">
        <v>-384.9</v>
      </c>
      <c r="O63" s="48">
        <v>-361</v>
      </c>
      <c r="P63" s="48">
        <v>-364.4</v>
      </c>
      <c r="Q63" s="48">
        <v>-375</v>
      </c>
      <c r="R63" s="48">
        <v>-386.2</v>
      </c>
      <c r="S63" s="48">
        <v>-400</v>
      </c>
      <c r="T63" s="48">
        <v>-387</v>
      </c>
      <c r="U63" s="48">
        <v>-394</v>
      </c>
      <c r="V63" s="48">
        <v>-412</v>
      </c>
      <c r="W63" s="48">
        <v>-403</v>
      </c>
      <c r="X63" s="48">
        <v>-419</v>
      </c>
      <c r="Y63" s="48">
        <v>-422</v>
      </c>
      <c r="Z63" s="48">
        <v>-335</v>
      </c>
      <c r="AA63" s="48">
        <v>-290</v>
      </c>
      <c r="AB63" s="48">
        <v>-307</v>
      </c>
      <c r="AC63" s="48">
        <v>-330</v>
      </c>
      <c r="AD63" s="48">
        <v>-340</v>
      </c>
      <c r="AE63" s="48">
        <v>-350</v>
      </c>
      <c r="AF63" s="48">
        <v>-372</v>
      </c>
      <c r="AG63" s="140"/>
      <c r="AH63" s="54">
        <f t="shared" si="2"/>
        <v>-290</v>
      </c>
      <c r="AI63" s="55">
        <f t="shared" si="3"/>
        <v>-445</v>
      </c>
      <c r="AK63" s="56"/>
    </row>
    <row r="64" spans="1:41" x14ac:dyDescent="0.25">
      <c r="A64" s="60" t="s">
        <v>44</v>
      </c>
      <c r="B64" s="71">
        <v>0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140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0</v>
      </c>
      <c r="C66" s="72">
        <v>0</v>
      </c>
      <c r="D66" s="72">
        <v>0</v>
      </c>
      <c r="E66" s="72">
        <v>0</v>
      </c>
      <c r="F66" s="72">
        <v>0</v>
      </c>
      <c r="G66" s="72">
        <v>0</v>
      </c>
      <c r="H66" s="72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0</v>
      </c>
      <c r="AD66" s="72">
        <v>0</v>
      </c>
      <c r="AE66" s="72">
        <v>0</v>
      </c>
      <c r="AF66" s="72">
        <v>0</v>
      </c>
      <c r="AG66" s="140"/>
      <c r="AH66" s="54">
        <f t="shared" si="2"/>
        <v>0</v>
      </c>
      <c r="AI66" s="55">
        <f t="shared" si="3"/>
        <v>0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1">
        <v>0</v>
      </c>
      <c r="D68" s="71">
        <v>0</v>
      </c>
      <c r="E68" s="71">
        <v>0</v>
      </c>
      <c r="F68" s="71">
        <v>0</v>
      </c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1">
        <v>0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4">
        <v>0</v>
      </c>
      <c r="C70" s="74">
        <v>0</v>
      </c>
      <c r="D70" s="74">
        <v>0</v>
      </c>
      <c r="E70" s="74">
        <v>0</v>
      </c>
      <c r="F70" s="74">
        <v>0</v>
      </c>
      <c r="G70" s="74">
        <v>0</v>
      </c>
      <c r="H70" s="74">
        <v>0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1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4">
        <v>0</v>
      </c>
      <c r="C71" s="74">
        <v>0</v>
      </c>
      <c r="D71" s="74">
        <v>0</v>
      </c>
      <c r="E71" s="74">
        <v>0</v>
      </c>
      <c r="F71" s="74">
        <v>0</v>
      </c>
      <c r="G71" s="74">
        <v>0</v>
      </c>
      <c r="H71" s="74">
        <v>0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1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 t="shared" ref="B72" si="14">SUMIF(B61:B71,"&gt;0")</f>
        <v>0</v>
      </c>
      <c r="C72" s="66">
        <f t="shared" ref="C72:L72" si="15">SUMIF(C61:C71,"&gt;0")</f>
        <v>0</v>
      </c>
      <c r="D72" s="66">
        <f t="shared" si="15"/>
        <v>0</v>
      </c>
      <c r="E72" s="66">
        <f t="shared" si="15"/>
        <v>0</v>
      </c>
      <c r="F72" s="66">
        <f t="shared" si="15"/>
        <v>0</v>
      </c>
      <c r="G72" s="66">
        <f t="shared" si="15"/>
        <v>0</v>
      </c>
      <c r="H72" s="66">
        <f t="shared" si="15"/>
        <v>0</v>
      </c>
      <c r="I72" s="66">
        <f t="shared" si="15"/>
        <v>0</v>
      </c>
      <c r="J72" s="66">
        <f t="shared" si="15"/>
        <v>0</v>
      </c>
      <c r="K72" s="66">
        <f t="shared" si="15"/>
        <v>0</v>
      </c>
      <c r="L72" s="66">
        <f t="shared" si="15"/>
        <v>0</v>
      </c>
      <c r="M72" s="66">
        <f>SUMIF(M61:M71,"&gt;0")</f>
        <v>0</v>
      </c>
      <c r="N72" s="66">
        <f t="shared" ref="N72:AF72" si="16">SUMIF(N61:N71,"&gt;0")</f>
        <v>0</v>
      </c>
      <c r="O72" s="66">
        <f t="shared" si="16"/>
        <v>0</v>
      </c>
      <c r="P72" s="66">
        <f t="shared" si="16"/>
        <v>0</v>
      </c>
      <c r="Q72" s="66">
        <f t="shared" si="16"/>
        <v>0</v>
      </c>
      <c r="R72" s="66">
        <f t="shared" si="16"/>
        <v>0</v>
      </c>
      <c r="S72" s="66">
        <f t="shared" si="16"/>
        <v>0</v>
      </c>
      <c r="T72" s="66">
        <f t="shared" si="16"/>
        <v>0</v>
      </c>
      <c r="U72" s="66">
        <f t="shared" si="16"/>
        <v>0</v>
      </c>
      <c r="V72" s="66">
        <f t="shared" si="16"/>
        <v>0</v>
      </c>
      <c r="W72" s="66">
        <f t="shared" si="16"/>
        <v>0</v>
      </c>
      <c r="X72" s="66">
        <f t="shared" si="16"/>
        <v>0</v>
      </c>
      <c r="Y72" s="66">
        <f t="shared" si="16"/>
        <v>0</v>
      </c>
      <c r="Z72" s="66">
        <f t="shared" si="16"/>
        <v>0</v>
      </c>
      <c r="AA72" s="66">
        <f t="shared" si="16"/>
        <v>18.2</v>
      </c>
      <c r="AB72" s="66">
        <f t="shared" si="16"/>
        <v>22</v>
      </c>
      <c r="AC72" s="66">
        <f t="shared" si="16"/>
        <v>22</v>
      </c>
      <c r="AD72" s="66">
        <f t="shared" si="16"/>
        <v>23</v>
      </c>
      <c r="AE72" s="66">
        <f t="shared" si="16"/>
        <v>22</v>
      </c>
      <c r="AF72" s="66">
        <f t="shared" si="16"/>
        <v>0</v>
      </c>
      <c r="AG72" s="138">
        <f>SUM(AG61:AG71)</f>
        <v>0</v>
      </c>
      <c r="AH72" s="54">
        <f t="shared" si="2"/>
        <v>23</v>
      </c>
      <c r="AI72" s="55">
        <f t="shared" si="3"/>
        <v>0</v>
      </c>
      <c r="AK72" s="56"/>
    </row>
    <row r="73" spans="1:88" x14ac:dyDescent="0.25">
      <c r="A73" s="57" t="s">
        <v>53</v>
      </c>
      <c r="B73" s="71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>
        <v>0</v>
      </c>
      <c r="C75" s="74">
        <v>0</v>
      </c>
      <c r="D75" s="74">
        <v>0</v>
      </c>
      <c r="E75" s="74">
        <v>0</v>
      </c>
      <c r="F75" s="74">
        <v>0</v>
      </c>
      <c r="G75" s="74">
        <v>0</v>
      </c>
      <c r="H75" s="74">
        <v>0</v>
      </c>
      <c r="I75" s="74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 t="shared" ref="B77" si="17">B38+B42+B60+B56+B72+B76</f>
        <v>1635.2399999999998</v>
      </c>
      <c r="C77" s="75">
        <f t="shared" ref="C77:AF77" si="18">C38+C42+C60+C56+C72+C76</f>
        <v>1627.04</v>
      </c>
      <c r="D77" s="75">
        <f t="shared" si="18"/>
        <v>1635.74</v>
      </c>
      <c r="E77" s="75">
        <f t="shared" si="18"/>
        <v>1604.44</v>
      </c>
      <c r="F77" s="75">
        <f t="shared" si="18"/>
        <v>1586.3400000000001</v>
      </c>
      <c r="G77" s="75">
        <f t="shared" si="18"/>
        <v>1584.64</v>
      </c>
      <c r="H77" s="75">
        <f t="shared" si="18"/>
        <v>1565.64</v>
      </c>
      <c r="I77" s="75">
        <f t="shared" si="18"/>
        <v>1576.2400000000002</v>
      </c>
      <c r="J77" s="75">
        <f t="shared" si="18"/>
        <v>1585.2400000000002</v>
      </c>
      <c r="K77" s="75">
        <f t="shared" si="18"/>
        <v>1638.1399999999999</v>
      </c>
      <c r="L77" s="75">
        <f t="shared" si="18"/>
        <v>1701.74</v>
      </c>
      <c r="M77" s="75">
        <f t="shared" si="18"/>
        <v>1746.1399999999999</v>
      </c>
      <c r="N77" s="75">
        <f t="shared" si="18"/>
        <v>1675.3400000000001</v>
      </c>
      <c r="O77" s="75">
        <f t="shared" si="18"/>
        <v>1698.9399999999998</v>
      </c>
      <c r="P77" s="75">
        <f t="shared" si="18"/>
        <v>1719.34</v>
      </c>
      <c r="Q77" s="75">
        <f t="shared" si="18"/>
        <v>1734.2399999999998</v>
      </c>
      <c r="R77" s="75">
        <f t="shared" si="18"/>
        <v>1693.8400000000001</v>
      </c>
      <c r="S77" s="75">
        <f t="shared" si="18"/>
        <v>1729.8400000000001</v>
      </c>
      <c r="T77" s="75">
        <f t="shared" si="18"/>
        <v>1735.8400000000001</v>
      </c>
      <c r="U77" s="75">
        <f t="shared" si="18"/>
        <v>1724.14</v>
      </c>
      <c r="V77" s="75">
        <f t="shared" si="18"/>
        <v>1748.3400000000001</v>
      </c>
      <c r="W77" s="75">
        <f t="shared" si="18"/>
        <v>1748.3400000000001</v>
      </c>
      <c r="X77" s="75">
        <f t="shared" si="18"/>
        <v>1748.3400000000001</v>
      </c>
      <c r="Y77" s="75">
        <f t="shared" si="18"/>
        <v>1751.3400000000001</v>
      </c>
      <c r="Z77" s="75">
        <f t="shared" si="18"/>
        <v>1757.3400000000001</v>
      </c>
      <c r="AA77" s="75">
        <f t="shared" si="18"/>
        <v>1853.64</v>
      </c>
      <c r="AB77" s="75">
        <f t="shared" si="18"/>
        <v>1863.34</v>
      </c>
      <c r="AC77" s="75">
        <f t="shared" si="18"/>
        <v>1863.34</v>
      </c>
      <c r="AD77" s="75">
        <f t="shared" si="18"/>
        <v>1864.34</v>
      </c>
      <c r="AE77" s="75">
        <f t="shared" si="18"/>
        <v>1834.34</v>
      </c>
      <c r="AF77" s="75">
        <f t="shared" si="18"/>
        <v>1742.34</v>
      </c>
      <c r="AG77" s="143">
        <f>AG38+AG42+AG60+AG56+AG72+AG76</f>
        <v>1855.1900000000003</v>
      </c>
      <c r="AH77" s="54">
        <f t="shared" si="2"/>
        <v>1864.34</v>
      </c>
      <c r="AI77" s="55">
        <f t="shared" si="3"/>
        <v>1565.64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0</v>
      </c>
      <c r="AI78" s="55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 t="shared" ref="B79" si="19">B77+B78</f>
        <v>1635.2399999999998</v>
      </c>
      <c r="C79" s="75">
        <f t="shared" ref="C79:AF79" si="20">C77+C78</f>
        <v>1627.04</v>
      </c>
      <c r="D79" s="75">
        <f t="shared" si="20"/>
        <v>1635.74</v>
      </c>
      <c r="E79" s="75">
        <f t="shared" si="20"/>
        <v>1604.44</v>
      </c>
      <c r="F79" s="75">
        <f t="shared" si="20"/>
        <v>1586.3400000000001</v>
      </c>
      <c r="G79" s="75">
        <f t="shared" si="20"/>
        <v>1584.64</v>
      </c>
      <c r="H79" s="75">
        <f t="shared" si="20"/>
        <v>1565.64</v>
      </c>
      <c r="I79" s="75">
        <f t="shared" si="20"/>
        <v>1576.2400000000002</v>
      </c>
      <c r="J79" s="75">
        <f t="shared" si="20"/>
        <v>1585.2400000000002</v>
      </c>
      <c r="K79" s="75">
        <f t="shared" si="20"/>
        <v>1638.1399999999999</v>
      </c>
      <c r="L79" s="75">
        <f t="shared" si="20"/>
        <v>1701.74</v>
      </c>
      <c r="M79" s="75">
        <f t="shared" si="20"/>
        <v>1746.1399999999999</v>
      </c>
      <c r="N79" s="75">
        <f t="shared" si="20"/>
        <v>1675.3400000000001</v>
      </c>
      <c r="O79" s="75">
        <f t="shared" si="20"/>
        <v>1698.9399999999998</v>
      </c>
      <c r="P79" s="75">
        <f t="shared" si="20"/>
        <v>1719.34</v>
      </c>
      <c r="Q79" s="75">
        <f t="shared" si="20"/>
        <v>1734.2399999999998</v>
      </c>
      <c r="R79" s="75">
        <f t="shared" si="20"/>
        <v>1693.8400000000001</v>
      </c>
      <c r="S79" s="75">
        <f t="shared" si="20"/>
        <v>1729.8400000000001</v>
      </c>
      <c r="T79" s="75">
        <f t="shared" si="20"/>
        <v>1735.8400000000001</v>
      </c>
      <c r="U79" s="75">
        <f t="shared" si="20"/>
        <v>1724.14</v>
      </c>
      <c r="V79" s="75">
        <f t="shared" si="20"/>
        <v>1748.3400000000001</v>
      </c>
      <c r="W79" s="75">
        <f t="shared" si="20"/>
        <v>1748.3400000000001</v>
      </c>
      <c r="X79" s="75">
        <f t="shared" si="20"/>
        <v>1748.3400000000001</v>
      </c>
      <c r="Y79" s="75">
        <f t="shared" si="20"/>
        <v>1751.3400000000001</v>
      </c>
      <c r="Z79" s="75">
        <f t="shared" si="20"/>
        <v>1757.3400000000001</v>
      </c>
      <c r="AA79" s="75">
        <f t="shared" si="20"/>
        <v>1853.64</v>
      </c>
      <c r="AB79" s="75">
        <f t="shared" si="20"/>
        <v>1863.34</v>
      </c>
      <c r="AC79" s="75">
        <f t="shared" si="20"/>
        <v>1863.34</v>
      </c>
      <c r="AD79" s="75">
        <f t="shared" si="20"/>
        <v>1864.34</v>
      </c>
      <c r="AE79" s="75">
        <f t="shared" si="20"/>
        <v>1834.34</v>
      </c>
      <c r="AF79" s="75">
        <f t="shared" si="20"/>
        <v>1742.34</v>
      </c>
      <c r="AG79" s="138">
        <f>AG76+AG72+AG60+AG56+AG38+AG78</f>
        <v>1317.0900000000001</v>
      </c>
      <c r="AH79" s="54">
        <f t="shared" si="2"/>
        <v>1864.34</v>
      </c>
      <c r="AI79" s="55">
        <f t="shared" si="3"/>
        <v>1565.64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" si="21">B79-B87</f>
        <v>1248.2399999999998</v>
      </c>
      <c r="C80" s="75">
        <f t="shared" ref="C80:AF80" si="22">C79-C87</f>
        <v>1196.74</v>
      </c>
      <c r="D80" s="75">
        <f t="shared" si="22"/>
        <v>1190.74</v>
      </c>
      <c r="E80" s="75">
        <f t="shared" si="22"/>
        <v>1184.94</v>
      </c>
      <c r="F80" s="75">
        <f t="shared" si="22"/>
        <v>1176.3400000000001</v>
      </c>
      <c r="G80" s="75">
        <f t="shared" si="22"/>
        <v>1170.6400000000001</v>
      </c>
      <c r="H80" s="75">
        <f t="shared" si="22"/>
        <v>1184.6400000000001</v>
      </c>
      <c r="I80" s="75">
        <f t="shared" si="22"/>
        <v>1190.2400000000002</v>
      </c>
      <c r="J80" s="75">
        <f t="shared" si="22"/>
        <v>1217.2400000000002</v>
      </c>
      <c r="K80" s="75">
        <f t="shared" si="22"/>
        <v>1283.1399999999999</v>
      </c>
      <c r="L80" s="75">
        <f t="shared" si="22"/>
        <v>1331.74</v>
      </c>
      <c r="M80" s="75">
        <f t="shared" si="22"/>
        <v>1330.2399999999998</v>
      </c>
      <c r="N80" s="75">
        <f t="shared" si="22"/>
        <v>1290.44</v>
      </c>
      <c r="O80" s="75">
        <f t="shared" si="22"/>
        <v>1337.9399999999998</v>
      </c>
      <c r="P80" s="75">
        <f t="shared" si="22"/>
        <v>1354.94</v>
      </c>
      <c r="Q80" s="75">
        <f t="shared" si="22"/>
        <v>1359.2399999999998</v>
      </c>
      <c r="R80" s="75">
        <f t="shared" si="22"/>
        <v>1307.6400000000001</v>
      </c>
      <c r="S80" s="75">
        <f t="shared" si="22"/>
        <v>1329.8400000000001</v>
      </c>
      <c r="T80" s="75">
        <f t="shared" si="22"/>
        <v>1348.8400000000001</v>
      </c>
      <c r="U80" s="75">
        <f t="shared" si="22"/>
        <v>1330.14</v>
      </c>
      <c r="V80" s="75">
        <f t="shared" si="22"/>
        <v>1336.3400000000001</v>
      </c>
      <c r="W80" s="75">
        <f t="shared" si="22"/>
        <v>1345.3400000000001</v>
      </c>
      <c r="X80" s="75">
        <f t="shared" si="22"/>
        <v>1329.3400000000001</v>
      </c>
      <c r="Y80" s="75">
        <f t="shared" si="22"/>
        <v>1329.3400000000001</v>
      </c>
      <c r="Z80" s="75">
        <f t="shared" si="22"/>
        <v>1422.3400000000001</v>
      </c>
      <c r="AA80" s="75">
        <f t="shared" si="22"/>
        <v>1563.64</v>
      </c>
      <c r="AB80" s="75">
        <f t="shared" si="22"/>
        <v>1556.34</v>
      </c>
      <c r="AC80" s="75">
        <f t="shared" si="22"/>
        <v>1533.34</v>
      </c>
      <c r="AD80" s="75">
        <f t="shared" si="22"/>
        <v>1524.34</v>
      </c>
      <c r="AE80" s="75">
        <f t="shared" si="22"/>
        <v>1484.34</v>
      </c>
      <c r="AF80" s="75">
        <f t="shared" si="22"/>
        <v>1370.34</v>
      </c>
      <c r="AG80" s="138"/>
      <c r="AH80" s="54">
        <f t="shared" ref="AH80:AH97" si="23">MAX(B80:AF80)</f>
        <v>1563.64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 t="shared" ref="B81" si="24">IF(B64&lt;0,B64*-1,0)</f>
        <v>0</v>
      </c>
      <c r="C81" s="71">
        <f t="shared" ref="C81:AF81" si="25">IF(C64&lt;0,C64*-1,0)</f>
        <v>0</v>
      </c>
      <c r="D81" s="71">
        <f t="shared" si="25"/>
        <v>0</v>
      </c>
      <c r="E81" s="71">
        <f t="shared" si="25"/>
        <v>0</v>
      </c>
      <c r="F81" s="71">
        <f t="shared" si="25"/>
        <v>0</v>
      </c>
      <c r="G81" s="71">
        <f t="shared" si="25"/>
        <v>0</v>
      </c>
      <c r="H81" s="71">
        <f t="shared" si="25"/>
        <v>0</v>
      </c>
      <c r="I81" s="71">
        <f t="shared" si="25"/>
        <v>0</v>
      </c>
      <c r="J81" s="71">
        <f t="shared" si="25"/>
        <v>0</v>
      </c>
      <c r="K81" s="71">
        <f t="shared" si="25"/>
        <v>0</v>
      </c>
      <c r="L81" s="71">
        <f t="shared" si="25"/>
        <v>0</v>
      </c>
      <c r="M81" s="71">
        <f t="shared" si="25"/>
        <v>0</v>
      </c>
      <c r="N81" s="71">
        <f t="shared" si="25"/>
        <v>0</v>
      </c>
      <c r="O81" s="71">
        <f t="shared" si="25"/>
        <v>0</v>
      </c>
      <c r="P81" s="71">
        <f t="shared" si="25"/>
        <v>0</v>
      </c>
      <c r="Q81" s="71">
        <f t="shared" si="25"/>
        <v>0</v>
      </c>
      <c r="R81" s="71">
        <f t="shared" si="25"/>
        <v>0</v>
      </c>
      <c r="S81" s="71">
        <f t="shared" si="25"/>
        <v>0</v>
      </c>
      <c r="T81" s="71">
        <f t="shared" si="25"/>
        <v>0</v>
      </c>
      <c r="U81" s="71">
        <f t="shared" si="25"/>
        <v>0</v>
      </c>
      <c r="V81" s="71">
        <f t="shared" si="25"/>
        <v>0</v>
      </c>
      <c r="W81" s="71">
        <f t="shared" si="25"/>
        <v>0</v>
      </c>
      <c r="X81" s="71">
        <f t="shared" si="25"/>
        <v>0</v>
      </c>
      <c r="Y81" s="71">
        <f t="shared" si="25"/>
        <v>0</v>
      </c>
      <c r="Z81" s="71">
        <f t="shared" si="25"/>
        <v>0</v>
      </c>
      <c r="AA81" s="71">
        <f t="shared" si="25"/>
        <v>0</v>
      </c>
      <c r="AB81" s="71">
        <f t="shared" si="25"/>
        <v>0</v>
      </c>
      <c r="AC81" s="71">
        <f t="shared" si="25"/>
        <v>0</v>
      </c>
      <c r="AD81" s="71">
        <f t="shared" si="25"/>
        <v>0</v>
      </c>
      <c r="AE81" s="71">
        <f t="shared" si="25"/>
        <v>0</v>
      </c>
      <c r="AF81" s="71">
        <f t="shared" si="25"/>
        <v>0</v>
      </c>
      <c r="AG81" s="135"/>
      <c r="AH81" s="54">
        <f t="shared" si="23"/>
        <v>0</v>
      </c>
      <c r="AI81" s="55">
        <f t="shared" ref="AI81:AI97" si="26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 t="shared" ref="B82" si="27">IF(B62&lt;0,B62*-1,0)</f>
        <v>0</v>
      </c>
      <c r="C82" s="71">
        <f t="shared" ref="C82:AF82" si="28">IF(C62&lt;0,C62*-1,0)</f>
        <v>0</v>
      </c>
      <c r="D82" s="71">
        <f t="shared" si="28"/>
        <v>0</v>
      </c>
      <c r="E82" s="71">
        <f t="shared" si="28"/>
        <v>0</v>
      </c>
      <c r="F82" s="71">
        <f t="shared" si="28"/>
        <v>0</v>
      </c>
      <c r="G82" s="71">
        <f t="shared" si="28"/>
        <v>0</v>
      </c>
      <c r="H82" s="71">
        <f t="shared" si="28"/>
        <v>0</v>
      </c>
      <c r="I82" s="71">
        <f t="shared" si="28"/>
        <v>0</v>
      </c>
      <c r="J82" s="71">
        <f t="shared" si="28"/>
        <v>0</v>
      </c>
      <c r="K82" s="71">
        <f t="shared" si="28"/>
        <v>0</v>
      </c>
      <c r="L82" s="71">
        <f t="shared" si="28"/>
        <v>0</v>
      </c>
      <c r="M82" s="71">
        <f t="shared" si="28"/>
        <v>0</v>
      </c>
      <c r="N82" s="71">
        <f t="shared" si="28"/>
        <v>0</v>
      </c>
      <c r="O82" s="71">
        <f t="shared" si="28"/>
        <v>0</v>
      </c>
      <c r="P82" s="71">
        <f t="shared" si="28"/>
        <v>0</v>
      </c>
      <c r="Q82" s="71">
        <f t="shared" si="28"/>
        <v>0</v>
      </c>
      <c r="R82" s="71">
        <f t="shared" si="28"/>
        <v>0</v>
      </c>
      <c r="S82" s="71">
        <f t="shared" si="28"/>
        <v>0</v>
      </c>
      <c r="T82" s="71">
        <f t="shared" si="28"/>
        <v>0</v>
      </c>
      <c r="U82" s="71">
        <f t="shared" si="28"/>
        <v>0</v>
      </c>
      <c r="V82" s="71">
        <f t="shared" si="28"/>
        <v>0</v>
      </c>
      <c r="W82" s="71">
        <f t="shared" si="28"/>
        <v>0</v>
      </c>
      <c r="X82" s="71">
        <f t="shared" si="28"/>
        <v>0</v>
      </c>
      <c r="Y82" s="71">
        <f t="shared" si="28"/>
        <v>0</v>
      </c>
      <c r="Z82" s="71">
        <f t="shared" si="28"/>
        <v>0</v>
      </c>
      <c r="AA82" s="71">
        <f t="shared" si="28"/>
        <v>0</v>
      </c>
      <c r="AB82" s="71">
        <f t="shared" si="28"/>
        <v>0</v>
      </c>
      <c r="AC82" s="71">
        <f t="shared" si="28"/>
        <v>0</v>
      </c>
      <c r="AD82" s="71">
        <f t="shared" si="28"/>
        <v>0</v>
      </c>
      <c r="AE82" s="71">
        <f t="shared" si="28"/>
        <v>0</v>
      </c>
      <c r="AF82" s="71">
        <f t="shared" si="28"/>
        <v>0</v>
      </c>
      <c r="AG82" s="136"/>
      <c r="AH82" s="54">
        <f t="shared" si="23"/>
        <v>0</v>
      </c>
      <c r="AI82" s="55">
        <f t="shared" si="26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 t="shared" ref="B83" si="29">IF(B65&lt;0,B65*-1,0)</f>
        <v>0</v>
      </c>
      <c r="C83" s="71">
        <f t="shared" ref="C83:AF83" si="30">IF(C65&lt;0,C65*-1,0)</f>
        <v>0</v>
      </c>
      <c r="D83" s="71">
        <f t="shared" si="30"/>
        <v>0</v>
      </c>
      <c r="E83" s="71">
        <f t="shared" si="30"/>
        <v>0</v>
      </c>
      <c r="F83" s="71">
        <f t="shared" si="30"/>
        <v>0</v>
      </c>
      <c r="G83" s="71">
        <f t="shared" si="30"/>
        <v>0</v>
      </c>
      <c r="H83" s="71">
        <f t="shared" si="30"/>
        <v>0</v>
      </c>
      <c r="I83" s="71">
        <f t="shared" si="30"/>
        <v>0</v>
      </c>
      <c r="J83" s="71">
        <f t="shared" si="30"/>
        <v>0</v>
      </c>
      <c r="K83" s="71">
        <f t="shared" si="30"/>
        <v>0</v>
      </c>
      <c r="L83" s="71">
        <f t="shared" si="30"/>
        <v>0</v>
      </c>
      <c r="M83" s="71">
        <f t="shared" si="30"/>
        <v>0</v>
      </c>
      <c r="N83" s="71">
        <f t="shared" si="30"/>
        <v>0</v>
      </c>
      <c r="O83" s="71">
        <f t="shared" si="30"/>
        <v>0</v>
      </c>
      <c r="P83" s="71">
        <f t="shared" si="30"/>
        <v>0</v>
      </c>
      <c r="Q83" s="71">
        <f t="shared" si="30"/>
        <v>0</v>
      </c>
      <c r="R83" s="71">
        <f t="shared" si="30"/>
        <v>0</v>
      </c>
      <c r="S83" s="71">
        <f t="shared" si="30"/>
        <v>0</v>
      </c>
      <c r="T83" s="71">
        <f t="shared" si="30"/>
        <v>0</v>
      </c>
      <c r="U83" s="71">
        <f t="shared" si="30"/>
        <v>0</v>
      </c>
      <c r="V83" s="71">
        <f t="shared" si="30"/>
        <v>0</v>
      </c>
      <c r="W83" s="71">
        <f t="shared" si="30"/>
        <v>0</v>
      </c>
      <c r="X83" s="71">
        <f t="shared" si="30"/>
        <v>0</v>
      </c>
      <c r="Y83" s="71">
        <f t="shared" si="30"/>
        <v>0</v>
      </c>
      <c r="Z83" s="71">
        <f t="shared" si="30"/>
        <v>0</v>
      </c>
      <c r="AA83" s="71">
        <f t="shared" si="30"/>
        <v>0</v>
      </c>
      <c r="AB83" s="71">
        <f t="shared" si="30"/>
        <v>0</v>
      </c>
      <c r="AC83" s="71">
        <f t="shared" si="30"/>
        <v>0</v>
      </c>
      <c r="AD83" s="71">
        <f t="shared" si="30"/>
        <v>0</v>
      </c>
      <c r="AE83" s="71">
        <f t="shared" si="30"/>
        <v>0</v>
      </c>
      <c r="AF83" s="71">
        <f t="shared" si="30"/>
        <v>0</v>
      </c>
      <c r="AG83" s="144"/>
      <c r="AH83" s="54">
        <f t="shared" si="23"/>
        <v>0</v>
      </c>
      <c r="AI83" s="55">
        <f t="shared" si="26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 t="shared" ref="B84" si="31">IF(B63&lt;0,B63*-1,0)</f>
        <v>387</v>
      </c>
      <c r="C84" s="71">
        <f t="shared" ref="C84:AF84" si="32">IF(C63&lt;0,C63*-1,0)</f>
        <v>430.3</v>
      </c>
      <c r="D84" s="71">
        <f t="shared" si="32"/>
        <v>445</v>
      </c>
      <c r="E84" s="71">
        <f t="shared" si="32"/>
        <v>419.5</v>
      </c>
      <c r="F84" s="71">
        <f t="shared" si="32"/>
        <v>410</v>
      </c>
      <c r="G84" s="71">
        <f t="shared" si="32"/>
        <v>414</v>
      </c>
      <c r="H84" s="71">
        <f t="shared" si="32"/>
        <v>381</v>
      </c>
      <c r="I84" s="71">
        <f t="shared" si="32"/>
        <v>386</v>
      </c>
      <c r="J84" s="71">
        <f t="shared" si="32"/>
        <v>368</v>
      </c>
      <c r="K84" s="71">
        <f t="shared" si="32"/>
        <v>355</v>
      </c>
      <c r="L84" s="71">
        <f t="shared" si="32"/>
        <v>370</v>
      </c>
      <c r="M84" s="71">
        <f t="shared" si="32"/>
        <v>415.9</v>
      </c>
      <c r="N84" s="71">
        <f t="shared" si="32"/>
        <v>384.9</v>
      </c>
      <c r="O84" s="71">
        <f t="shared" si="32"/>
        <v>361</v>
      </c>
      <c r="P84" s="71">
        <f t="shared" si="32"/>
        <v>364.4</v>
      </c>
      <c r="Q84" s="71">
        <f t="shared" si="32"/>
        <v>375</v>
      </c>
      <c r="R84" s="71">
        <f t="shared" si="32"/>
        <v>386.2</v>
      </c>
      <c r="S84" s="71">
        <f t="shared" si="32"/>
        <v>400</v>
      </c>
      <c r="T84" s="71">
        <f t="shared" si="32"/>
        <v>387</v>
      </c>
      <c r="U84" s="71">
        <f t="shared" si="32"/>
        <v>394</v>
      </c>
      <c r="V84" s="71">
        <f t="shared" si="32"/>
        <v>412</v>
      </c>
      <c r="W84" s="71">
        <f t="shared" si="32"/>
        <v>403</v>
      </c>
      <c r="X84" s="71">
        <f t="shared" si="32"/>
        <v>419</v>
      </c>
      <c r="Y84" s="71">
        <f t="shared" si="32"/>
        <v>422</v>
      </c>
      <c r="Z84" s="71">
        <f t="shared" si="32"/>
        <v>335</v>
      </c>
      <c r="AA84" s="71">
        <f t="shared" si="32"/>
        <v>290</v>
      </c>
      <c r="AB84" s="71">
        <f t="shared" si="32"/>
        <v>307</v>
      </c>
      <c r="AC84" s="71">
        <f t="shared" si="32"/>
        <v>330</v>
      </c>
      <c r="AD84" s="71">
        <f t="shared" si="32"/>
        <v>340</v>
      </c>
      <c r="AE84" s="71">
        <f t="shared" si="32"/>
        <v>350</v>
      </c>
      <c r="AF84" s="71">
        <f t="shared" si="32"/>
        <v>372</v>
      </c>
      <c r="AG84" s="144"/>
      <c r="AH84" s="54">
        <f t="shared" si="23"/>
        <v>445</v>
      </c>
      <c r="AI84" s="55">
        <f t="shared" si="26"/>
        <v>290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 t="shared" ref="B85" si="33">IF(B61&lt;0,B61*-1,0)</f>
        <v>0</v>
      </c>
      <c r="C85" s="71">
        <f t="shared" ref="C85:AF85" si="34">IF(C61&lt;0,C61*-1,0)</f>
        <v>0</v>
      </c>
      <c r="D85" s="71">
        <f t="shared" si="34"/>
        <v>0</v>
      </c>
      <c r="E85" s="71">
        <f t="shared" si="34"/>
        <v>0</v>
      </c>
      <c r="F85" s="71">
        <f t="shared" si="34"/>
        <v>0</v>
      </c>
      <c r="G85" s="71">
        <f t="shared" si="34"/>
        <v>0</v>
      </c>
      <c r="H85" s="71">
        <f t="shared" si="34"/>
        <v>0</v>
      </c>
      <c r="I85" s="71">
        <f t="shared" si="34"/>
        <v>0</v>
      </c>
      <c r="J85" s="71">
        <f t="shared" si="34"/>
        <v>0</v>
      </c>
      <c r="K85" s="71">
        <f t="shared" si="34"/>
        <v>0</v>
      </c>
      <c r="L85" s="71">
        <f t="shared" si="34"/>
        <v>0</v>
      </c>
      <c r="M85" s="71">
        <f t="shared" si="34"/>
        <v>0</v>
      </c>
      <c r="N85" s="71">
        <f t="shared" si="34"/>
        <v>0</v>
      </c>
      <c r="O85" s="71">
        <f t="shared" si="34"/>
        <v>0</v>
      </c>
      <c r="P85" s="71">
        <f t="shared" si="34"/>
        <v>0</v>
      </c>
      <c r="Q85" s="71">
        <f t="shared" si="34"/>
        <v>0</v>
      </c>
      <c r="R85" s="71">
        <f t="shared" si="34"/>
        <v>0</v>
      </c>
      <c r="S85" s="71">
        <f t="shared" si="34"/>
        <v>0</v>
      </c>
      <c r="T85" s="71">
        <f t="shared" si="34"/>
        <v>0</v>
      </c>
      <c r="U85" s="71">
        <f t="shared" si="34"/>
        <v>0</v>
      </c>
      <c r="V85" s="71">
        <f t="shared" si="34"/>
        <v>0</v>
      </c>
      <c r="W85" s="71">
        <f t="shared" si="34"/>
        <v>0</v>
      </c>
      <c r="X85" s="71">
        <f t="shared" si="34"/>
        <v>0</v>
      </c>
      <c r="Y85" s="71">
        <f t="shared" si="34"/>
        <v>0</v>
      </c>
      <c r="Z85" s="71">
        <f t="shared" si="34"/>
        <v>0</v>
      </c>
      <c r="AA85" s="71">
        <f t="shared" si="34"/>
        <v>0</v>
      </c>
      <c r="AB85" s="71">
        <f t="shared" si="34"/>
        <v>0</v>
      </c>
      <c r="AC85" s="71">
        <f t="shared" si="34"/>
        <v>0</v>
      </c>
      <c r="AD85" s="71">
        <f t="shared" si="34"/>
        <v>0</v>
      </c>
      <c r="AE85" s="71">
        <f t="shared" si="34"/>
        <v>0</v>
      </c>
      <c r="AF85" s="71">
        <f t="shared" si="34"/>
        <v>0</v>
      </c>
      <c r="AG85" s="144"/>
      <c r="AH85" s="54">
        <f t="shared" si="23"/>
        <v>0</v>
      </c>
      <c r="AI85" s="55">
        <f t="shared" si="26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/>
      <c r="AD86" s="74"/>
      <c r="AE86" s="74"/>
      <c r="AF86" s="74"/>
      <c r="AG86" s="141"/>
      <c r="AH86" s="54">
        <f t="shared" si="23"/>
        <v>0</v>
      </c>
      <c r="AI86" s="55">
        <f t="shared" si="26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>SUM(B81:B86)</f>
        <v>387</v>
      </c>
      <c r="C87" s="66">
        <f t="shared" ref="C87:AF87" si="35">SUM(C81:C86)</f>
        <v>430.3</v>
      </c>
      <c r="D87" s="66">
        <f t="shared" si="35"/>
        <v>445</v>
      </c>
      <c r="E87" s="66">
        <f t="shared" si="35"/>
        <v>419.5</v>
      </c>
      <c r="F87" s="66">
        <f t="shared" si="35"/>
        <v>410</v>
      </c>
      <c r="G87" s="66">
        <f t="shared" si="35"/>
        <v>414</v>
      </c>
      <c r="H87" s="66">
        <f t="shared" si="35"/>
        <v>381</v>
      </c>
      <c r="I87" s="66">
        <f t="shared" si="35"/>
        <v>386</v>
      </c>
      <c r="J87" s="66">
        <f t="shared" si="35"/>
        <v>368</v>
      </c>
      <c r="K87" s="66">
        <f t="shared" si="35"/>
        <v>355</v>
      </c>
      <c r="L87" s="66">
        <f t="shared" si="35"/>
        <v>370</v>
      </c>
      <c r="M87" s="66">
        <f t="shared" si="35"/>
        <v>415.9</v>
      </c>
      <c r="N87" s="66">
        <f t="shared" si="35"/>
        <v>384.9</v>
      </c>
      <c r="O87" s="66">
        <f t="shared" si="35"/>
        <v>361</v>
      </c>
      <c r="P87" s="66">
        <f t="shared" si="35"/>
        <v>364.4</v>
      </c>
      <c r="Q87" s="66">
        <f t="shared" si="35"/>
        <v>375</v>
      </c>
      <c r="R87" s="66">
        <f t="shared" si="35"/>
        <v>386.2</v>
      </c>
      <c r="S87" s="66">
        <f t="shared" si="35"/>
        <v>400</v>
      </c>
      <c r="T87" s="66">
        <f t="shared" si="35"/>
        <v>387</v>
      </c>
      <c r="U87" s="66">
        <f t="shared" si="35"/>
        <v>394</v>
      </c>
      <c r="V87" s="66">
        <f t="shared" si="35"/>
        <v>412</v>
      </c>
      <c r="W87" s="66">
        <f t="shared" si="35"/>
        <v>403</v>
      </c>
      <c r="X87" s="66">
        <f t="shared" si="35"/>
        <v>419</v>
      </c>
      <c r="Y87" s="66">
        <f t="shared" si="35"/>
        <v>422</v>
      </c>
      <c r="Z87" s="66">
        <f t="shared" si="35"/>
        <v>335</v>
      </c>
      <c r="AA87" s="66">
        <f t="shared" si="35"/>
        <v>290</v>
      </c>
      <c r="AB87" s="66">
        <f t="shared" si="35"/>
        <v>307</v>
      </c>
      <c r="AC87" s="66">
        <f t="shared" si="35"/>
        <v>330</v>
      </c>
      <c r="AD87" s="66">
        <f t="shared" si="35"/>
        <v>340</v>
      </c>
      <c r="AE87" s="66">
        <f t="shared" si="35"/>
        <v>350</v>
      </c>
      <c r="AF87" s="66">
        <f t="shared" si="35"/>
        <v>372</v>
      </c>
      <c r="AG87" s="138"/>
      <c r="AH87" s="54">
        <f t="shared" si="23"/>
        <v>445</v>
      </c>
      <c r="AI87" s="55">
        <f t="shared" si="26"/>
        <v>290</v>
      </c>
      <c r="AK87" s="56"/>
    </row>
    <row r="88" spans="1:88" s="1" customFormat="1" ht="15.75" thickBot="1" x14ac:dyDescent="0.3">
      <c r="A88" s="65" t="s">
        <v>64</v>
      </c>
      <c r="B88" s="66">
        <f>B72-B87</f>
        <v>-387</v>
      </c>
      <c r="C88" s="66">
        <f t="shared" ref="C88:AF88" si="36">C72-C87</f>
        <v>-430.3</v>
      </c>
      <c r="D88" s="66">
        <f t="shared" si="36"/>
        <v>-445</v>
      </c>
      <c r="E88" s="66">
        <f t="shared" si="36"/>
        <v>-419.5</v>
      </c>
      <c r="F88" s="66">
        <f t="shared" si="36"/>
        <v>-410</v>
      </c>
      <c r="G88" s="66">
        <f t="shared" si="36"/>
        <v>-414</v>
      </c>
      <c r="H88" s="66">
        <f t="shared" si="36"/>
        <v>-381</v>
      </c>
      <c r="I88" s="66">
        <f t="shared" si="36"/>
        <v>-386</v>
      </c>
      <c r="J88" s="66">
        <f t="shared" si="36"/>
        <v>-368</v>
      </c>
      <c r="K88" s="66">
        <f t="shared" si="36"/>
        <v>-355</v>
      </c>
      <c r="L88" s="66">
        <f t="shared" si="36"/>
        <v>-370</v>
      </c>
      <c r="M88" s="66">
        <f t="shared" si="36"/>
        <v>-415.9</v>
      </c>
      <c r="N88" s="66">
        <f t="shared" si="36"/>
        <v>-384.9</v>
      </c>
      <c r="O88" s="66">
        <f t="shared" si="36"/>
        <v>-361</v>
      </c>
      <c r="P88" s="66">
        <f t="shared" si="36"/>
        <v>-364.4</v>
      </c>
      <c r="Q88" s="66">
        <f t="shared" si="36"/>
        <v>-375</v>
      </c>
      <c r="R88" s="66">
        <f t="shared" si="36"/>
        <v>-386.2</v>
      </c>
      <c r="S88" s="66">
        <f t="shared" si="36"/>
        <v>-400</v>
      </c>
      <c r="T88" s="66">
        <f t="shared" si="36"/>
        <v>-387</v>
      </c>
      <c r="U88" s="66">
        <f t="shared" si="36"/>
        <v>-394</v>
      </c>
      <c r="V88" s="66">
        <f t="shared" si="36"/>
        <v>-412</v>
      </c>
      <c r="W88" s="66">
        <f t="shared" si="36"/>
        <v>-403</v>
      </c>
      <c r="X88" s="66">
        <f t="shared" si="36"/>
        <v>-419</v>
      </c>
      <c r="Y88" s="66">
        <f t="shared" si="36"/>
        <v>-422</v>
      </c>
      <c r="Z88" s="66">
        <f t="shared" si="36"/>
        <v>-335</v>
      </c>
      <c r="AA88" s="66">
        <f t="shared" si="36"/>
        <v>-271.8</v>
      </c>
      <c r="AB88" s="66">
        <f t="shared" si="36"/>
        <v>-285</v>
      </c>
      <c r="AC88" s="66">
        <f t="shared" si="36"/>
        <v>-308</v>
      </c>
      <c r="AD88" s="66">
        <f t="shared" si="36"/>
        <v>-317</v>
      </c>
      <c r="AE88" s="66">
        <f t="shared" si="36"/>
        <v>-328</v>
      </c>
      <c r="AF88" s="66">
        <f t="shared" si="36"/>
        <v>-372</v>
      </c>
      <c r="AG88" s="138"/>
      <c r="AH88" s="54">
        <f t="shared" si="23"/>
        <v>-271.8</v>
      </c>
      <c r="AI88" s="55">
        <f t="shared" si="26"/>
        <v>-445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50.048999999999999</v>
      </c>
      <c r="C89" s="80">
        <v>50.045000000000002</v>
      </c>
      <c r="D89" s="80">
        <v>49.927</v>
      </c>
      <c r="E89" s="80">
        <v>49.975999999999999</v>
      </c>
      <c r="F89" s="80">
        <v>50.012</v>
      </c>
      <c r="G89" s="80">
        <v>50.024000000000001</v>
      </c>
      <c r="H89" s="80">
        <v>49.966999999999999</v>
      </c>
      <c r="I89" s="80">
        <v>49.951999999999998</v>
      </c>
      <c r="J89" s="80">
        <v>49.893999999999998</v>
      </c>
      <c r="K89" s="80">
        <v>50.027999999999999</v>
      </c>
      <c r="L89" s="80">
        <v>50.05</v>
      </c>
      <c r="M89" s="80">
        <v>49.97</v>
      </c>
      <c r="N89" s="80">
        <v>50.003999999999998</v>
      </c>
      <c r="O89" s="80">
        <v>50.058999999999997</v>
      </c>
      <c r="P89" s="80">
        <v>50.046999999999997</v>
      </c>
      <c r="Q89" s="80">
        <v>49.9</v>
      </c>
      <c r="R89" s="80">
        <v>50.011000000000003</v>
      </c>
      <c r="S89" s="80">
        <v>50.048000000000002</v>
      </c>
      <c r="T89" s="80">
        <v>49.97</v>
      </c>
      <c r="U89" s="80">
        <v>50.015999999999998</v>
      </c>
      <c r="V89" s="80">
        <v>50.052999999999997</v>
      </c>
      <c r="W89" s="80">
        <v>50.000999999999998</v>
      </c>
      <c r="X89" s="80">
        <v>50.030999999999999</v>
      </c>
      <c r="Y89" s="80">
        <v>50.055999999999997</v>
      </c>
      <c r="Z89" s="80">
        <v>49.987000000000002</v>
      </c>
      <c r="AA89" s="80">
        <v>49.918999999999997</v>
      </c>
      <c r="AB89" s="80">
        <v>49.984999999999999</v>
      </c>
      <c r="AC89" s="80">
        <v>49.984999999999999</v>
      </c>
      <c r="AD89" s="80">
        <v>49.92</v>
      </c>
      <c r="AE89" s="80">
        <v>49.96</v>
      </c>
      <c r="AF89" s="80">
        <v>49.96</v>
      </c>
      <c r="AG89" s="145"/>
      <c r="AH89" s="54">
        <f t="shared" si="23"/>
        <v>50.058999999999997</v>
      </c>
      <c r="AI89" s="55">
        <f t="shared" si="26"/>
        <v>49.893999999999998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125.6</v>
      </c>
      <c r="C90" s="48">
        <v>125</v>
      </c>
      <c r="D90" s="48">
        <v>125.3</v>
      </c>
      <c r="E90" s="48">
        <v>126.2</v>
      </c>
      <c r="F90" s="48">
        <v>125.1</v>
      </c>
      <c r="G90" s="48">
        <v>125.1</v>
      </c>
      <c r="H90" s="48">
        <v>125</v>
      </c>
      <c r="I90" s="48">
        <v>124.1</v>
      </c>
      <c r="J90" s="48">
        <v>123.6</v>
      </c>
      <c r="K90" s="48">
        <v>122.3</v>
      </c>
      <c r="L90" s="48">
        <v>124.2</v>
      </c>
      <c r="M90" s="48">
        <v>123.4</v>
      </c>
      <c r="N90" s="48">
        <v>124.4</v>
      </c>
      <c r="O90" s="48">
        <v>122.6</v>
      </c>
      <c r="P90" s="48">
        <v>122.5</v>
      </c>
      <c r="Q90" s="48">
        <v>124</v>
      </c>
      <c r="R90" s="48">
        <v>123.9</v>
      </c>
      <c r="S90" s="48">
        <v>122.6</v>
      </c>
      <c r="T90" s="48">
        <v>121.5</v>
      </c>
      <c r="U90" s="48">
        <v>125.2</v>
      </c>
      <c r="V90" s="48">
        <v>125.3</v>
      </c>
      <c r="W90" s="48">
        <v>125.1</v>
      </c>
      <c r="X90" s="48">
        <v>125.5</v>
      </c>
      <c r="Y90" s="48">
        <v>124.6</v>
      </c>
      <c r="Z90" s="48">
        <v>124.6</v>
      </c>
      <c r="AA90" s="48">
        <v>124.7</v>
      </c>
      <c r="AB90" s="48">
        <v>124.7</v>
      </c>
      <c r="AC90" s="48">
        <v>124.7</v>
      </c>
      <c r="AD90" s="48">
        <v>124.7</v>
      </c>
      <c r="AE90" s="48">
        <v>125</v>
      </c>
      <c r="AF90" s="48">
        <v>123</v>
      </c>
      <c r="AG90" s="146"/>
      <c r="AH90" s="54">
        <f t="shared" si="23"/>
        <v>126.2</v>
      </c>
      <c r="AI90" s="55">
        <f t="shared" si="26"/>
        <v>121.5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129.9</v>
      </c>
      <c r="C91" s="48">
        <v>129.4</v>
      </c>
      <c r="D91" s="48">
        <v>129.9</v>
      </c>
      <c r="E91" s="48">
        <v>130.5</v>
      </c>
      <c r="F91" s="48">
        <v>129.19999999999999</v>
      </c>
      <c r="G91" s="48">
        <v>129.30000000000001</v>
      </c>
      <c r="H91" s="48">
        <v>128.6</v>
      </c>
      <c r="I91" s="48">
        <v>127.7</v>
      </c>
      <c r="J91" s="48">
        <v>127.4</v>
      </c>
      <c r="K91" s="48">
        <v>126.2</v>
      </c>
      <c r="L91" s="48">
        <v>127</v>
      </c>
      <c r="M91" s="48">
        <v>126.6</v>
      </c>
      <c r="N91" s="48">
        <v>127.7</v>
      </c>
      <c r="O91" s="48">
        <v>125.8</v>
      </c>
      <c r="P91" s="48">
        <v>126</v>
      </c>
      <c r="Q91" s="48">
        <v>127.4</v>
      </c>
      <c r="R91" s="48">
        <v>127.6</v>
      </c>
      <c r="S91" s="48">
        <v>126.8</v>
      </c>
      <c r="T91" s="48">
        <v>126</v>
      </c>
      <c r="U91" s="48">
        <v>128.30000000000001</v>
      </c>
      <c r="V91" s="48">
        <v>128.30000000000001</v>
      </c>
      <c r="W91" s="48">
        <v>128.5</v>
      </c>
      <c r="X91" s="48">
        <v>128.80000000000001</v>
      </c>
      <c r="Y91" s="48">
        <v>128</v>
      </c>
      <c r="Z91" s="48">
        <v>128.30000000000001</v>
      </c>
      <c r="AA91" s="48">
        <v>128.1</v>
      </c>
      <c r="AB91" s="48">
        <v>128.1</v>
      </c>
      <c r="AC91" s="48">
        <v>128.1</v>
      </c>
      <c r="AD91" s="48">
        <v>128.1</v>
      </c>
      <c r="AE91" s="48">
        <v>130</v>
      </c>
      <c r="AF91" s="48">
        <v>129</v>
      </c>
      <c r="AG91" s="146"/>
      <c r="AH91" s="54">
        <f t="shared" si="23"/>
        <v>130.5</v>
      </c>
      <c r="AI91" s="55">
        <f t="shared" si="26"/>
        <v>125.8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127.4</v>
      </c>
      <c r="C92" s="48">
        <v>128</v>
      </c>
      <c r="D92" s="48">
        <v>127.8</v>
      </c>
      <c r="E92" s="48">
        <v>129.80000000000001</v>
      </c>
      <c r="F92" s="48">
        <v>128.6</v>
      </c>
      <c r="G92" s="48">
        <v>127.6</v>
      </c>
      <c r="H92" s="48">
        <v>129.69999999999999</v>
      </c>
      <c r="I92" s="48">
        <v>129</v>
      </c>
      <c r="J92" s="48">
        <v>126.5</v>
      </c>
      <c r="K92" s="48">
        <v>126.8</v>
      </c>
      <c r="L92" s="48">
        <v>127</v>
      </c>
      <c r="M92" s="48">
        <v>126</v>
      </c>
      <c r="N92" s="48">
        <v>127.1</v>
      </c>
      <c r="O92" s="48">
        <v>126.3</v>
      </c>
      <c r="P92" s="48">
        <v>127.7</v>
      </c>
      <c r="Q92" s="48">
        <v>128.4</v>
      </c>
      <c r="R92" s="48">
        <v>128.30000000000001</v>
      </c>
      <c r="S92" s="48">
        <v>127.3</v>
      </c>
      <c r="T92" s="48">
        <v>129.19999999999999</v>
      </c>
      <c r="U92" s="48">
        <v>128.5</v>
      </c>
      <c r="V92" s="48">
        <v>130.6</v>
      </c>
      <c r="W92" s="48">
        <v>130.6</v>
      </c>
      <c r="X92" s="48">
        <v>129.69999999999999</v>
      </c>
      <c r="Y92" s="48">
        <v>130</v>
      </c>
      <c r="Z92" s="48">
        <v>129.5</v>
      </c>
      <c r="AA92" s="48">
        <v>127.8</v>
      </c>
      <c r="AB92" s="48">
        <v>127.8</v>
      </c>
      <c r="AC92" s="48">
        <v>127.8</v>
      </c>
      <c r="AD92" s="48">
        <v>127.8</v>
      </c>
      <c r="AE92" s="48">
        <v>128</v>
      </c>
      <c r="AF92" s="48">
        <v>126</v>
      </c>
      <c r="AG92" s="146"/>
      <c r="AH92" s="54">
        <f t="shared" si="23"/>
        <v>130.6</v>
      </c>
      <c r="AI92" s="55">
        <f t="shared" si="26"/>
        <v>126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>
        <v>131.80000000000001</v>
      </c>
      <c r="C93" s="48">
        <v>132.1</v>
      </c>
      <c r="D93" s="48">
        <v>132.19999999999999</v>
      </c>
      <c r="E93" s="48">
        <v>134.30000000000001</v>
      </c>
      <c r="F93" s="48">
        <v>133</v>
      </c>
      <c r="G93" s="48">
        <v>133.1</v>
      </c>
      <c r="H93" s="48">
        <v>133.6</v>
      </c>
      <c r="I93" s="48">
        <v>133.5</v>
      </c>
      <c r="J93" s="48">
        <v>131.1</v>
      </c>
      <c r="K93" s="48">
        <v>132.30000000000001</v>
      </c>
      <c r="L93" s="48">
        <v>132</v>
      </c>
      <c r="M93" s="48">
        <v>131.6</v>
      </c>
      <c r="N93" s="48">
        <v>133.1</v>
      </c>
      <c r="O93" s="48">
        <v>131.80000000000001</v>
      </c>
      <c r="P93" s="48">
        <v>132</v>
      </c>
      <c r="Q93" s="48">
        <v>132.69999999999999</v>
      </c>
      <c r="R93" s="48">
        <v>132.80000000000001</v>
      </c>
      <c r="S93" s="48">
        <v>131</v>
      </c>
      <c r="T93" s="48">
        <v>133.1</v>
      </c>
      <c r="U93" s="48">
        <v>132.80000000000001</v>
      </c>
      <c r="V93" s="48">
        <v>134.80000000000001</v>
      </c>
      <c r="W93" s="48">
        <v>135.5</v>
      </c>
      <c r="X93" s="48">
        <v>133.5</v>
      </c>
      <c r="Y93" s="48">
        <v>134.19999999999999</v>
      </c>
      <c r="Z93" s="48">
        <v>133.4</v>
      </c>
      <c r="AA93" s="48">
        <v>132.80000000000001</v>
      </c>
      <c r="AB93" s="48">
        <v>132.80000000000001</v>
      </c>
      <c r="AC93" s="48">
        <v>132.80000000000001</v>
      </c>
      <c r="AD93" s="48">
        <v>132.80000000000001</v>
      </c>
      <c r="AE93" s="48">
        <v>134</v>
      </c>
      <c r="AF93" s="48">
        <v>131</v>
      </c>
      <c r="AG93" s="146"/>
      <c r="AH93" s="54">
        <f t="shared" si="23"/>
        <v>135.5</v>
      </c>
      <c r="AI93" s="55">
        <f t="shared" si="26"/>
        <v>131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133.30000000000001</v>
      </c>
      <c r="C94" s="82">
        <v>132</v>
      </c>
      <c r="D94" s="82">
        <v>133.1</v>
      </c>
      <c r="E94" s="82">
        <v>131.19999999999999</v>
      </c>
      <c r="F94" s="82">
        <v>130.9</v>
      </c>
      <c r="G94" s="82">
        <v>132.30000000000001</v>
      </c>
      <c r="H94" s="82">
        <v>133</v>
      </c>
      <c r="I94" s="82">
        <v>133.6</v>
      </c>
      <c r="J94" s="82">
        <v>133.80000000000001</v>
      </c>
      <c r="K94" s="82">
        <v>132</v>
      </c>
      <c r="L94" s="82">
        <v>132</v>
      </c>
      <c r="M94" s="82">
        <v>130.9</v>
      </c>
      <c r="N94" s="82">
        <v>133.19999999999999</v>
      </c>
      <c r="O94" s="82">
        <v>128.1</v>
      </c>
      <c r="P94" s="82">
        <v>133.5</v>
      </c>
      <c r="Q94" s="82">
        <v>129.30000000000001</v>
      </c>
      <c r="R94" s="82">
        <v>129.19999999999999</v>
      </c>
      <c r="S94" s="82">
        <v>132.5</v>
      </c>
      <c r="T94" s="82">
        <v>130.80000000000001</v>
      </c>
      <c r="U94" s="82">
        <v>133.1</v>
      </c>
      <c r="V94" s="82">
        <v>133</v>
      </c>
      <c r="W94" s="82">
        <v>133.5</v>
      </c>
      <c r="X94" s="82">
        <v>134.30000000000001</v>
      </c>
      <c r="Y94" s="82">
        <v>132.1</v>
      </c>
      <c r="Z94" s="82">
        <v>135.5</v>
      </c>
      <c r="AA94" s="82">
        <v>131.6</v>
      </c>
      <c r="AB94" s="82">
        <v>131.6</v>
      </c>
      <c r="AC94" s="82">
        <v>131.6</v>
      </c>
      <c r="AD94" s="82">
        <v>131.6</v>
      </c>
      <c r="AE94" s="82">
        <v>133</v>
      </c>
      <c r="AF94" s="82">
        <v>131</v>
      </c>
      <c r="AG94" s="147"/>
      <c r="AH94" s="54">
        <f t="shared" si="23"/>
        <v>135.5</v>
      </c>
      <c r="AI94" s="55">
        <f t="shared" si="26"/>
        <v>128.1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129.1</v>
      </c>
      <c r="C95" s="48">
        <v>129</v>
      </c>
      <c r="D95" s="48">
        <v>132.80000000000001</v>
      </c>
      <c r="E95" s="48">
        <v>130.9</v>
      </c>
      <c r="F95" s="48">
        <v>129.9</v>
      </c>
      <c r="G95" s="48">
        <v>132.80000000000001</v>
      </c>
      <c r="H95" s="48">
        <v>132.80000000000001</v>
      </c>
      <c r="I95" s="48">
        <v>135.1</v>
      </c>
      <c r="J95" s="48">
        <v>134.9</v>
      </c>
      <c r="K95" s="48">
        <v>131.6</v>
      </c>
      <c r="L95" s="48">
        <v>129.30000000000001</v>
      </c>
      <c r="M95" s="48">
        <v>128</v>
      </c>
      <c r="N95" s="48">
        <v>133.5</v>
      </c>
      <c r="O95" s="48">
        <v>123.9</v>
      </c>
      <c r="P95" s="48">
        <v>132.9</v>
      </c>
      <c r="Q95" s="48">
        <v>125.6</v>
      </c>
      <c r="R95" s="48">
        <v>128.4</v>
      </c>
      <c r="S95" s="48">
        <v>129.30000000000001</v>
      </c>
      <c r="T95" s="48">
        <v>128.4</v>
      </c>
      <c r="U95" s="48">
        <v>129.80000000000001</v>
      </c>
      <c r="V95" s="48">
        <v>127.4</v>
      </c>
      <c r="W95" s="48">
        <v>130.30000000000001</v>
      </c>
      <c r="X95" s="48">
        <v>132.4</v>
      </c>
      <c r="Y95" s="48">
        <v>130.6</v>
      </c>
      <c r="Z95" s="48">
        <v>134.69999999999999</v>
      </c>
      <c r="AA95" s="48">
        <v>125.6</v>
      </c>
      <c r="AB95" s="48">
        <v>125.6</v>
      </c>
      <c r="AC95" s="48">
        <v>125.6</v>
      </c>
      <c r="AD95" s="48">
        <v>125.6</v>
      </c>
      <c r="AE95" s="48">
        <v>131</v>
      </c>
      <c r="AF95" s="48">
        <v>127</v>
      </c>
      <c r="AG95" s="146"/>
      <c r="AH95" s="54">
        <f t="shared" si="23"/>
        <v>135.1</v>
      </c>
      <c r="AI95" s="55">
        <f t="shared" si="26"/>
        <v>123.9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65.900000000000006</v>
      </c>
      <c r="C96" s="83">
        <v>65.8</v>
      </c>
      <c r="D96" s="83">
        <v>65.400000000000006</v>
      </c>
      <c r="E96" s="83">
        <v>65.8</v>
      </c>
      <c r="F96" s="83">
        <v>65.599999999999994</v>
      </c>
      <c r="G96" s="83">
        <v>65.2</v>
      </c>
      <c r="H96" s="83">
        <v>128.6</v>
      </c>
      <c r="I96" s="83">
        <v>64.7</v>
      </c>
      <c r="J96" s="83">
        <v>64.7</v>
      </c>
      <c r="K96" s="83">
        <v>63.8</v>
      </c>
      <c r="L96" s="83">
        <v>64.2</v>
      </c>
      <c r="M96" s="83">
        <v>64</v>
      </c>
      <c r="N96" s="83">
        <v>64.3</v>
      </c>
      <c r="O96" s="83">
        <v>63.3</v>
      </c>
      <c r="P96" s="83">
        <v>63.2</v>
      </c>
      <c r="Q96" s="83">
        <v>64.400000000000006</v>
      </c>
      <c r="R96" s="83">
        <v>64.400000000000006</v>
      </c>
      <c r="S96" s="83">
        <v>64.2</v>
      </c>
      <c r="T96" s="83">
        <v>63.7</v>
      </c>
      <c r="U96" s="83">
        <v>64.900000000000006</v>
      </c>
      <c r="V96" s="83">
        <v>64.7</v>
      </c>
      <c r="W96" s="83">
        <v>64.900000000000006</v>
      </c>
      <c r="X96" s="83">
        <v>65</v>
      </c>
      <c r="Y96" s="83">
        <v>64.599999999999994</v>
      </c>
      <c r="Z96" s="83">
        <v>65.2</v>
      </c>
      <c r="AA96" s="83">
        <v>64.900000000000006</v>
      </c>
      <c r="AB96" s="83">
        <v>64.900000000000006</v>
      </c>
      <c r="AC96" s="83">
        <v>64.900000000000006</v>
      </c>
      <c r="AD96" s="83">
        <v>64.900000000000006</v>
      </c>
      <c r="AE96" s="83">
        <v>65.900000000000006</v>
      </c>
      <c r="AF96" s="83">
        <v>65.099999999999994</v>
      </c>
      <c r="AG96" s="148"/>
      <c r="AH96" s="54">
        <f t="shared" si="23"/>
        <v>128.6</v>
      </c>
      <c r="AI96" s="55">
        <f t="shared" si="26"/>
        <v>63.2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23"/>
        <v>0</v>
      </c>
      <c r="AI97" s="55">
        <f t="shared" si="26"/>
        <v>0</v>
      </c>
    </row>
    <row r="98" spans="1:37" ht="15.75" thickBot="1" x14ac:dyDescent="0.3">
      <c r="A98" s="85" t="s">
        <v>73</v>
      </c>
      <c r="B98" s="86">
        <f t="shared" ref="B98:AF98" si="37">SUM(B15,B18,B21:B22,B46,B48:B49,B51,B53,B99:B102,B123,B129,B135,B144,B146,B158,B165,B168:B169,B176,B178,B180,B184:B186,B188:B190,B195,B201:B202,B204:B206,B214,B219)</f>
        <v>41.899999999999991</v>
      </c>
      <c r="C98" s="86">
        <f t="shared" si="37"/>
        <v>22.339999999999986</v>
      </c>
      <c r="D98" s="86">
        <f t="shared" si="37"/>
        <v>13.239999999999995</v>
      </c>
      <c r="E98" s="86">
        <f t="shared" si="37"/>
        <v>43.64</v>
      </c>
      <c r="F98" s="86">
        <f t="shared" si="37"/>
        <v>38.74</v>
      </c>
      <c r="G98" s="86">
        <f t="shared" si="37"/>
        <v>50.240000000000016</v>
      </c>
      <c r="H98" s="86">
        <f t="shared" si="37"/>
        <v>95.54000000000002</v>
      </c>
      <c r="I98" s="86">
        <f t="shared" si="37"/>
        <v>111.54</v>
      </c>
      <c r="J98" s="86">
        <f t="shared" si="37"/>
        <v>130.34</v>
      </c>
      <c r="K98" s="86">
        <f t="shared" si="37"/>
        <v>172.04</v>
      </c>
      <c r="L98" s="86">
        <f t="shared" si="37"/>
        <v>182.24</v>
      </c>
      <c r="M98" s="86">
        <f t="shared" si="37"/>
        <v>165.64</v>
      </c>
      <c r="N98" s="86">
        <f t="shared" si="37"/>
        <v>163.63999999999999</v>
      </c>
      <c r="O98" s="86">
        <f t="shared" si="37"/>
        <v>166.14000000000001</v>
      </c>
      <c r="P98" s="86">
        <f t="shared" si="37"/>
        <v>166.94000000000003</v>
      </c>
      <c r="Q98" s="86">
        <f t="shared" si="37"/>
        <v>217.5</v>
      </c>
      <c r="R98" s="86">
        <f t="shared" si="37"/>
        <v>166.2</v>
      </c>
      <c r="S98" s="86">
        <f t="shared" si="37"/>
        <v>162.69999999999999</v>
      </c>
      <c r="T98" s="86">
        <f t="shared" si="37"/>
        <v>160.49999999999997</v>
      </c>
      <c r="U98" s="86">
        <f t="shared" si="37"/>
        <v>153.50000000000003</v>
      </c>
      <c r="V98" s="86">
        <f t="shared" si="37"/>
        <v>168</v>
      </c>
      <c r="W98" s="86">
        <f t="shared" si="37"/>
        <v>169.70000000000002</v>
      </c>
      <c r="X98" s="86">
        <f t="shared" si="37"/>
        <v>158.80000000000001</v>
      </c>
      <c r="Y98" s="86">
        <f t="shared" si="37"/>
        <v>178.3</v>
      </c>
      <c r="Z98" s="86">
        <f t="shared" si="37"/>
        <v>214.60000000000002</v>
      </c>
      <c r="AA98" s="86">
        <f t="shared" si="37"/>
        <v>212.60000000000002</v>
      </c>
      <c r="AB98" s="86">
        <f t="shared" si="37"/>
        <v>173.3</v>
      </c>
      <c r="AC98" s="86">
        <f t="shared" si="37"/>
        <v>137.9</v>
      </c>
      <c r="AD98" s="86">
        <f t="shared" si="37"/>
        <v>135.9</v>
      </c>
      <c r="AE98" s="86">
        <f t="shared" si="37"/>
        <v>105.9</v>
      </c>
      <c r="AF98" s="86">
        <f t="shared" si="37"/>
        <v>56.2</v>
      </c>
      <c r="AG98" s="150"/>
      <c r="AH98" s="54">
        <f>MAX(C98:AF98)</f>
        <v>217.5</v>
      </c>
      <c r="AI98" s="55">
        <f>MIN(C98:AF98)</f>
        <v>13.239999999999995</v>
      </c>
    </row>
    <row r="99" spans="1:37" x14ac:dyDescent="0.25">
      <c r="A99" s="170" t="s">
        <v>74</v>
      </c>
      <c r="B99" s="87">
        <v>4.5999999999999996</v>
      </c>
      <c r="C99" s="87">
        <v>13.1</v>
      </c>
      <c r="D99" s="87">
        <v>17.600000000000001</v>
      </c>
      <c r="E99" s="87">
        <v>0</v>
      </c>
      <c r="F99" s="87">
        <v>-2</v>
      </c>
      <c r="G99" s="87">
        <v>2.2999999999999998</v>
      </c>
      <c r="H99" s="87">
        <v>7.3</v>
      </c>
      <c r="I99" s="87">
        <v>7.5</v>
      </c>
      <c r="J99" s="87">
        <v>8.1</v>
      </c>
      <c r="K99" s="87">
        <v>32.5</v>
      </c>
      <c r="L99" s="87">
        <v>20</v>
      </c>
      <c r="M99" s="87">
        <v>39.4</v>
      </c>
      <c r="N99" s="87">
        <v>31</v>
      </c>
      <c r="O99" s="87">
        <v>38.4</v>
      </c>
      <c r="P99" s="87">
        <v>38.5</v>
      </c>
      <c r="Q99" s="87">
        <f>44.6+29.3</f>
        <v>73.900000000000006</v>
      </c>
      <c r="R99" s="87">
        <v>26.6</v>
      </c>
      <c r="S99" s="87">
        <v>45.7</v>
      </c>
      <c r="T99" s="87">
        <v>44.7</v>
      </c>
      <c r="U99" s="87">
        <v>42.6</v>
      </c>
      <c r="V99" s="87">
        <v>39.299999999999997</v>
      </c>
      <c r="W99" s="87">
        <v>38</v>
      </c>
      <c r="X99" s="87">
        <v>40</v>
      </c>
      <c r="Y99" s="87">
        <v>35</v>
      </c>
      <c r="Z99" s="87">
        <v>32.4</v>
      </c>
      <c r="AA99" s="87">
        <v>31.9</v>
      </c>
      <c r="AB99" s="87">
        <v>21.4</v>
      </c>
      <c r="AC99" s="87">
        <v>2</v>
      </c>
      <c r="AD99" s="87">
        <v>23</v>
      </c>
      <c r="AE99" s="87">
        <v>48</v>
      </c>
      <c r="AF99" s="87">
        <v>33</v>
      </c>
      <c r="AG99" s="151">
        <v>75</v>
      </c>
      <c r="AH99" s="54">
        <f t="shared" ref="AH99:AH105" si="38">IF(ABS(MAX(C99:AF99))&gt;ABS(MIN(C99:AF99)),MAX(C99:AF99),MIN(C99:AF99))</f>
        <v>73.900000000000006</v>
      </c>
      <c r="AI99" s="89">
        <f t="shared" ref="AI99:AI105" si="39">INDEX($C$9:$AF$9,1,MATCH(AH99,C99:AF99,0))</f>
        <v>0.5</v>
      </c>
    </row>
    <row r="100" spans="1:37" x14ac:dyDescent="0.25">
      <c r="A100" s="163" t="s">
        <v>75</v>
      </c>
      <c r="B100" s="90">
        <v>-100.5</v>
      </c>
      <c r="C100" s="90">
        <v>-121.4</v>
      </c>
      <c r="D100" s="90">
        <v>-129.4</v>
      </c>
      <c r="E100" s="90">
        <v>-91.2</v>
      </c>
      <c r="F100" s="90">
        <v>-90</v>
      </c>
      <c r="G100" s="90">
        <v>-84</v>
      </c>
      <c r="H100" s="90">
        <v>-50</v>
      </c>
      <c r="I100" s="90">
        <v>-37</v>
      </c>
      <c r="J100" s="90">
        <v>-22</v>
      </c>
      <c r="K100" s="90">
        <v>-34</v>
      </c>
      <c r="L100" s="90">
        <v>-38</v>
      </c>
      <c r="M100" s="90">
        <v>-51</v>
      </c>
      <c r="N100" s="90">
        <v>-39</v>
      </c>
      <c r="O100" s="90">
        <v>-37</v>
      </c>
      <c r="P100" s="90">
        <v>-52</v>
      </c>
      <c r="Q100" s="90">
        <f>-29.8-24.6</f>
        <v>-54.400000000000006</v>
      </c>
      <c r="R100" s="90">
        <v>-56</v>
      </c>
      <c r="S100" s="90">
        <f>-35.9-33.2</f>
        <v>-69.099999999999994</v>
      </c>
      <c r="T100" s="90">
        <f>-34.9-32.9</f>
        <v>-67.8</v>
      </c>
      <c r="U100" s="90">
        <f>-29.2-27.3</f>
        <v>-56.5</v>
      </c>
      <c r="V100" s="90">
        <f>-27.6-25.7</f>
        <v>-53.3</v>
      </c>
      <c r="W100" s="90">
        <f>-26-24.1</f>
        <v>-50.1</v>
      </c>
      <c r="X100" s="90">
        <f>-33.2-31.1</f>
        <v>-64.300000000000011</v>
      </c>
      <c r="Y100" s="90">
        <f>-23.6-21.8</f>
        <v>-45.400000000000006</v>
      </c>
      <c r="Z100" s="90">
        <f>-13.9-21.5</f>
        <v>-35.4</v>
      </c>
      <c r="AA100" s="90">
        <v>-40.5</v>
      </c>
      <c r="AB100" s="90">
        <v>-66</v>
      </c>
      <c r="AC100" s="90">
        <v>-80</v>
      </c>
      <c r="AD100" s="90">
        <v>-100</v>
      </c>
      <c r="AE100" s="90">
        <v>-132</v>
      </c>
      <c r="AF100" s="90">
        <v>-140</v>
      </c>
      <c r="AG100" s="151">
        <v>240</v>
      </c>
      <c r="AH100" s="54">
        <f t="shared" si="38"/>
        <v>-140</v>
      </c>
      <c r="AI100" s="89">
        <f t="shared" si="39"/>
        <v>0.95833333333333304</v>
      </c>
    </row>
    <row r="101" spans="1:37" x14ac:dyDescent="0.25">
      <c r="A101" s="163" t="s">
        <v>76</v>
      </c>
      <c r="B101" s="90">
        <v>1.3</v>
      </c>
      <c r="C101" s="90">
        <v>-3.9</v>
      </c>
      <c r="D101" s="90">
        <v>-3.8</v>
      </c>
      <c r="E101" s="90">
        <v>0</v>
      </c>
      <c r="F101" s="90">
        <v>-4.0999999999999996</v>
      </c>
      <c r="G101" s="90">
        <v>-2.9</v>
      </c>
      <c r="H101" s="90">
        <v>3.4</v>
      </c>
      <c r="I101" s="90">
        <v>6.2</v>
      </c>
      <c r="J101" s="90">
        <v>9.4</v>
      </c>
      <c r="K101" s="90">
        <v>8.6999999999999993</v>
      </c>
      <c r="L101" s="90">
        <v>32.4</v>
      </c>
      <c r="M101" s="90">
        <v>18</v>
      </c>
      <c r="N101" s="90">
        <v>17.399999999999999</v>
      </c>
      <c r="O101" s="90">
        <v>18.5</v>
      </c>
      <c r="P101" s="90">
        <v>14.9</v>
      </c>
      <c r="Q101" s="90">
        <v>25.3</v>
      </c>
      <c r="R101" s="90">
        <v>22.9</v>
      </c>
      <c r="S101" s="90">
        <v>15.6</v>
      </c>
      <c r="T101" s="90">
        <v>13.1</v>
      </c>
      <c r="U101" s="90">
        <v>13.3</v>
      </c>
      <c r="V101" s="90">
        <v>13.7</v>
      </c>
      <c r="W101" s="90">
        <v>13.5</v>
      </c>
      <c r="X101" s="90">
        <v>14.8</v>
      </c>
      <c r="Y101" s="90">
        <v>17.399999999999999</v>
      </c>
      <c r="Z101" s="90">
        <v>46.3</v>
      </c>
      <c r="AA101" s="90">
        <v>55.3</v>
      </c>
      <c r="AB101" s="90">
        <v>52</v>
      </c>
      <c r="AC101" s="90">
        <v>50</v>
      </c>
      <c r="AD101" s="90">
        <v>47</v>
      </c>
      <c r="AE101" s="90">
        <v>24</v>
      </c>
      <c r="AF101" s="90">
        <v>-2.7</v>
      </c>
      <c r="AG101" s="151">
        <v>60</v>
      </c>
      <c r="AH101" s="54">
        <f t="shared" si="38"/>
        <v>55.3</v>
      </c>
      <c r="AI101" s="89">
        <f t="shared" si="39"/>
        <v>0.8125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0</v>
      </c>
      <c r="M102" s="91">
        <v>0</v>
      </c>
      <c r="N102" s="91">
        <v>0</v>
      </c>
      <c r="O102" s="91">
        <v>0</v>
      </c>
      <c r="P102" s="91">
        <v>0</v>
      </c>
      <c r="Q102" s="91">
        <v>0</v>
      </c>
      <c r="R102" s="91">
        <v>0</v>
      </c>
      <c r="S102" s="91">
        <v>0</v>
      </c>
      <c r="T102" s="91">
        <v>0</v>
      </c>
      <c r="U102" s="91">
        <v>0</v>
      </c>
      <c r="V102" s="91">
        <v>0</v>
      </c>
      <c r="W102" s="91">
        <v>0</v>
      </c>
      <c r="X102" s="91">
        <v>0</v>
      </c>
      <c r="Y102" s="91">
        <v>0</v>
      </c>
      <c r="Z102" s="91">
        <v>0</v>
      </c>
      <c r="AA102" s="91">
        <v>0</v>
      </c>
      <c r="AB102" s="91">
        <v>0</v>
      </c>
      <c r="AC102" s="91">
        <v>0</v>
      </c>
      <c r="AD102" s="91">
        <v>0</v>
      </c>
      <c r="AE102" s="91">
        <v>0</v>
      </c>
      <c r="AF102" s="91">
        <v>0</v>
      </c>
      <c r="AG102" s="152">
        <v>120</v>
      </c>
      <c r="AH102" s="54">
        <f t="shared" si="38"/>
        <v>0</v>
      </c>
      <c r="AI102" s="89">
        <f t="shared" si="39"/>
        <v>4.1666666666666664E-2</v>
      </c>
    </row>
    <row r="103" spans="1:37" x14ac:dyDescent="0.25">
      <c r="A103" s="164" t="s">
        <v>78</v>
      </c>
      <c r="B103" s="91">
        <v>427</v>
      </c>
      <c r="C103" s="91">
        <v>27.7</v>
      </c>
      <c r="D103" s="91">
        <v>10.7</v>
      </c>
      <c r="E103" s="91">
        <v>49.4</v>
      </c>
      <c r="F103" s="91">
        <v>47</v>
      </c>
      <c r="G103" s="91">
        <v>50.6</v>
      </c>
      <c r="H103" s="91">
        <v>62</v>
      </c>
      <c r="I103" s="91">
        <v>69</v>
      </c>
      <c r="J103" s="91">
        <v>86</v>
      </c>
      <c r="K103" s="91">
        <v>80</v>
      </c>
      <c r="L103" s="91">
        <v>52</v>
      </c>
      <c r="M103" s="91">
        <v>50.2</v>
      </c>
      <c r="N103" s="91">
        <v>62.1</v>
      </c>
      <c r="O103" s="91">
        <v>68.3</v>
      </c>
      <c r="P103" s="91">
        <v>67.3</v>
      </c>
      <c r="Q103" s="91">
        <v>67.400000000000006</v>
      </c>
      <c r="R103" s="91">
        <v>64.599999999999994</v>
      </c>
      <c r="S103" s="91">
        <v>49</v>
      </c>
      <c r="T103" s="91">
        <v>61</v>
      </c>
      <c r="U103" s="91">
        <v>50.4</v>
      </c>
      <c r="V103" s="91">
        <v>60</v>
      </c>
      <c r="W103" s="91">
        <v>64</v>
      </c>
      <c r="X103" s="91">
        <v>52</v>
      </c>
      <c r="Y103" s="91">
        <v>54.4</v>
      </c>
      <c r="Z103" s="91">
        <v>77.400000000000006</v>
      </c>
      <c r="AA103" s="91">
        <v>74</v>
      </c>
      <c r="AB103" s="91">
        <v>66</v>
      </c>
      <c r="AC103" s="91">
        <v>50</v>
      </c>
      <c r="AD103" s="91">
        <v>44</v>
      </c>
      <c r="AE103" s="91">
        <v>34</v>
      </c>
      <c r="AF103" s="91">
        <v>27</v>
      </c>
      <c r="AG103" s="152"/>
      <c r="AH103" s="54">
        <f t="shared" si="38"/>
        <v>86</v>
      </c>
      <c r="AI103" s="89">
        <f t="shared" si="39"/>
        <v>0.27083333333333331</v>
      </c>
    </row>
    <row r="104" spans="1:37" x14ac:dyDescent="0.25">
      <c r="A104" s="164" t="s">
        <v>105</v>
      </c>
      <c r="B104" s="91">
        <v>58.8</v>
      </c>
      <c r="C104" s="91">
        <v>55.1</v>
      </c>
      <c r="D104" s="91">
        <v>28.5</v>
      </c>
      <c r="E104" s="91">
        <v>38.299999999999997</v>
      </c>
      <c r="F104" s="91">
        <v>24</v>
      </c>
      <c r="G104" s="91">
        <v>10.3</v>
      </c>
      <c r="H104" s="91">
        <v>0</v>
      </c>
      <c r="I104" s="91">
        <v>3.4</v>
      </c>
      <c r="J104" s="91">
        <v>10.6</v>
      </c>
      <c r="K104" s="91">
        <v>3</v>
      </c>
      <c r="L104" s="91">
        <v>9.6</v>
      </c>
      <c r="M104" s="91">
        <v>-37.9</v>
      </c>
      <c r="N104" s="91">
        <v>16.2</v>
      </c>
      <c r="O104" s="91">
        <v>2.1</v>
      </c>
      <c r="P104" s="91">
        <v>12.8</v>
      </c>
      <c r="Q104" s="91">
        <v>10</v>
      </c>
      <c r="R104" s="91">
        <v>59.6</v>
      </c>
      <c r="S104" s="91">
        <v>-11.3</v>
      </c>
      <c r="T104" s="91">
        <v>-22.1</v>
      </c>
      <c r="U104" s="91">
        <v>-7.7</v>
      </c>
      <c r="V104" s="91">
        <v>11.4</v>
      </c>
      <c r="W104" s="91">
        <v>11</v>
      </c>
      <c r="X104" s="91">
        <v>5.2</v>
      </c>
      <c r="Y104" s="91">
        <v>13.9</v>
      </c>
      <c r="Z104" s="91">
        <v>40.200000000000003</v>
      </c>
      <c r="AA104" s="91">
        <v>40</v>
      </c>
      <c r="AB104" s="91">
        <v>70</v>
      </c>
      <c r="AC104" s="91">
        <v>65</v>
      </c>
      <c r="AD104" s="91">
        <v>57</v>
      </c>
      <c r="AE104" s="91">
        <v>25</v>
      </c>
      <c r="AF104" s="91">
        <v>12</v>
      </c>
      <c r="AG104" s="153"/>
      <c r="AH104" s="54">
        <f t="shared" si="38"/>
        <v>70</v>
      </c>
      <c r="AI104" s="89">
        <f t="shared" si="39"/>
        <v>0.83333333333333337</v>
      </c>
    </row>
    <row r="105" spans="1:37" ht="15.75" thickBot="1" x14ac:dyDescent="0.3">
      <c r="A105" s="171" t="s">
        <v>106</v>
      </c>
      <c r="B105" s="82">
        <v>114.2</v>
      </c>
      <c r="C105" s="82">
        <v>113.5</v>
      </c>
      <c r="D105" s="82">
        <v>116.1</v>
      </c>
      <c r="E105" s="82">
        <v>114.7</v>
      </c>
      <c r="F105" s="82">
        <v>121.5</v>
      </c>
      <c r="G105" s="82">
        <v>116</v>
      </c>
      <c r="H105" s="82">
        <v>110</v>
      </c>
      <c r="I105" s="82">
        <v>110</v>
      </c>
      <c r="J105" s="82">
        <v>105.8</v>
      </c>
      <c r="K105" s="82">
        <v>86</v>
      </c>
      <c r="L105" s="82">
        <v>78</v>
      </c>
      <c r="M105" s="82">
        <v>100.1</v>
      </c>
      <c r="N105" s="82">
        <v>110.4</v>
      </c>
      <c r="O105" s="82">
        <v>105.2</v>
      </c>
      <c r="P105" s="82">
        <v>103.3</v>
      </c>
      <c r="Q105" s="82">
        <v>105.3</v>
      </c>
      <c r="R105" s="82">
        <v>105.3</v>
      </c>
      <c r="S105" s="82">
        <v>110</v>
      </c>
      <c r="T105" s="82">
        <v>106</v>
      </c>
      <c r="U105" s="82">
        <v>108</v>
      </c>
      <c r="V105" s="82">
        <v>107</v>
      </c>
      <c r="W105" s="82">
        <v>110.4</v>
      </c>
      <c r="X105" s="82">
        <v>116</v>
      </c>
      <c r="Y105" s="82">
        <v>124.9</v>
      </c>
      <c r="Z105" s="82">
        <v>92</v>
      </c>
      <c r="AA105" s="82">
        <v>35.200000000000003</v>
      </c>
      <c r="AB105" s="82">
        <v>89</v>
      </c>
      <c r="AC105" s="82">
        <v>87</v>
      </c>
      <c r="AD105" s="82">
        <v>87</v>
      </c>
      <c r="AE105" s="82">
        <v>93</v>
      </c>
      <c r="AF105" s="82">
        <v>85</v>
      </c>
      <c r="AG105" s="153"/>
      <c r="AH105" s="54">
        <f t="shared" si="38"/>
        <v>124.9</v>
      </c>
      <c r="AI105" s="89">
        <f t="shared" si="39"/>
        <v>0.77083333333333337</v>
      </c>
    </row>
    <row r="106" spans="1:37" ht="15.75" thickBot="1" x14ac:dyDescent="0.3">
      <c r="A106" s="92" t="s">
        <v>79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154"/>
      <c r="AH106" s="94"/>
      <c r="AI106" s="55"/>
      <c r="AK106" s="56"/>
    </row>
    <row r="107" spans="1:37" x14ac:dyDescent="0.25">
      <c r="A107" s="162" t="s">
        <v>133</v>
      </c>
      <c r="B107" s="95"/>
      <c r="C107" s="53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6">
        <v>9.94</v>
      </c>
      <c r="AH107" s="54"/>
      <c r="AI107" s="55"/>
      <c r="AK107" s="56"/>
    </row>
    <row r="108" spans="1:37" x14ac:dyDescent="0.25">
      <c r="A108" s="163" t="s">
        <v>134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/>
      <c r="AH108" s="54"/>
      <c r="AI108" s="55"/>
      <c r="AK108" s="56"/>
    </row>
    <row r="109" spans="1:37" x14ac:dyDescent="0.25">
      <c r="A109" s="163" t="s">
        <v>135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136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137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138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139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140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141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142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143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144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145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146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147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148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149</v>
      </c>
      <c r="B123" s="97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9">
        <v>9.9</v>
      </c>
      <c r="AH123" s="54"/>
      <c r="AI123" s="55"/>
      <c r="AK123" s="56"/>
    </row>
    <row r="124" spans="1:37" x14ac:dyDescent="0.25">
      <c r="A124" s="164" t="s">
        <v>80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100">
        <v>9.6579999999999995</v>
      </c>
      <c r="AH124" s="54"/>
      <c r="AI124" s="55"/>
      <c r="AK124" s="56"/>
    </row>
    <row r="125" spans="1:37" x14ac:dyDescent="0.25">
      <c r="A125" s="164" t="s">
        <v>150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</v>
      </c>
      <c r="AH125" s="54"/>
      <c r="AI125" s="55"/>
      <c r="AK125" s="56"/>
    </row>
    <row r="126" spans="1:37" x14ac:dyDescent="0.25">
      <c r="A126" s="164" t="s">
        <v>151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9.51</v>
      </c>
      <c r="AH126" s="54"/>
      <c r="AI126" s="55"/>
      <c r="AK126" s="56"/>
    </row>
    <row r="127" spans="1:37" x14ac:dyDescent="0.25">
      <c r="A127" s="164" t="s">
        <v>152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9.4</v>
      </c>
      <c r="AH127" s="54"/>
      <c r="AI127" s="55"/>
      <c r="AK127" s="56"/>
    </row>
    <row r="128" spans="1:37" x14ac:dyDescent="0.25">
      <c r="A128" s="164" t="s">
        <v>153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8.8000000000000007</v>
      </c>
      <c r="AH128" s="54"/>
      <c r="AI128" s="55"/>
      <c r="AK128" s="56"/>
    </row>
    <row r="129" spans="1:37" x14ac:dyDescent="0.25">
      <c r="A129" s="164" t="s">
        <v>154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8.5</v>
      </c>
      <c r="AH129" s="54"/>
      <c r="AI129" s="55"/>
      <c r="AK129" s="56"/>
    </row>
    <row r="130" spans="1:37" x14ac:dyDescent="0.25">
      <c r="A130" s="164" t="s">
        <v>155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156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8.4</v>
      </c>
      <c r="AH131" s="54"/>
      <c r="AI131" s="55"/>
      <c r="AK131" s="56"/>
    </row>
    <row r="132" spans="1:37" ht="13.5" customHeight="1" x14ac:dyDescent="0.25">
      <c r="A132" s="164" t="s">
        <v>157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</v>
      </c>
      <c r="AH132" s="54"/>
      <c r="AI132" s="55"/>
      <c r="AK132" s="56"/>
    </row>
    <row r="133" spans="1:37" x14ac:dyDescent="0.25">
      <c r="A133" s="164" t="s">
        <v>158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159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160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7.8</v>
      </c>
      <c r="AH135" s="54"/>
      <c r="AI135" s="55"/>
      <c r="AK135" s="56"/>
    </row>
    <row r="136" spans="1:37" x14ac:dyDescent="0.25">
      <c r="A136" s="164" t="s">
        <v>161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7.6</v>
      </c>
      <c r="AH136" s="54"/>
      <c r="AI136" s="55"/>
      <c r="AK136" s="56"/>
    </row>
    <row r="137" spans="1:37" x14ac:dyDescent="0.25">
      <c r="A137" s="164" t="s">
        <v>162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7.5</v>
      </c>
      <c r="AH137" s="54"/>
      <c r="AI137" s="55"/>
      <c r="AK137" s="56"/>
    </row>
    <row r="138" spans="1:37" x14ac:dyDescent="0.25">
      <c r="A138" s="164" t="s">
        <v>163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164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</v>
      </c>
      <c r="AH139" s="54"/>
      <c r="AI139" s="55"/>
      <c r="AK139" s="56"/>
    </row>
    <row r="140" spans="1:37" x14ac:dyDescent="0.25">
      <c r="A140" s="164" t="s">
        <v>165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166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167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168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6.6</v>
      </c>
      <c r="AH143" s="54"/>
      <c r="AI143" s="55"/>
      <c r="AK143" s="56"/>
    </row>
    <row r="144" spans="1:37" x14ac:dyDescent="0.25">
      <c r="A144" s="164" t="s">
        <v>169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170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6.4</v>
      </c>
      <c r="AH145" s="54"/>
      <c r="AI145" s="55"/>
      <c r="AK145" s="56"/>
    </row>
    <row r="146" spans="1:37" x14ac:dyDescent="0.25">
      <c r="A146" s="164" t="s">
        <v>171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</v>
      </c>
      <c r="AH146" s="54"/>
      <c r="AI146" s="55"/>
      <c r="AK146" s="56"/>
    </row>
    <row r="147" spans="1:37" x14ac:dyDescent="0.25">
      <c r="A147" s="164" t="s">
        <v>172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5.0999999999999996</v>
      </c>
      <c r="AH147" s="54"/>
      <c r="AI147" s="55"/>
      <c r="AK147" s="56"/>
    </row>
    <row r="148" spans="1:37" x14ac:dyDescent="0.25">
      <c r="A148" s="164" t="s">
        <v>173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</v>
      </c>
      <c r="AH148" s="54"/>
      <c r="AI148" s="55"/>
      <c r="AK148" s="56"/>
    </row>
    <row r="149" spans="1:37" x14ac:dyDescent="0.25">
      <c r="A149" s="163" t="s">
        <v>174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9">
        <v>5</v>
      </c>
      <c r="AH149" s="54"/>
      <c r="AI149" s="55"/>
      <c r="AK149" s="56"/>
    </row>
    <row r="150" spans="1:37" x14ac:dyDescent="0.25">
      <c r="A150" s="164" t="s">
        <v>175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100">
        <v>5</v>
      </c>
      <c r="AH150" s="54"/>
      <c r="AI150" s="55"/>
      <c r="AK150" s="56"/>
    </row>
    <row r="151" spans="1:37" x14ac:dyDescent="0.25">
      <c r="A151" s="164" t="s">
        <v>176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177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178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179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180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4.9930000000000003</v>
      </c>
      <c r="AH155" s="54"/>
      <c r="AI155" s="55"/>
      <c r="AK155" s="56"/>
    </row>
    <row r="156" spans="1:37" x14ac:dyDescent="0.25">
      <c r="A156" s="164" t="s">
        <v>181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4.9800000000000004</v>
      </c>
      <c r="AH156" s="54"/>
      <c r="AI156" s="55"/>
      <c r="AK156" s="56"/>
    </row>
    <row r="157" spans="1:37" x14ac:dyDescent="0.25">
      <c r="A157" s="164" t="s">
        <v>182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4.95</v>
      </c>
      <c r="AH157" s="54"/>
      <c r="AI157" s="55"/>
      <c r="AK157" s="56"/>
    </row>
    <row r="158" spans="1:37" x14ac:dyDescent="0.25">
      <c r="A158" s="164" t="s">
        <v>81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183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4.8</v>
      </c>
      <c r="AH159" s="54"/>
      <c r="AI159" s="55"/>
      <c r="AK159" s="56"/>
    </row>
    <row r="160" spans="1:37" x14ac:dyDescent="0.25">
      <c r="A160" s="164" t="s">
        <v>184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185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186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4.5</v>
      </c>
      <c r="AH162" s="54"/>
      <c r="AI162" s="55"/>
      <c r="AK162" s="56"/>
    </row>
    <row r="163" spans="1:37" x14ac:dyDescent="0.25">
      <c r="A163" s="164" t="s">
        <v>187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188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4.4550000000000001</v>
      </c>
      <c r="AH164" s="54"/>
      <c r="AI164" s="55"/>
      <c r="AK164" s="56"/>
    </row>
    <row r="165" spans="1:37" x14ac:dyDescent="0.25">
      <c r="A165" s="164" t="s">
        <v>189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4.41</v>
      </c>
      <c r="AH165" s="54"/>
      <c r="AI165" s="55"/>
      <c r="AK165" s="56"/>
    </row>
    <row r="166" spans="1:37" x14ac:dyDescent="0.25">
      <c r="A166" s="164" t="s">
        <v>190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4.4000000000000004</v>
      </c>
      <c r="AH166" s="54"/>
      <c r="AI166" s="55"/>
      <c r="AK166" s="56"/>
    </row>
    <row r="167" spans="1:37" x14ac:dyDescent="0.25">
      <c r="A167" s="164" t="s">
        <v>191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4.3600000000000003</v>
      </c>
      <c r="AH167" s="54"/>
      <c r="AI167" s="55"/>
      <c r="AK167" s="56"/>
    </row>
    <row r="168" spans="1:37" x14ac:dyDescent="0.25">
      <c r="A168" s="164" t="s">
        <v>192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4.2</v>
      </c>
      <c r="AH168" s="54"/>
      <c r="AI168" s="55"/>
      <c r="AK168" s="56"/>
    </row>
    <row r="169" spans="1:37" x14ac:dyDescent="0.25">
      <c r="A169" s="164" t="s">
        <v>193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</v>
      </c>
      <c r="AH169" s="54"/>
      <c r="AI169" s="55"/>
      <c r="AK169" s="56"/>
    </row>
    <row r="170" spans="1:37" x14ac:dyDescent="0.25">
      <c r="A170" s="164" t="s">
        <v>194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195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196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197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198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199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200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201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3.75</v>
      </c>
      <c r="AH177" s="54"/>
      <c r="AI177" s="55"/>
      <c r="AK177" s="56"/>
    </row>
    <row r="178" spans="1:37" x14ac:dyDescent="0.25">
      <c r="A178" s="164" t="s">
        <v>202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3.52</v>
      </c>
      <c r="AH178" s="54"/>
      <c r="AI178" s="55"/>
      <c r="AK178" s="56"/>
    </row>
    <row r="179" spans="1:37" x14ac:dyDescent="0.25">
      <c r="A179" s="164" t="s">
        <v>203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3.33</v>
      </c>
      <c r="AH179" s="54"/>
      <c r="AI179" s="55"/>
      <c r="AK179" s="56"/>
    </row>
    <row r="180" spans="1:37" x14ac:dyDescent="0.25">
      <c r="A180" s="164" t="s">
        <v>204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3.2</v>
      </c>
      <c r="AH180" s="54"/>
      <c r="AI180" s="55"/>
      <c r="AK180" s="56"/>
    </row>
    <row r="181" spans="1:37" x14ac:dyDescent="0.25">
      <c r="A181" s="164" t="s">
        <v>205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</v>
      </c>
      <c r="AH181" s="54"/>
      <c r="AI181" s="55"/>
      <c r="AK181" s="56"/>
    </row>
    <row r="182" spans="1:37" x14ac:dyDescent="0.25">
      <c r="A182" s="164" t="s">
        <v>206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207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208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209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210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211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212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213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2.83</v>
      </c>
      <c r="AH189" s="54"/>
      <c r="AI189" s="55"/>
      <c r="AK189" s="56"/>
    </row>
    <row r="190" spans="1:37" x14ac:dyDescent="0.25">
      <c r="A190" s="164" t="s">
        <v>214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2.5</v>
      </c>
      <c r="AH190" s="54"/>
      <c r="AI190" s="55"/>
      <c r="AK190" s="56"/>
    </row>
    <row r="191" spans="1:37" x14ac:dyDescent="0.25">
      <c r="A191" s="164" t="s">
        <v>215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216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2.4</v>
      </c>
      <c r="AH192" s="54"/>
      <c r="AI192" s="55"/>
      <c r="AK192" s="56"/>
    </row>
    <row r="193" spans="1:37" x14ac:dyDescent="0.25">
      <c r="A193" s="164" t="s">
        <v>217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218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2.2000000000000002</v>
      </c>
      <c r="AH194" s="54"/>
      <c r="AI194" s="55"/>
      <c r="AK194" s="56"/>
    </row>
    <row r="195" spans="1:37" x14ac:dyDescent="0.25">
      <c r="A195" s="164" t="s">
        <v>219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</v>
      </c>
      <c r="AH195" s="54"/>
      <c r="AI195" s="55"/>
      <c r="AK195" s="56"/>
    </row>
    <row r="196" spans="1:37" x14ac:dyDescent="0.25">
      <c r="A196" s="164" t="s">
        <v>220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221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222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1.8</v>
      </c>
      <c r="AH198" s="54"/>
      <c r="AI198" s="55"/>
      <c r="AK198" s="56"/>
    </row>
    <row r="199" spans="1:37" x14ac:dyDescent="0.25">
      <c r="A199" s="164" t="s">
        <v>223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224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1.65</v>
      </c>
      <c r="AH200" s="54"/>
      <c r="AI200" s="55"/>
      <c r="AK200" s="56"/>
    </row>
    <row r="201" spans="1:37" x14ac:dyDescent="0.25">
      <c r="A201" s="164" t="s">
        <v>225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1.5</v>
      </c>
      <c r="AH201" s="54"/>
      <c r="AI201" s="55"/>
      <c r="AK201" s="56"/>
    </row>
    <row r="202" spans="1:37" x14ac:dyDescent="0.25">
      <c r="A202" s="164" t="s">
        <v>226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0.998</v>
      </c>
      <c r="AH202" s="54"/>
      <c r="AI202" s="55"/>
      <c r="AK202" s="56"/>
    </row>
    <row r="203" spans="1:37" x14ac:dyDescent="0.25">
      <c r="A203" s="164" t="s">
        <v>227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0.997</v>
      </c>
      <c r="AH203" s="54"/>
      <c r="AI203" s="55"/>
      <c r="AK203" s="56"/>
    </row>
    <row r="204" spans="1:37" x14ac:dyDescent="0.25">
      <c r="A204" s="164" t="s">
        <v>228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229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0.996</v>
      </c>
      <c r="AH205" s="54"/>
      <c r="AI205" s="55"/>
      <c r="AK205" s="56"/>
    </row>
    <row r="206" spans="1:37" x14ac:dyDescent="0.25">
      <c r="A206" s="164" t="s">
        <v>230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231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232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0.995</v>
      </c>
      <c r="AH208" s="54"/>
      <c r="AI208" s="55"/>
      <c r="AK208" s="56"/>
    </row>
    <row r="209" spans="1:37" x14ac:dyDescent="0.25">
      <c r="A209" s="164" t="s">
        <v>233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0.99299999999999999</v>
      </c>
      <c r="AH209" s="54"/>
      <c r="AI209" s="55"/>
      <c r="AK209" s="56"/>
    </row>
    <row r="210" spans="1:37" x14ac:dyDescent="0.25">
      <c r="A210" s="164" t="s">
        <v>234</v>
      </c>
      <c r="B210" s="97"/>
      <c r="C210" s="53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</v>
      </c>
      <c r="AH210" s="54"/>
      <c r="AI210" s="55"/>
      <c r="AK210" s="56"/>
    </row>
    <row r="211" spans="1:37" ht="15.75" thickBot="1" x14ac:dyDescent="0.3">
      <c r="A211" s="164" t="s">
        <v>235</v>
      </c>
      <c r="B211" s="102"/>
      <c r="C211" s="166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0">
        <v>0.97899999999999998</v>
      </c>
      <c r="AH211" s="54"/>
      <c r="AI211" s="55"/>
      <c r="AK211" s="56"/>
    </row>
    <row r="212" spans="1:37" ht="15.75" thickBot="1" x14ac:dyDescent="0.3">
      <c r="A212" s="165" t="s">
        <v>82</v>
      </c>
      <c r="B212" s="167">
        <f>SUM(B107:B211)</f>
        <v>0</v>
      </c>
      <c r="C212" s="103">
        <f t="shared" ref="C212:AG212" si="40">SUM(C107:C211)</f>
        <v>0</v>
      </c>
      <c r="D212" s="103">
        <f t="shared" si="40"/>
        <v>0</v>
      </c>
      <c r="E212" s="103">
        <f t="shared" si="40"/>
        <v>0</v>
      </c>
      <c r="F212" s="103">
        <f t="shared" si="40"/>
        <v>0</v>
      </c>
      <c r="G212" s="103">
        <f t="shared" si="40"/>
        <v>0</v>
      </c>
      <c r="H212" s="103">
        <f t="shared" si="40"/>
        <v>0</v>
      </c>
      <c r="I212" s="103">
        <f t="shared" si="40"/>
        <v>0</v>
      </c>
      <c r="J212" s="103">
        <f t="shared" si="40"/>
        <v>0</v>
      </c>
      <c r="K212" s="103">
        <f t="shared" si="40"/>
        <v>0</v>
      </c>
      <c r="L212" s="103">
        <f t="shared" si="40"/>
        <v>0</v>
      </c>
      <c r="M212" s="103">
        <f t="shared" si="40"/>
        <v>0</v>
      </c>
      <c r="N212" s="103">
        <f t="shared" si="40"/>
        <v>0</v>
      </c>
      <c r="O212" s="103">
        <f t="shared" si="40"/>
        <v>0</v>
      </c>
      <c r="P212" s="103">
        <f t="shared" si="40"/>
        <v>0</v>
      </c>
      <c r="Q212" s="103">
        <f t="shared" si="40"/>
        <v>0</v>
      </c>
      <c r="R212" s="103">
        <f t="shared" si="40"/>
        <v>0</v>
      </c>
      <c r="S212" s="103">
        <f t="shared" si="40"/>
        <v>0</v>
      </c>
      <c r="T212" s="103">
        <f t="shared" si="40"/>
        <v>0</v>
      </c>
      <c r="U212" s="103">
        <f t="shared" si="40"/>
        <v>0</v>
      </c>
      <c r="V212" s="103">
        <f t="shared" si="40"/>
        <v>0</v>
      </c>
      <c r="W212" s="103">
        <f t="shared" si="40"/>
        <v>0</v>
      </c>
      <c r="X212" s="103">
        <f t="shared" si="40"/>
        <v>0</v>
      </c>
      <c r="Y212" s="103">
        <f t="shared" si="40"/>
        <v>0</v>
      </c>
      <c r="Z212" s="103">
        <f t="shared" si="40"/>
        <v>0</v>
      </c>
      <c r="AA212" s="103">
        <f t="shared" si="40"/>
        <v>0</v>
      </c>
      <c r="AB212" s="103">
        <f t="shared" si="40"/>
        <v>0</v>
      </c>
      <c r="AC212" s="103">
        <f t="shared" si="40"/>
        <v>0</v>
      </c>
      <c r="AD212" s="103">
        <f t="shared" si="40"/>
        <v>0</v>
      </c>
      <c r="AE212" s="103">
        <f t="shared" si="40"/>
        <v>0</v>
      </c>
      <c r="AF212" s="168">
        <f t="shared" si="40"/>
        <v>0</v>
      </c>
      <c r="AG212" s="169">
        <f t="shared" si="40"/>
        <v>412.72299999999984</v>
      </c>
      <c r="AH212" s="54"/>
      <c r="AI212" s="55"/>
      <c r="AK212" s="56"/>
    </row>
    <row r="213" spans="1:37" ht="15.75" thickBot="1" x14ac:dyDescent="0.3">
      <c r="A213" s="28" t="s">
        <v>35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149"/>
      <c r="AH213" s="54"/>
      <c r="AI213" s="55"/>
      <c r="AK213" s="56"/>
    </row>
    <row r="214" spans="1:37" x14ac:dyDescent="0.25">
      <c r="A214" s="170" t="s">
        <v>83</v>
      </c>
      <c r="B214" s="101">
        <f t="shared" ref="B214:B219" si="41">AF214</f>
        <v>0</v>
      </c>
      <c r="C214" s="101">
        <v>0.3</v>
      </c>
      <c r="D214" s="101">
        <f t="shared" ref="D214:P219" si="42">C214</f>
        <v>0.3</v>
      </c>
      <c r="E214" s="101">
        <f t="shared" si="42"/>
        <v>0.3</v>
      </c>
      <c r="F214" s="101">
        <f t="shared" si="42"/>
        <v>0.3</v>
      </c>
      <c r="G214" s="101">
        <f t="shared" si="42"/>
        <v>0.3</v>
      </c>
      <c r="H214" s="101">
        <f t="shared" si="42"/>
        <v>0.3</v>
      </c>
      <c r="I214" s="101">
        <f t="shared" si="42"/>
        <v>0.3</v>
      </c>
      <c r="J214" s="101">
        <f t="shared" si="42"/>
        <v>0.3</v>
      </c>
      <c r="K214" s="101">
        <f t="shared" si="42"/>
        <v>0.3</v>
      </c>
      <c r="L214" s="101">
        <f t="shared" si="42"/>
        <v>0.3</v>
      </c>
      <c r="M214" s="101">
        <f t="shared" si="42"/>
        <v>0.3</v>
      </c>
      <c r="N214" s="101">
        <f t="shared" si="42"/>
        <v>0.3</v>
      </c>
      <c r="O214" s="101">
        <f t="shared" si="42"/>
        <v>0.3</v>
      </c>
      <c r="P214" s="101">
        <f t="shared" si="42"/>
        <v>0.3</v>
      </c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55">
        <v>2.4</v>
      </c>
      <c r="AH214" s="54"/>
      <c r="AI214" s="55"/>
      <c r="AK214" s="56"/>
    </row>
    <row r="215" spans="1:37" x14ac:dyDescent="0.25">
      <c r="A215" s="163" t="s">
        <v>84</v>
      </c>
      <c r="B215" s="97">
        <f t="shared" si="41"/>
        <v>0</v>
      </c>
      <c r="C215" s="97">
        <v>0.4</v>
      </c>
      <c r="D215" s="97">
        <f t="shared" si="42"/>
        <v>0.4</v>
      </c>
      <c r="E215" s="97">
        <f t="shared" si="42"/>
        <v>0.4</v>
      </c>
      <c r="F215" s="97">
        <f t="shared" si="42"/>
        <v>0.4</v>
      </c>
      <c r="G215" s="97">
        <f t="shared" si="42"/>
        <v>0.4</v>
      </c>
      <c r="H215" s="97">
        <f t="shared" si="42"/>
        <v>0.4</v>
      </c>
      <c r="I215" s="97">
        <f t="shared" si="42"/>
        <v>0.4</v>
      </c>
      <c r="J215" s="97">
        <f t="shared" si="42"/>
        <v>0.4</v>
      </c>
      <c r="K215" s="97">
        <f t="shared" si="42"/>
        <v>0.4</v>
      </c>
      <c r="L215" s="97">
        <f t="shared" si="42"/>
        <v>0.4</v>
      </c>
      <c r="M215" s="97">
        <f t="shared" si="42"/>
        <v>0.4</v>
      </c>
      <c r="N215" s="97">
        <f t="shared" si="42"/>
        <v>0.4</v>
      </c>
      <c r="O215" s="97">
        <f t="shared" si="42"/>
        <v>0.4</v>
      </c>
      <c r="P215" s="97">
        <f t="shared" si="42"/>
        <v>0.4</v>
      </c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56">
        <v>2</v>
      </c>
      <c r="AH215" s="54"/>
      <c r="AI215" s="55"/>
      <c r="AK215" s="56"/>
    </row>
    <row r="216" spans="1:37" x14ac:dyDescent="0.25">
      <c r="A216" s="163" t="s">
        <v>85</v>
      </c>
      <c r="B216" s="97">
        <f t="shared" si="41"/>
        <v>0</v>
      </c>
      <c r="C216" s="97">
        <v>1.5</v>
      </c>
      <c r="D216" s="97">
        <f t="shared" si="42"/>
        <v>1.5</v>
      </c>
      <c r="E216" s="97">
        <f t="shared" si="42"/>
        <v>1.5</v>
      </c>
      <c r="F216" s="97">
        <f t="shared" si="42"/>
        <v>1.5</v>
      </c>
      <c r="G216" s="97">
        <f t="shared" si="42"/>
        <v>1.5</v>
      </c>
      <c r="H216" s="97">
        <f t="shared" si="42"/>
        <v>1.5</v>
      </c>
      <c r="I216" s="97">
        <f t="shared" si="42"/>
        <v>1.5</v>
      </c>
      <c r="J216" s="97">
        <f t="shared" si="42"/>
        <v>1.5</v>
      </c>
      <c r="K216" s="97">
        <f t="shared" si="42"/>
        <v>1.5</v>
      </c>
      <c r="L216" s="97">
        <f t="shared" si="42"/>
        <v>1.5</v>
      </c>
      <c r="M216" s="97">
        <f t="shared" si="42"/>
        <v>1.5</v>
      </c>
      <c r="N216" s="97">
        <f t="shared" si="42"/>
        <v>1.5</v>
      </c>
      <c r="O216" s="97">
        <f t="shared" si="42"/>
        <v>1.5</v>
      </c>
      <c r="P216" s="97">
        <f t="shared" si="42"/>
        <v>1.5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1.5</v>
      </c>
      <c r="AH216" s="54"/>
      <c r="AI216" s="55"/>
      <c r="AK216" s="56"/>
    </row>
    <row r="217" spans="1:37" x14ac:dyDescent="0.25">
      <c r="A217" s="163" t="s">
        <v>86</v>
      </c>
      <c r="B217" s="97">
        <f t="shared" si="41"/>
        <v>0</v>
      </c>
      <c r="C217" s="97">
        <v>0.3</v>
      </c>
      <c r="D217" s="97">
        <f t="shared" si="42"/>
        <v>0.3</v>
      </c>
      <c r="E217" s="97">
        <f t="shared" si="42"/>
        <v>0.3</v>
      </c>
      <c r="F217" s="97">
        <f t="shared" si="42"/>
        <v>0.3</v>
      </c>
      <c r="G217" s="97">
        <f t="shared" si="42"/>
        <v>0.3</v>
      </c>
      <c r="H217" s="97">
        <f t="shared" si="42"/>
        <v>0.3</v>
      </c>
      <c r="I217" s="97">
        <f t="shared" si="42"/>
        <v>0.3</v>
      </c>
      <c r="J217" s="97">
        <f t="shared" si="42"/>
        <v>0.3</v>
      </c>
      <c r="K217" s="97">
        <f t="shared" si="42"/>
        <v>0.3</v>
      </c>
      <c r="L217" s="97">
        <f t="shared" si="42"/>
        <v>0.3</v>
      </c>
      <c r="M217" s="97">
        <f t="shared" si="42"/>
        <v>0.3</v>
      </c>
      <c r="N217" s="97">
        <f t="shared" si="42"/>
        <v>0.3</v>
      </c>
      <c r="O217" s="97">
        <f t="shared" si="42"/>
        <v>0.3</v>
      </c>
      <c r="P217" s="97">
        <f t="shared" si="42"/>
        <v>0.3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</v>
      </c>
      <c r="AH217" s="54"/>
      <c r="AI217" s="55"/>
      <c r="AK217" s="56"/>
    </row>
    <row r="218" spans="1:37" x14ac:dyDescent="0.25">
      <c r="A218" s="163" t="s">
        <v>87</v>
      </c>
      <c r="B218" s="97">
        <f t="shared" si="41"/>
        <v>0</v>
      </c>
      <c r="C218" s="97">
        <v>0.4</v>
      </c>
      <c r="D218" s="97">
        <f t="shared" si="42"/>
        <v>0.4</v>
      </c>
      <c r="E218" s="97">
        <f t="shared" si="42"/>
        <v>0.4</v>
      </c>
      <c r="F218" s="97">
        <f t="shared" si="42"/>
        <v>0.4</v>
      </c>
      <c r="G218" s="97">
        <f t="shared" si="42"/>
        <v>0.4</v>
      </c>
      <c r="H218" s="97">
        <f t="shared" si="42"/>
        <v>0.4</v>
      </c>
      <c r="I218" s="97">
        <f t="shared" si="42"/>
        <v>0.4</v>
      </c>
      <c r="J218" s="97">
        <f t="shared" si="42"/>
        <v>0.4</v>
      </c>
      <c r="K218" s="97">
        <f t="shared" si="42"/>
        <v>0.4</v>
      </c>
      <c r="L218" s="97">
        <f t="shared" si="42"/>
        <v>0.4</v>
      </c>
      <c r="M218" s="97">
        <f t="shared" si="42"/>
        <v>0.4</v>
      </c>
      <c r="N218" s="97">
        <f t="shared" si="42"/>
        <v>0.4</v>
      </c>
      <c r="O218" s="97">
        <f t="shared" si="42"/>
        <v>0.4</v>
      </c>
      <c r="P218" s="97">
        <f t="shared" si="42"/>
        <v>0.4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ht="15.75" thickBot="1" x14ac:dyDescent="0.3">
      <c r="A219" s="164" t="s">
        <v>88</v>
      </c>
      <c r="B219" s="102">
        <f t="shared" si="41"/>
        <v>0</v>
      </c>
      <c r="C219" s="102">
        <v>0.64</v>
      </c>
      <c r="D219" s="102">
        <f t="shared" si="42"/>
        <v>0.64</v>
      </c>
      <c r="E219" s="102">
        <f t="shared" si="42"/>
        <v>0.64</v>
      </c>
      <c r="F219" s="102">
        <f t="shared" si="42"/>
        <v>0.64</v>
      </c>
      <c r="G219" s="102">
        <f t="shared" si="42"/>
        <v>0.64</v>
      </c>
      <c r="H219" s="102">
        <f t="shared" si="42"/>
        <v>0.64</v>
      </c>
      <c r="I219" s="102">
        <f t="shared" si="42"/>
        <v>0.64</v>
      </c>
      <c r="J219" s="102">
        <f t="shared" si="42"/>
        <v>0.64</v>
      </c>
      <c r="K219" s="102">
        <f t="shared" si="42"/>
        <v>0.64</v>
      </c>
      <c r="L219" s="102">
        <f t="shared" si="42"/>
        <v>0.64</v>
      </c>
      <c r="M219" s="102">
        <f t="shared" si="42"/>
        <v>0.64</v>
      </c>
      <c r="N219" s="102">
        <f t="shared" si="42"/>
        <v>0.64</v>
      </c>
      <c r="O219" s="102">
        <f t="shared" si="42"/>
        <v>0.64</v>
      </c>
      <c r="P219" s="102">
        <f t="shared" si="42"/>
        <v>0.64</v>
      </c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57">
        <v>0.66</v>
      </c>
      <c r="AH219" s="54"/>
      <c r="AI219" s="55"/>
    </row>
    <row r="220" spans="1:37" ht="15.75" thickBot="1" x14ac:dyDescent="0.3">
      <c r="A220" s="173" t="s">
        <v>35</v>
      </c>
      <c r="B220" s="103">
        <f>SUM(B214:B219)</f>
        <v>0</v>
      </c>
      <c r="C220" s="103">
        <f>SUM(C214:C219)</f>
        <v>3.54</v>
      </c>
      <c r="D220" s="103">
        <f t="shared" ref="D220:L220" si="43">SUM(D214:D219)</f>
        <v>3.54</v>
      </c>
      <c r="E220" s="103">
        <f t="shared" si="43"/>
        <v>3.54</v>
      </c>
      <c r="F220" s="103">
        <f t="shared" si="43"/>
        <v>3.54</v>
      </c>
      <c r="G220" s="103">
        <f t="shared" si="43"/>
        <v>3.54</v>
      </c>
      <c r="H220" s="103">
        <f t="shared" si="43"/>
        <v>3.54</v>
      </c>
      <c r="I220" s="103">
        <f t="shared" si="43"/>
        <v>3.54</v>
      </c>
      <c r="J220" s="103">
        <f t="shared" si="43"/>
        <v>3.54</v>
      </c>
      <c r="K220" s="103">
        <f t="shared" si="43"/>
        <v>3.54</v>
      </c>
      <c r="L220" s="103">
        <f t="shared" si="43"/>
        <v>3.54</v>
      </c>
      <c r="M220" s="103">
        <f>SUM(M214:M219)</f>
        <v>3.54</v>
      </c>
      <c r="N220" s="103">
        <f t="shared" ref="N220:S220" si="44">SUM(N214:N219)</f>
        <v>3.54</v>
      </c>
      <c r="O220" s="103">
        <f t="shared" si="44"/>
        <v>3.54</v>
      </c>
      <c r="P220" s="103">
        <f t="shared" si="44"/>
        <v>3.54</v>
      </c>
      <c r="Q220" s="103">
        <f t="shared" si="44"/>
        <v>0</v>
      </c>
      <c r="R220" s="103">
        <f t="shared" si="44"/>
        <v>0</v>
      </c>
      <c r="S220" s="103">
        <f t="shared" si="44"/>
        <v>0</v>
      </c>
      <c r="T220" s="103">
        <f>SUM(T214:T219)</f>
        <v>0</v>
      </c>
      <c r="U220" s="103">
        <f t="shared" ref="U220:AG220" si="45">SUM(U214:U219)</f>
        <v>0</v>
      </c>
      <c r="V220" s="103">
        <f t="shared" si="45"/>
        <v>0</v>
      </c>
      <c r="W220" s="103">
        <f t="shared" si="45"/>
        <v>0</v>
      </c>
      <c r="X220" s="103">
        <f t="shared" si="45"/>
        <v>0</v>
      </c>
      <c r="Y220" s="103">
        <f t="shared" si="45"/>
        <v>0</v>
      </c>
      <c r="Z220" s="103">
        <f t="shared" si="45"/>
        <v>0</v>
      </c>
      <c r="AA220" s="103">
        <f t="shared" si="45"/>
        <v>0</v>
      </c>
      <c r="AB220" s="103">
        <f t="shared" si="45"/>
        <v>0</v>
      </c>
      <c r="AC220" s="103">
        <f t="shared" si="45"/>
        <v>0</v>
      </c>
      <c r="AD220" s="103">
        <f t="shared" si="45"/>
        <v>0</v>
      </c>
      <c r="AE220" s="103">
        <f t="shared" si="45"/>
        <v>0</v>
      </c>
      <c r="AF220" s="103">
        <f t="shared" si="45"/>
        <v>0</v>
      </c>
      <c r="AG220" s="158">
        <f t="shared" si="45"/>
        <v>8.56</v>
      </c>
      <c r="AH220" s="54"/>
      <c r="AI220" s="55"/>
    </row>
    <row r="221" spans="1:37" ht="15.75" thickBot="1" x14ac:dyDescent="0.3"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  <c r="AC221" s="179"/>
      <c r="AD221" s="179"/>
      <c r="AE221" s="179"/>
      <c r="AF221" s="179"/>
      <c r="AG221" s="84"/>
      <c r="AH221" s="179"/>
    </row>
    <row r="222" spans="1:37" x14ac:dyDescent="0.25">
      <c r="A222" s="79" t="s">
        <v>89</v>
      </c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5"/>
      <c r="AG222" s="179"/>
      <c r="AH222" s="54"/>
      <c r="AI222" s="55"/>
    </row>
    <row r="223" spans="1:37" x14ac:dyDescent="0.25">
      <c r="A223" s="106" t="s">
        <v>90</v>
      </c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8"/>
      <c r="AG223" s="109"/>
      <c r="AH223" s="54"/>
      <c r="AI223" s="55"/>
    </row>
    <row r="224" spans="1:37" x14ac:dyDescent="0.25">
      <c r="A224" s="81" t="s">
        <v>91</v>
      </c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1"/>
      <c r="AG224" s="109"/>
      <c r="AH224" s="54"/>
      <c r="AI224" s="55"/>
    </row>
    <row r="225" spans="1:50" x14ac:dyDescent="0.25">
      <c r="A225" s="81" t="s">
        <v>92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ht="15.75" thickBot="1" x14ac:dyDescent="0.3">
      <c r="A226" s="112" t="s">
        <v>93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4"/>
      <c r="AG226" s="109"/>
      <c r="AH226" s="54"/>
      <c r="AI226" s="55"/>
    </row>
    <row r="227" spans="1:50" x14ac:dyDescent="0.25"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  <c r="AC227" s="179"/>
      <c r="AD227" s="179"/>
      <c r="AE227" s="179"/>
      <c r="AF227" s="179"/>
      <c r="AG227" s="179"/>
      <c r="AH227" s="179"/>
    </row>
    <row r="228" spans="1:50" x14ac:dyDescent="0.25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  <c r="AC228" s="179"/>
      <c r="AD228" s="179"/>
      <c r="AE228" s="179"/>
      <c r="AF228" s="179"/>
      <c r="AG228" s="179"/>
      <c r="AH228" s="179"/>
    </row>
    <row r="229" spans="1:50" x14ac:dyDescent="0.25">
      <c r="A229" s="115" t="s">
        <v>94</v>
      </c>
      <c r="B229" s="116">
        <f>MAX(G79:N79)</f>
        <v>1746.1399999999999</v>
      </c>
      <c r="C229" s="117">
        <f>INDEX(G9:N9,1,MATCH(MAX(G79:N79),G79:N79,0))</f>
        <v>0.33333333333333331</v>
      </c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  <c r="AC229" s="179"/>
      <c r="AD229" s="179"/>
      <c r="AE229" s="179"/>
      <c r="AF229" s="179"/>
      <c r="AG229" s="179"/>
      <c r="AH229" s="179"/>
    </row>
    <row r="230" spans="1:50" x14ac:dyDescent="0.25"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18" t="str">
        <f ca="1">MID(CELL("filename",C7),FIND("]",CELL("filename",C7))+1,600)</f>
        <v>17</v>
      </c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79"/>
      <c r="AH230" s="179"/>
    </row>
    <row r="231" spans="1:50" x14ac:dyDescent="0.25">
      <c r="A231" s="208" t="s">
        <v>95</v>
      </c>
      <c r="B231" s="208"/>
      <c r="C231" s="179"/>
      <c r="D231" s="118" t="str">
        <f ca="1">"Pie Chart of Daily Peak Demand(Inclusive of Export) of Nepal ("&amp;A4&amp;" "&amp;B4&amp;")"</f>
        <v>Pie Chart of Daily Peak Demand(Inclusive of Export) of Nepal (Nepali Date: 2079/02/17)</v>
      </c>
      <c r="E231" s="179"/>
      <c r="F231" s="179"/>
      <c r="G231" s="118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18" t="str">
        <f ca="1">"Daily Load Curve(Excluding of Export) of Nepal ("&amp;A4&amp;" "&amp;B4&amp;")"</f>
        <v>Daily Load Curve(Excluding of Export) of Nepal (Nepali Date: 2079/02/17)</v>
      </c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  <c r="AE231" s="179"/>
      <c r="AF231" s="179"/>
      <c r="AG231" s="179"/>
      <c r="AH231" s="179"/>
    </row>
    <row r="232" spans="1:50" ht="12.75" customHeight="1" thickBot="1" x14ac:dyDescent="0.3">
      <c r="A232" s="119" t="s">
        <v>7</v>
      </c>
      <c r="B232" s="120"/>
      <c r="C232" s="179"/>
      <c r="D232" s="121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  <c r="AC232" s="179"/>
      <c r="AD232" s="179"/>
      <c r="AE232" s="179"/>
      <c r="AF232" s="179"/>
      <c r="AG232" s="179"/>
      <c r="AH232" s="179"/>
    </row>
    <row r="233" spans="1:50" ht="15.75" thickTop="1" x14ac:dyDescent="0.25">
      <c r="A233" s="119" t="s">
        <v>96</v>
      </c>
      <c r="B233" s="120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22" t="s">
        <v>97</v>
      </c>
      <c r="T233" s="123">
        <v>0</v>
      </c>
      <c r="U233" s="124">
        <v>4.1666666666666664E-2</v>
      </c>
      <c r="V233" s="125">
        <v>8.3333333333333301E-2</v>
      </c>
      <c r="W233" s="125">
        <v>0.125</v>
      </c>
      <c r="X233" s="125">
        <v>0.16666666666666699</v>
      </c>
      <c r="Y233" s="125">
        <v>0.20833333333333301</v>
      </c>
      <c r="Z233" s="125">
        <v>0.22916666666666666</v>
      </c>
      <c r="AA233" s="125">
        <v>0.25</v>
      </c>
      <c r="AB233" s="125">
        <v>0.27083333333333331</v>
      </c>
      <c r="AC233" s="125">
        <v>0.29166666666666669</v>
      </c>
      <c r="AD233" s="125">
        <v>0.3125</v>
      </c>
      <c r="AE233" s="126">
        <v>0.33333333333333331</v>
      </c>
      <c r="AF233" s="126">
        <v>0.375</v>
      </c>
      <c r="AG233" s="126">
        <v>0.41666666666666702</v>
      </c>
      <c r="AH233" s="126">
        <v>0.45833333333333298</v>
      </c>
      <c r="AI233" s="126">
        <v>0.5</v>
      </c>
      <c r="AJ233" s="126">
        <v>0.54166666666666696</v>
      </c>
      <c r="AK233" s="126">
        <v>0.58333333333333304</v>
      </c>
      <c r="AL233" s="126">
        <v>0.625</v>
      </c>
      <c r="AM233" s="126">
        <v>0.66666666666666696</v>
      </c>
      <c r="AN233" s="126">
        <v>0.70833333333333304</v>
      </c>
      <c r="AO233" s="126">
        <v>0.72916666666666663</v>
      </c>
      <c r="AP233" s="126">
        <v>0.75</v>
      </c>
      <c r="AQ233" s="126">
        <v>0.77083333333333337</v>
      </c>
      <c r="AR233" s="126">
        <v>0.79166666666666663</v>
      </c>
      <c r="AS233" s="126">
        <v>0.8125</v>
      </c>
      <c r="AT233" s="125">
        <v>0.83333333333333337</v>
      </c>
      <c r="AU233" s="125">
        <v>0.85416666666666663</v>
      </c>
      <c r="AV233" s="125">
        <v>0.875</v>
      </c>
      <c r="AW233" s="125">
        <v>0.91666666666666696</v>
      </c>
      <c r="AX233" s="125">
        <v>0.95833333333333304</v>
      </c>
    </row>
    <row r="234" spans="1:50" x14ac:dyDescent="0.25">
      <c r="A234" s="119" t="s">
        <v>98</v>
      </c>
      <c r="B234" s="120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 t="s">
        <v>99</v>
      </c>
      <c r="T234" s="127">
        <f t="shared" ref="T234:AX234" si="46">B79</f>
        <v>1635.2399999999998</v>
      </c>
      <c r="U234" s="127">
        <f t="shared" si="46"/>
        <v>1627.04</v>
      </c>
      <c r="V234" s="127">
        <f t="shared" si="46"/>
        <v>1635.74</v>
      </c>
      <c r="W234" s="127">
        <f t="shared" si="46"/>
        <v>1604.44</v>
      </c>
      <c r="X234" s="127">
        <f t="shared" si="46"/>
        <v>1586.3400000000001</v>
      </c>
      <c r="Y234" s="127">
        <f t="shared" si="46"/>
        <v>1584.64</v>
      </c>
      <c r="Z234" s="127">
        <f t="shared" si="46"/>
        <v>1565.64</v>
      </c>
      <c r="AA234" s="127">
        <f t="shared" si="46"/>
        <v>1576.2400000000002</v>
      </c>
      <c r="AB234" s="127">
        <f t="shared" si="46"/>
        <v>1585.2400000000002</v>
      </c>
      <c r="AC234" s="127">
        <f t="shared" si="46"/>
        <v>1638.1399999999999</v>
      </c>
      <c r="AD234" s="127">
        <f t="shared" si="46"/>
        <v>1701.74</v>
      </c>
      <c r="AE234" s="127">
        <f t="shared" si="46"/>
        <v>1746.1399999999999</v>
      </c>
      <c r="AF234" s="127">
        <f t="shared" si="46"/>
        <v>1675.3400000000001</v>
      </c>
      <c r="AG234" s="127">
        <f t="shared" si="46"/>
        <v>1698.9399999999998</v>
      </c>
      <c r="AH234" s="127">
        <f t="shared" si="46"/>
        <v>1719.34</v>
      </c>
      <c r="AI234" s="127">
        <f t="shared" si="46"/>
        <v>1734.2399999999998</v>
      </c>
      <c r="AJ234" s="127">
        <f t="shared" si="46"/>
        <v>1693.8400000000001</v>
      </c>
      <c r="AK234" s="127">
        <f t="shared" si="46"/>
        <v>1729.8400000000001</v>
      </c>
      <c r="AL234" s="127">
        <f t="shared" si="46"/>
        <v>1735.8400000000001</v>
      </c>
      <c r="AM234" s="127">
        <f t="shared" si="46"/>
        <v>1724.14</v>
      </c>
      <c r="AN234" s="127">
        <f t="shared" si="46"/>
        <v>1748.3400000000001</v>
      </c>
      <c r="AO234" s="127">
        <f t="shared" si="46"/>
        <v>1748.3400000000001</v>
      </c>
      <c r="AP234" s="127">
        <f t="shared" si="46"/>
        <v>1748.3400000000001</v>
      </c>
      <c r="AQ234" s="127">
        <f t="shared" si="46"/>
        <v>1751.3400000000001</v>
      </c>
      <c r="AR234" s="127">
        <f t="shared" si="46"/>
        <v>1757.3400000000001</v>
      </c>
      <c r="AS234" s="127">
        <f t="shared" si="46"/>
        <v>1853.64</v>
      </c>
      <c r="AT234" s="127">
        <f t="shared" si="46"/>
        <v>1863.34</v>
      </c>
      <c r="AU234" s="127">
        <f t="shared" si="46"/>
        <v>1863.34</v>
      </c>
      <c r="AV234" s="127">
        <f t="shared" si="46"/>
        <v>1864.34</v>
      </c>
      <c r="AW234" s="127">
        <f t="shared" si="46"/>
        <v>1834.34</v>
      </c>
      <c r="AX234" s="127">
        <f t="shared" si="46"/>
        <v>1742.34</v>
      </c>
    </row>
    <row r="235" spans="1:50" x14ac:dyDescent="0.25">
      <c r="A235" s="119" t="s">
        <v>100</v>
      </c>
      <c r="B235" s="120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  <c r="AC235" s="179"/>
      <c r="AD235" s="179"/>
      <c r="AE235" s="179"/>
      <c r="AF235" s="179"/>
      <c r="AG235" s="179"/>
      <c r="AH235" s="179"/>
    </row>
    <row r="236" spans="1:50" x14ac:dyDescent="0.25">
      <c r="A236" s="119" t="s">
        <v>101</v>
      </c>
      <c r="B236" s="120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79"/>
      <c r="AE236" s="179"/>
      <c r="AF236" s="179"/>
      <c r="AG236" s="179"/>
      <c r="AH236" s="179"/>
    </row>
    <row r="237" spans="1:50" x14ac:dyDescent="0.25">
      <c r="A237" s="119" t="s">
        <v>102</v>
      </c>
      <c r="B237" s="120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  <c r="AE237" s="179"/>
      <c r="AF237" s="179"/>
      <c r="AG237" s="179"/>
      <c r="AH237" s="179"/>
    </row>
    <row r="238" spans="1:50" x14ac:dyDescent="0.25">
      <c r="A238" s="119" t="s">
        <v>103</v>
      </c>
      <c r="B238" s="128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  <c r="AE238" s="179"/>
      <c r="AF238" s="179"/>
      <c r="AG238" s="179"/>
      <c r="AH238" s="179"/>
    </row>
    <row r="239" spans="1:50" x14ac:dyDescent="0.25">
      <c r="A239" s="119" t="s">
        <v>104</v>
      </c>
      <c r="B239" s="120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</row>
    <row r="240" spans="1:50" x14ac:dyDescent="0.25"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  <c r="AD240" s="179"/>
      <c r="AE240" s="179"/>
      <c r="AF240" s="179"/>
      <c r="AG240" s="179"/>
      <c r="AH240" s="179"/>
    </row>
    <row r="241" spans="1:36" x14ac:dyDescent="0.25"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  <c r="AC241" s="179"/>
      <c r="AD241" s="179"/>
      <c r="AE241" s="179"/>
      <c r="AF241" s="179"/>
      <c r="AG241" s="179"/>
      <c r="AH241" s="179"/>
    </row>
    <row r="242" spans="1:36" x14ac:dyDescent="0.25"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  <c r="AC242" s="179"/>
      <c r="AD242" s="179"/>
      <c r="AE242" s="179"/>
      <c r="AF242" s="179"/>
      <c r="AG242" s="179"/>
      <c r="AH242" s="179"/>
    </row>
    <row r="243" spans="1:36" x14ac:dyDescent="0.25"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  <c r="AC243" s="179"/>
      <c r="AD243" s="179"/>
      <c r="AE243" s="179"/>
      <c r="AF243" s="179"/>
      <c r="AG243" s="179"/>
      <c r="AH243" s="179"/>
    </row>
    <row r="244" spans="1:36" x14ac:dyDescent="0.25"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  <c r="AC244" s="179"/>
      <c r="AD244" s="179"/>
      <c r="AE244" s="179"/>
      <c r="AF244" s="179"/>
      <c r="AG244" s="179"/>
      <c r="AH244" s="179"/>
    </row>
    <row r="245" spans="1:36" x14ac:dyDescent="0.25"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  <c r="AG245" s="179"/>
      <c r="AH245" s="179"/>
    </row>
    <row r="246" spans="1:36" x14ac:dyDescent="0.25"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  <c r="AC246" s="179"/>
      <c r="AD246" s="179"/>
      <c r="AE246" s="179"/>
      <c r="AF246" s="179"/>
      <c r="AG246" s="179"/>
      <c r="AH246" s="179"/>
      <c r="AJ246"/>
    </row>
    <row r="247" spans="1:36" x14ac:dyDescent="0.25"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  <c r="AC247" s="179"/>
      <c r="AD247" s="179"/>
      <c r="AE247" s="179"/>
      <c r="AF247" s="179"/>
      <c r="AG247" s="179"/>
      <c r="AH247" s="179"/>
      <c r="AJ247"/>
    </row>
    <row r="248" spans="1:36" x14ac:dyDescent="0.25"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  <c r="AC248" s="179"/>
      <c r="AD248" s="179"/>
      <c r="AE248" s="179"/>
      <c r="AF248" s="179"/>
      <c r="AG248" s="179"/>
      <c r="AH248" s="179"/>
      <c r="AJ248"/>
    </row>
    <row r="249" spans="1:36" x14ac:dyDescent="0.25"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  <c r="AC249" s="179"/>
      <c r="AD249" s="179"/>
      <c r="AE249" s="179"/>
      <c r="AF249" s="179"/>
      <c r="AG249" s="179"/>
      <c r="AH249" s="179"/>
      <c r="AJ249"/>
    </row>
    <row r="250" spans="1:36" x14ac:dyDescent="0.25"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  <c r="AC250" s="179"/>
      <c r="AD250" s="179"/>
      <c r="AE250" s="179"/>
      <c r="AF250" s="179"/>
      <c r="AG250" s="179"/>
      <c r="AH250" s="179"/>
      <c r="AJ250"/>
    </row>
    <row r="251" spans="1:36" x14ac:dyDescent="0.25"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  <c r="AE251" s="179"/>
      <c r="AF251" s="179"/>
      <c r="AG251" s="179"/>
      <c r="AH251" s="179"/>
      <c r="AJ251"/>
    </row>
    <row r="252" spans="1:36" x14ac:dyDescent="0.25"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  <c r="AC252" s="179"/>
      <c r="AD252" s="179"/>
      <c r="AE252" s="179"/>
      <c r="AF252" s="179"/>
      <c r="AG252" s="179"/>
      <c r="AH252" s="179"/>
      <c r="AJ252"/>
    </row>
    <row r="253" spans="1:36" x14ac:dyDescent="0.25"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J253"/>
    </row>
    <row r="254" spans="1:36" x14ac:dyDescent="0.25"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  <c r="AE254" s="179"/>
      <c r="AF254" s="179"/>
      <c r="AG254" s="179"/>
      <c r="AH254" s="179"/>
      <c r="AJ254"/>
    </row>
    <row r="255" spans="1:36" x14ac:dyDescent="0.25">
      <c r="A255" s="129" t="s">
        <v>89</v>
      </c>
      <c r="B255" s="130">
        <f t="shared" ref="B255:AE255" si="47">C219</f>
        <v>0.64</v>
      </c>
      <c r="C255" s="130">
        <f t="shared" si="47"/>
        <v>0.64</v>
      </c>
      <c r="D255" s="130">
        <f t="shared" si="47"/>
        <v>0.64</v>
      </c>
      <c r="E255" s="130">
        <f t="shared" si="47"/>
        <v>0.64</v>
      </c>
      <c r="F255" s="130">
        <f t="shared" si="47"/>
        <v>0.64</v>
      </c>
      <c r="G255" s="130">
        <f t="shared" si="47"/>
        <v>0.64</v>
      </c>
      <c r="H255" s="130">
        <f t="shared" si="47"/>
        <v>0.64</v>
      </c>
      <c r="I255" s="130">
        <f t="shared" si="47"/>
        <v>0.64</v>
      </c>
      <c r="J255" s="130">
        <f t="shared" si="47"/>
        <v>0.64</v>
      </c>
      <c r="K255" s="130">
        <f t="shared" si="47"/>
        <v>0.64</v>
      </c>
      <c r="L255" s="130">
        <f t="shared" si="47"/>
        <v>0.64</v>
      </c>
      <c r="M255" s="130">
        <f t="shared" si="47"/>
        <v>0.64</v>
      </c>
      <c r="N255" s="130">
        <f t="shared" si="47"/>
        <v>0.64</v>
      </c>
      <c r="O255" s="130">
        <f t="shared" si="47"/>
        <v>0.64</v>
      </c>
      <c r="P255" s="130">
        <f t="shared" si="47"/>
        <v>0</v>
      </c>
      <c r="Q255" s="130">
        <f t="shared" si="47"/>
        <v>0</v>
      </c>
      <c r="R255" s="130">
        <f t="shared" si="47"/>
        <v>0</v>
      </c>
      <c r="S255" s="130">
        <f t="shared" si="47"/>
        <v>0</v>
      </c>
      <c r="T255" s="130">
        <f t="shared" si="47"/>
        <v>0</v>
      </c>
      <c r="U255" s="130">
        <f t="shared" si="47"/>
        <v>0</v>
      </c>
      <c r="V255" s="130">
        <f t="shared" si="47"/>
        <v>0</v>
      </c>
      <c r="W255" s="130">
        <f t="shared" si="47"/>
        <v>0</v>
      </c>
      <c r="X255" s="130">
        <f t="shared" si="47"/>
        <v>0</v>
      </c>
      <c r="Y255" s="130">
        <f t="shared" si="47"/>
        <v>0</v>
      </c>
      <c r="Z255" s="130">
        <f t="shared" si="47"/>
        <v>0</v>
      </c>
      <c r="AA255" s="130">
        <f t="shared" si="47"/>
        <v>0</v>
      </c>
      <c r="AB255" s="130">
        <f t="shared" si="47"/>
        <v>0</v>
      </c>
      <c r="AC255" s="130">
        <f t="shared" si="47"/>
        <v>0</v>
      </c>
      <c r="AD255" s="130">
        <f t="shared" si="47"/>
        <v>0</v>
      </c>
      <c r="AE255" s="130">
        <f t="shared" si="47"/>
        <v>0</v>
      </c>
      <c r="AF255" s="130">
        <f>B219</f>
        <v>0</v>
      </c>
      <c r="AG255" s="179"/>
      <c r="AH255" s="179"/>
      <c r="AJ255"/>
    </row>
    <row r="256" spans="1:36" x14ac:dyDescent="0.25">
      <c r="A256" s="88" t="str">
        <f>A223</f>
        <v>KGA</v>
      </c>
      <c r="B256" s="88" t="str">
        <f>IF(B223&lt;100,"",B223-520)</f>
        <v/>
      </c>
      <c r="C256" s="88" t="str">
        <f t="shared" ref="C256:AF256" si="48">IF(C223&lt;100,"",C223-520)</f>
        <v/>
      </c>
      <c r="D256" s="88" t="str">
        <f t="shared" si="48"/>
        <v/>
      </c>
      <c r="E256" s="88" t="str">
        <f t="shared" si="48"/>
        <v/>
      </c>
      <c r="F256" s="88" t="str">
        <f t="shared" si="48"/>
        <v/>
      </c>
      <c r="G256" s="88" t="str">
        <f t="shared" si="48"/>
        <v/>
      </c>
      <c r="H256" s="88" t="str">
        <f t="shared" si="48"/>
        <v/>
      </c>
      <c r="I256" s="88" t="str">
        <f t="shared" si="48"/>
        <v/>
      </c>
      <c r="J256" s="88" t="str">
        <f t="shared" si="48"/>
        <v/>
      </c>
      <c r="K256" s="88" t="str">
        <f t="shared" si="48"/>
        <v/>
      </c>
      <c r="L256" s="88" t="str">
        <f t="shared" si="48"/>
        <v/>
      </c>
      <c r="M256" s="88" t="str">
        <f t="shared" si="48"/>
        <v/>
      </c>
      <c r="N256" s="88" t="str">
        <f t="shared" si="48"/>
        <v/>
      </c>
      <c r="O256" s="88" t="str">
        <f t="shared" si="48"/>
        <v/>
      </c>
      <c r="P256" s="88" t="str">
        <f t="shared" si="48"/>
        <v/>
      </c>
      <c r="Q256" s="88" t="str">
        <f t="shared" si="48"/>
        <v/>
      </c>
      <c r="R256" s="88" t="str">
        <f t="shared" si="48"/>
        <v/>
      </c>
      <c r="S256" s="88" t="str">
        <f t="shared" si="48"/>
        <v/>
      </c>
      <c r="T256" s="88" t="str">
        <f t="shared" si="48"/>
        <v/>
      </c>
      <c r="U256" s="88" t="str">
        <f t="shared" si="48"/>
        <v/>
      </c>
      <c r="V256" s="88" t="str">
        <f t="shared" si="48"/>
        <v/>
      </c>
      <c r="W256" s="88" t="str">
        <f t="shared" si="48"/>
        <v/>
      </c>
      <c r="X256" s="88" t="str">
        <f t="shared" si="48"/>
        <v/>
      </c>
      <c r="Y256" s="88" t="str">
        <f t="shared" si="48"/>
        <v/>
      </c>
      <c r="Z256" s="88" t="str">
        <f t="shared" si="48"/>
        <v/>
      </c>
      <c r="AA256" s="88" t="str">
        <f t="shared" si="48"/>
        <v/>
      </c>
      <c r="AB256" s="88" t="str">
        <f t="shared" si="48"/>
        <v/>
      </c>
      <c r="AC256" s="88" t="str">
        <f t="shared" si="48"/>
        <v/>
      </c>
      <c r="AD256" s="88" t="str">
        <f t="shared" si="48"/>
        <v/>
      </c>
      <c r="AE256" s="88" t="str">
        <f t="shared" si="48"/>
        <v/>
      </c>
      <c r="AF256" s="88" t="str">
        <f t="shared" si="48"/>
        <v/>
      </c>
      <c r="AG256" s="179"/>
      <c r="AH256" s="179"/>
      <c r="AJ256"/>
    </row>
    <row r="257" spans="1:36" x14ac:dyDescent="0.25">
      <c r="A257" s="88" t="str">
        <f>A224</f>
        <v>MMRS</v>
      </c>
      <c r="B257" s="88" t="str">
        <f t="shared" ref="B257:AF257" si="49">IF(B224&lt;100,"",B224-620)</f>
        <v/>
      </c>
      <c r="C257" s="88" t="str">
        <f t="shared" si="49"/>
        <v/>
      </c>
      <c r="D257" s="88" t="str">
        <f t="shared" si="49"/>
        <v/>
      </c>
      <c r="E257" s="88" t="str">
        <f t="shared" si="49"/>
        <v/>
      </c>
      <c r="F257" s="88" t="str">
        <f t="shared" si="49"/>
        <v/>
      </c>
      <c r="G257" s="88" t="str">
        <f t="shared" si="49"/>
        <v/>
      </c>
      <c r="H257" s="88" t="str">
        <f t="shared" si="49"/>
        <v/>
      </c>
      <c r="I257" s="88" t="str">
        <f t="shared" si="49"/>
        <v/>
      </c>
      <c r="J257" s="88" t="str">
        <f t="shared" si="49"/>
        <v/>
      </c>
      <c r="K257" s="88" t="str">
        <f t="shared" si="49"/>
        <v/>
      </c>
      <c r="L257" s="88" t="str">
        <f t="shared" si="49"/>
        <v/>
      </c>
      <c r="M257" s="88" t="str">
        <f t="shared" si="49"/>
        <v/>
      </c>
      <c r="N257" s="88" t="str">
        <f t="shared" si="49"/>
        <v/>
      </c>
      <c r="O257" s="88" t="str">
        <f t="shared" si="49"/>
        <v/>
      </c>
      <c r="P257" s="88" t="str">
        <f t="shared" si="49"/>
        <v/>
      </c>
      <c r="Q257" s="88" t="str">
        <f t="shared" si="49"/>
        <v/>
      </c>
      <c r="R257" s="88" t="str">
        <f t="shared" si="49"/>
        <v/>
      </c>
      <c r="S257" s="88" t="str">
        <f t="shared" si="49"/>
        <v/>
      </c>
      <c r="T257" s="88" t="str">
        <f t="shared" si="49"/>
        <v/>
      </c>
      <c r="U257" s="88" t="str">
        <f t="shared" si="49"/>
        <v/>
      </c>
      <c r="V257" s="88" t="str">
        <f t="shared" si="49"/>
        <v/>
      </c>
      <c r="W257" s="88" t="str">
        <f t="shared" si="49"/>
        <v/>
      </c>
      <c r="X257" s="88" t="str">
        <f t="shared" si="49"/>
        <v/>
      </c>
      <c r="Y257" s="88" t="str">
        <f t="shared" si="49"/>
        <v/>
      </c>
      <c r="Z257" s="88" t="str">
        <f t="shared" si="49"/>
        <v/>
      </c>
      <c r="AA257" s="88" t="str">
        <f t="shared" si="49"/>
        <v/>
      </c>
      <c r="AB257" s="88" t="str">
        <f t="shared" si="49"/>
        <v/>
      </c>
      <c r="AC257" s="88" t="str">
        <f t="shared" si="49"/>
        <v/>
      </c>
      <c r="AD257" s="88" t="str">
        <f t="shared" si="49"/>
        <v/>
      </c>
      <c r="AE257" s="88" t="str">
        <f t="shared" si="49"/>
        <v/>
      </c>
      <c r="AF257" s="88" t="str">
        <f t="shared" si="49"/>
        <v/>
      </c>
      <c r="AG257" s="179"/>
      <c r="AH257" s="179"/>
      <c r="AJ257"/>
    </row>
    <row r="258" spans="1:36" x14ac:dyDescent="0.25">
      <c r="A258" s="88" t="str">
        <f>A225</f>
        <v>MRS</v>
      </c>
      <c r="B258" s="88" t="str">
        <f t="shared" ref="B258:AF258" si="50">IF(B225&lt;100,"",B225-330)</f>
        <v/>
      </c>
      <c r="C258" s="88" t="str">
        <f t="shared" si="50"/>
        <v/>
      </c>
      <c r="D258" s="88" t="str">
        <f t="shared" si="50"/>
        <v/>
      </c>
      <c r="E258" s="88" t="str">
        <f t="shared" si="50"/>
        <v/>
      </c>
      <c r="F258" s="88" t="str">
        <f t="shared" si="50"/>
        <v/>
      </c>
      <c r="G258" s="88" t="str">
        <f t="shared" si="50"/>
        <v/>
      </c>
      <c r="H258" s="88" t="str">
        <f t="shared" si="50"/>
        <v/>
      </c>
      <c r="I258" s="88" t="str">
        <f t="shared" si="50"/>
        <v/>
      </c>
      <c r="J258" s="88" t="str">
        <f t="shared" si="50"/>
        <v/>
      </c>
      <c r="K258" s="88" t="str">
        <f t="shared" si="50"/>
        <v/>
      </c>
      <c r="L258" s="88" t="str">
        <f t="shared" si="50"/>
        <v/>
      </c>
      <c r="M258" s="88" t="str">
        <f t="shared" si="50"/>
        <v/>
      </c>
      <c r="N258" s="88" t="str">
        <f t="shared" si="50"/>
        <v/>
      </c>
      <c r="O258" s="88" t="str">
        <f t="shared" si="50"/>
        <v/>
      </c>
      <c r="P258" s="88" t="str">
        <f t="shared" si="50"/>
        <v/>
      </c>
      <c r="Q258" s="88" t="str">
        <f t="shared" si="50"/>
        <v/>
      </c>
      <c r="R258" s="88" t="str">
        <f t="shared" si="50"/>
        <v/>
      </c>
      <c r="S258" s="88" t="str">
        <f t="shared" si="50"/>
        <v/>
      </c>
      <c r="T258" s="88" t="str">
        <f t="shared" si="50"/>
        <v/>
      </c>
      <c r="U258" s="88" t="str">
        <f t="shared" si="50"/>
        <v/>
      </c>
      <c r="V258" s="88" t="str">
        <f t="shared" si="50"/>
        <v/>
      </c>
      <c r="W258" s="88" t="str">
        <f t="shared" si="50"/>
        <v/>
      </c>
      <c r="X258" s="88" t="str">
        <f t="shared" si="50"/>
        <v/>
      </c>
      <c r="Y258" s="88" t="str">
        <f t="shared" si="50"/>
        <v/>
      </c>
      <c r="Z258" s="88" t="str">
        <f t="shared" si="50"/>
        <v/>
      </c>
      <c r="AA258" s="88" t="str">
        <f t="shared" si="50"/>
        <v/>
      </c>
      <c r="AB258" s="88" t="str">
        <f t="shared" si="50"/>
        <v/>
      </c>
      <c r="AC258" s="88" t="str">
        <f t="shared" si="50"/>
        <v/>
      </c>
      <c r="AD258" s="88" t="str">
        <f t="shared" si="50"/>
        <v/>
      </c>
      <c r="AE258" s="88" t="str">
        <f t="shared" si="50"/>
        <v/>
      </c>
      <c r="AF258" s="88" t="str">
        <f t="shared" si="50"/>
        <v/>
      </c>
      <c r="AG258" s="179"/>
      <c r="AH258" s="179"/>
      <c r="AJ258"/>
    </row>
    <row r="259" spans="1:36" x14ac:dyDescent="0.25">
      <c r="A259" s="88" t="str">
        <f>A226</f>
        <v>KL 1</v>
      </c>
      <c r="B259" s="88" t="str">
        <f>IF(B226&lt;100,"",B226-1500)</f>
        <v/>
      </c>
      <c r="C259" s="88" t="str">
        <f t="shared" ref="C259:AF259" si="51">IF(C226&lt;100,"",C226-1500)</f>
        <v/>
      </c>
      <c r="D259" s="88" t="str">
        <f t="shared" si="51"/>
        <v/>
      </c>
      <c r="E259" s="88" t="str">
        <f t="shared" si="51"/>
        <v/>
      </c>
      <c r="F259" s="88" t="str">
        <f t="shared" si="51"/>
        <v/>
      </c>
      <c r="G259" s="88" t="str">
        <f t="shared" si="51"/>
        <v/>
      </c>
      <c r="H259" s="88" t="str">
        <f t="shared" si="51"/>
        <v/>
      </c>
      <c r="I259" s="88" t="str">
        <f t="shared" si="51"/>
        <v/>
      </c>
      <c r="J259" s="88" t="str">
        <f t="shared" si="51"/>
        <v/>
      </c>
      <c r="K259" s="88" t="str">
        <f t="shared" si="51"/>
        <v/>
      </c>
      <c r="L259" s="88" t="str">
        <f t="shared" si="51"/>
        <v/>
      </c>
      <c r="M259" s="88" t="str">
        <f t="shared" si="51"/>
        <v/>
      </c>
      <c r="N259" s="88" t="str">
        <f t="shared" si="51"/>
        <v/>
      </c>
      <c r="O259" s="88" t="str">
        <f t="shared" si="51"/>
        <v/>
      </c>
      <c r="P259" s="88" t="str">
        <f t="shared" si="51"/>
        <v/>
      </c>
      <c r="Q259" s="88" t="str">
        <f t="shared" si="51"/>
        <v/>
      </c>
      <c r="R259" s="88" t="str">
        <f t="shared" si="51"/>
        <v/>
      </c>
      <c r="S259" s="88" t="str">
        <f t="shared" si="51"/>
        <v/>
      </c>
      <c r="T259" s="88" t="str">
        <f t="shared" si="51"/>
        <v/>
      </c>
      <c r="U259" s="88" t="str">
        <f t="shared" si="51"/>
        <v/>
      </c>
      <c r="V259" s="88" t="str">
        <f t="shared" si="51"/>
        <v/>
      </c>
      <c r="W259" s="88" t="str">
        <f t="shared" si="51"/>
        <v/>
      </c>
      <c r="X259" s="88" t="str">
        <f t="shared" si="51"/>
        <v/>
      </c>
      <c r="Y259" s="88" t="str">
        <f t="shared" si="51"/>
        <v/>
      </c>
      <c r="Z259" s="88" t="str">
        <f t="shared" si="51"/>
        <v/>
      </c>
      <c r="AA259" s="88" t="str">
        <f t="shared" si="51"/>
        <v/>
      </c>
      <c r="AB259" s="88" t="str">
        <f t="shared" si="51"/>
        <v/>
      </c>
      <c r="AC259" s="88" t="str">
        <f t="shared" si="51"/>
        <v/>
      </c>
      <c r="AD259" s="88" t="str">
        <f t="shared" si="51"/>
        <v/>
      </c>
      <c r="AE259" s="88" t="str">
        <f t="shared" si="51"/>
        <v/>
      </c>
      <c r="AF259" s="88" t="str">
        <f t="shared" si="51"/>
        <v/>
      </c>
      <c r="AG259" s="179"/>
      <c r="AH259" s="179"/>
      <c r="AJ259"/>
    </row>
    <row r="260" spans="1:36" x14ac:dyDescent="0.25"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  <c r="AC260" s="179"/>
      <c r="AD260" s="179"/>
      <c r="AE260" s="179"/>
      <c r="AF260" s="179"/>
      <c r="AG260" s="179"/>
      <c r="AH260" s="179"/>
      <c r="AJ260"/>
    </row>
    <row r="261" spans="1:36" x14ac:dyDescent="0.25"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  <c r="AJ261"/>
    </row>
    <row r="262" spans="1:36" x14ac:dyDescent="0.25"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  <c r="AE262" s="179"/>
      <c r="AF262" s="179"/>
      <c r="AG262" s="179"/>
      <c r="AH262" s="179"/>
      <c r="AJ262"/>
    </row>
    <row r="263" spans="1:36" x14ac:dyDescent="0.25"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  <c r="AC263" s="179"/>
      <c r="AD263" s="179"/>
      <c r="AE263" s="179"/>
      <c r="AF263" s="179"/>
      <c r="AG263" s="179"/>
      <c r="AH263" s="179"/>
      <c r="AJ263"/>
    </row>
    <row r="264" spans="1:36" x14ac:dyDescent="0.25"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  <c r="AC264" s="179"/>
      <c r="AD264" s="179"/>
      <c r="AE264" s="179"/>
      <c r="AF264" s="179"/>
      <c r="AG264" s="179"/>
      <c r="AH264" s="179"/>
      <c r="AJ264"/>
    </row>
    <row r="265" spans="1:36" x14ac:dyDescent="0.25"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  <c r="AC265" s="179"/>
      <c r="AD265" s="179"/>
      <c r="AE265" s="179"/>
      <c r="AF265" s="179"/>
      <c r="AG265" s="179"/>
      <c r="AH265" s="179"/>
      <c r="AJ265"/>
    </row>
    <row r="266" spans="1:36" x14ac:dyDescent="0.25"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  <c r="AC266" s="179"/>
      <c r="AD266" s="179"/>
      <c r="AE266" s="179"/>
      <c r="AF266" s="179"/>
      <c r="AJ266"/>
    </row>
    <row r="490" spans="36:38" x14ac:dyDescent="0.25">
      <c r="AK490" s="1"/>
    </row>
    <row r="491" spans="36:38" x14ac:dyDescent="0.25">
      <c r="AK491" s="1"/>
      <c r="AL491" s="1"/>
    </row>
    <row r="492" spans="36:38" x14ac:dyDescent="0.25">
      <c r="AJ49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1:B23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28">
      <iconSet iconSet="3TrafficLights2" reverse="1">
        <cfvo type="percent" val="0"/>
        <cfvo type="num" val="1"/>
        <cfvo type="num" val="1"/>
      </iconSet>
    </cfRule>
  </conditionalFormatting>
  <conditionalFormatting sqref="D214:AF220 B214:B220 B212:AF212 U233:AF233 C99:AF105 B9:AF10 AA11:AF11">
    <cfRule type="expression" dxfId="3580" priority="224">
      <formula>B$9&gt;=20/24</formula>
    </cfRule>
    <cfRule type="expression" dxfId="3579" priority="225">
      <formula>AND(B$9&gt;=14/24,B$9&lt;20/24)</formula>
    </cfRule>
    <cfRule type="expression" dxfId="3578" priority="226">
      <formula>AND(B$9&gt;=8/24,B$9&lt;14/24)</formula>
    </cfRule>
    <cfRule type="expression" dxfId="3577" priority="227">
      <formula>B$9&lt;8/24</formula>
    </cfRule>
  </conditionalFormatting>
  <conditionalFormatting sqref="AL4:AL6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V37:AF37">
    <cfRule type="expression" dxfId="3576" priority="219">
      <formula>V$9&gt;=20/24</formula>
    </cfRule>
    <cfRule type="expression" dxfId="3575" priority="220">
      <formula>AND(V$9&gt;=14/24,V$9&lt;20/24)</formula>
    </cfRule>
    <cfRule type="expression" dxfId="3574" priority="221">
      <formula>AND(V$9&gt;=8/24,V$9&lt;14/24)</formula>
    </cfRule>
    <cfRule type="expression" dxfId="3573" priority="222">
      <formula>V$9&lt;8/24</formula>
    </cfRule>
  </conditionalFormatting>
  <conditionalFormatting sqref="AG55 B12:B16 C11:E16 K11:Z11 F16:Z16 AA11:AF16 V37:AF37 B35:AF35">
    <cfRule type="expression" dxfId="3572" priority="218">
      <formula>B11&gt;$AG11</formula>
    </cfRule>
  </conditionalFormatting>
  <conditionalFormatting sqref="A89:A102 A11:A14 A49:A76 A85:A87 A190:A220 A16:A30 A36:A47 A106:A177 A32:A33 A81:A83 A78:A79">
    <cfRule type="expression" dxfId="3571" priority="217">
      <formula>$AH11=0</formula>
    </cfRule>
  </conditionalFormatting>
  <conditionalFormatting sqref="A103">
    <cfRule type="expression" dxfId="3570" priority="216">
      <formula>$AH103=0</formula>
    </cfRule>
  </conditionalFormatting>
  <conditionalFormatting sqref="AL3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3569" priority="214">
      <formula>$AH35=0</formula>
    </cfRule>
  </conditionalFormatting>
  <conditionalFormatting sqref="A88">
    <cfRule type="expression" dxfId="3568" priority="213">
      <formula>$AH88=0</formula>
    </cfRule>
  </conditionalFormatting>
  <conditionalFormatting sqref="A15">
    <cfRule type="expression" dxfId="3567" priority="212">
      <formula>$AH15=0</formula>
    </cfRule>
  </conditionalFormatting>
  <conditionalFormatting sqref="A184:A189">
    <cfRule type="expression" dxfId="3566" priority="211">
      <formula>$AH184=0</formula>
    </cfRule>
  </conditionalFormatting>
  <conditionalFormatting sqref="A178:A183">
    <cfRule type="expression" dxfId="3565" priority="210">
      <formula>$AH178=0</formula>
    </cfRule>
  </conditionalFormatting>
  <conditionalFormatting sqref="A48">
    <cfRule type="expression" dxfId="3564" priority="209">
      <formula>$AH48=0</formula>
    </cfRule>
  </conditionalFormatting>
  <conditionalFormatting sqref="A84">
    <cfRule type="expression" dxfId="3563" priority="208">
      <formula>$AH84=0</formula>
    </cfRule>
  </conditionalFormatting>
  <conditionalFormatting sqref="C89:AF89">
    <cfRule type="expression" dxfId="3562" priority="204">
      <formula>C$9&gt;=20/24</formula>
    </cfRule>
    <cfRule type="expression" dxfId="3561" priority="205">
      <formula>AND(C$9&gt;=14/24,C$9&lt;20/24)</formula>
    </cfRule>
    <cfRule type="expression" dxfId="3560" priority="206">
      <formula>AND(C$9&gt;=8/24,C$9&lt;14/24)</formula>
    </cfRule>
    <cfRule type="expression" dxfId="3559" priority="207">
      <formula>C$9&lt;8/24</formula>
    </cfRule>
  </conditionalFormatting>
  <conditionalFormatting sqref="AL34">
    <cfRule type="iconSet" priority="20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558" priority="230">
      <formula>C$9&gt;=20/24</formula>
    </cfRule>
    <cfRule type="expression" dxfId="3557" priority="231">
      <formula>AND(C$9&gt;=14/24,C$9&lt;20/24)</formula>
    </cfRule>
    <cfRule type="expression" dxfId="3556" priority="232">
      <formula>AND(C$9&gt;=8/24,C$9&lt;14/24)</formula>
    </cfRule>
    <cfRule type="expression" dxfId="3555" priority="233">
      <formula>C$9&lt;8/24</formula>
    </cfRule>
  </conditionalFormatting>
  <conditionalFormatting sqref="A221">
    <cfRule type="expression" dxfId="3554" priority="234">
      <formula>$AH221=0</formula>
    </cfRule>
  </conditionalFormatting>
  <conditionalFormatting sqref="AG233">
    <cfRule type="expression" dxfId="3553" priority="235">
      <formula>B$9&gt;=20/24</formula>
    </cfRule>
    <cfRule type="expression" dxfId="3552" priority="236">
      <formula>AND(B$9&gt;=14/24,B$9&lt;20/24)</formula>
    </cfRule>
    <cfRule type="expression" dxfId="3551" priority="237">
      <formula>AND(B$9&gt;=8/24,B$9&lt;14/24)</formula>
    </cfRule>
    <cfRule type="expression" dxfId="3550" priority="238">
      <formula>B$9&lt;8/24</formula>
    </cfRule>
  </conditionalFormatting>
  <conditionalFormatting sqref="S8">
    <cfRule type="expression" dxfId="3549" priority="199">
      <formula>U$9&gt;=20/24</formula>
    </cfRule>
    <cfRule type="expression" dxfId="3548" priority="200">
      <formula>AND(U$9&gt;=14/24,U$9&lt;20/24)</formula>
    </cfRule>
    <cfRule type="expression" dxfId="3547" priority="201">
      <formula>AND(U$9&gt;=8/24,U$9&lt;14/24)</formula>
    </cfRule>
    <cfRule type="expression" dxfId="3546" priority="202">
      <formula>U$9&lt;8/24</formula>
    </cfRule>
  </conditionalFormatting>
  <conditionalFormatting sqref="AB8">
    <cfRule type="expression" dxfId="3545" priority="195">
      <formula>AD$9&gt;=20/24</formula>
    </cfRule>
    <cfRule type="expression" dxfId="3544" priority="196">
      <formula>AND(AD$9&gt;=14/24,AD$9&lt;20/24)</formula>
    </cfRule>
    <cfRule type="expression" dxfId="3543" priority="197">
      <formula>AND(AD$9&gt;=8/24,AD$9&lt;14/24)</formula>
    </cfRule>
    <cfRule type="expression" dxfId="3542" priority="198">
      <formula>AD$9&lt;8/24</formula>
    </cfRule>
  </conditionalFormatting>
  <conditionalFormatting sqref="AH233:AX233">
    <cfRule type="expression" dxfId="3541" priority="239">
      <formula>AG$9&gt;=20/24</formula>
    </cfRule>
    <cfRule type="expression" dxfId="3540" priority="240">
      <formula>AND(AG$9&gt;=14/24,AG$9&lt;20/24)</formula>
    </cfRule>
    <cfRule type="expression" dxfId="3539" priority="241">
      <formula>AND(AG$9&gt;=8/24,AG$9&lt;14/24)</formula>
    </cfRule>
    <cfRule type="expression" dxfId="3538" priority="242">
      <formula>AG$9&lt;8/24</formula>
    </cfRule>
  </conditionalFormatting>
  <conditionalFormatting sqref="T233">
    <cfRule type="expression" dxfId="3537" priority="243">
      <formula>AX$9&gt;=20/24</formula>
    </cfRule>
    <cfRule type="expression" dxfId="3536" priority="244">
      <formula>AND(AX$9&gt;=14/24,AX$9&lt;20/24)</formula>
    </cfRule>
    <cfRule type="expression" dxfId="3535" priority="245">
      <formula>AND(AX$9&gt;=8/24,AX$9&lt;14/24)</formula>
    </cfRule>
    <cfRule type="expression" dxfId="3534" priority="246">
      <formula>AX$9&lt;8/24</formula>
    </cfRule>
  </conditionalFormatting>
  <conditionalFormatting sqref="A104:A105">
    <cfRule type="expression" dxfId="3533" priority="194">
      <formula>$AH104=0</formula>
    </cfRule>
  </conditionalFormatting>
  <conditionalFormatting sqref="E44:L45 F11:J11 C61:AF61 AA36:AF36 AA44:AF45">
    <cfRule type="expression" dxfId="3532" priority="190">
      <formula>C$9&gt;=20/24</formula>
    </cfRule>
    <cfRule type="expression" dxfId="3531" priority="191">
      <formula>AND(C$9&gt;=14/24,C$9&lt;20/24)</formula>
    </cfRule>
    <cfRule type="expression" dxfId="3530" priority="192">
      <formula>AND(C$9&gt;=8/24,C$9&lt;14/24)</formula>
    </cfRule>
    <cfRule type="expression" dxfId="3529" priority="193">
      <formula>C$9&lt;8/24</formula>
    </cfRule>
  </conditionalFormatting>
  <conditionalFormatting sqref="E43:L43 AA43:AF43">
    <cfRule type="expression" dxfId="3528" priority="186">
      <formula>E$9&gt;=20/24</formula>
    </cfRule>
    <cfRule type="expression" dxfId="3527" priority="187">
      <formula>AND(E$9&gt;=14/24,E$9&lt;20/24)</formula>
    </cfRule>
    <cfRule type="expression" dxfId="3526" priority="188">
      <formula>AND(E$9&gt;=8/24,E$9&lt;14/24)</formula>
    </cfRule>
    <cfRule type="expression" dxfId="3525" priority="189">
      <formula>E$9&lt;8/24</formula>
    </cfRule>
  </conditionalFormatting>
  <conditionalFormatting sqref="E43:L45 F11:J11 AA36:AF36 AA43:AF45">
    <cfRule type="expression" dxfId="3524" priority="185">
      <formula>E11&gt;$AG11</formula>
    </cfRule>
  </conditionalFormatting>
  <conditionalFormatting sqref="C86:AF86 C62:S63 C76:AF76 M68:M70 N66:O71 M37:P37 F73:AF75 K64:R64 K65:O65 K66:M67 F71:M71 F64:J67 F36:P36 P65:R71 S64:S71 Q36:U37 V25:Z25 R29:Z29 V36:Z36 C90:AF96 C57:AF59 AA16:AF16 AA18:AF22 AA32:AF32 AA28:AF30 AA24:AF26 F12:AF14 T62:AF71">
    <cfRule type="expression" dxfId="3523" priority="181">
      <formula>C$9&gt;=20/24</formula>
    </cfRule>
    <cfRule type="expression" dxfId="3522" priority="182">
      <formula>AND(C$9&gt;=14/24,C$9&lt;20/24)</formula>
    </cfRule>
    <cfRule type="expression" dxfId="3521" priority="183">
      <formula>AND(C$9&gt;=8/24,C$9&lt;14/24)</formula>
    </cfRule>
    <cfRule type="expression" dxfId="3520" priority="184">
      <formula>C$9&lt;8/24</formula>
    </cfRule>
  </conditionalFormatting>
  <conditionalFormatting sqref="AA33:AF33">
    <cfRule type="expression" dxfId="3519" priority="177">
      <formula>AA$9&gt;=20/24</formula>
    </cfRule>
    <cfRule type="expression" dxfId="3518" priority="178">
      <formula>AND(AA$9&gt;=14/24,AA$9&lt;20/24)</formula>
    </cfRule>
    <cfRule type="expression" dxfId="3517" priority="179">
      <formula>AND(AA$9&gt;=8/24,AA$9&lt;14/24)</formula>
    </cfRule>
    <cfRule type="expression" dxfId="3516" priority="180">
      <formula>AA$9&lt;8/24</formula>
    </cfRule>
  </conditionalFormatting>
  <conditionalFormatting sqref="C55:AF55 C37:P37 E46:K47 F48:K48 L46:L48 F36:P36 Q36:U37 V25:Z25 F12:Z15 R29:Z29 V36:Z36 C57:AF59 AA18:AF22 AA32:AF33 AA24:AF30">
    <cfRule type="expression" dxfId="3515" priority="176">
      <formula>C12&gt;$AG12</formula>
    </cfRule>
  </conditionalFormatting>
  <conditionalFormatting sqref="AA35:AF35">
    <cfRule type="expression" dxfId="3514" priority="172">
      <formula>AA$9&gt;=20/24</formula>
    </cfRule>
    <cfRule type="expression" dxfId="3513" priority="173">
      <formula>AND(AA$9&gt;=14/24,AA$9&lt;20/24)</formula>
    </cfRule>
    <cfRule type="expression" dxfId="3512" priority="174">
      <formula>AND(AA$9&gt;=8/24,AA$9&lt;14/24)</formula>
    </cfRule>
    <cfRule type="expression" dxfId="3511" priority="175">
      <formula>AA$9&lt;8/24</formula>
    </cfRule>
  </conditionalFormatting>
  <conditionalFormatting sqref="F15:AF15">
    <cfRule type="expression" dxfId="3510" priority="168">
      <formula>F$9&gt;=20/24</formula>
    </cfRule>
    <cfRule type="expression" dxfId="3509" priority="169">
      <formula>AND(F$9&gt;=14/24,F$9&lt;20/24)</formula>
    </cfRule>
    <cfRule type="expression" dxfId="3508" priority="170">
      <formula>AND(F$9&gt;=8/24,F$9&lt;14/24)</formula>
    </cfRule>
    <cfRule type="expression" dxfId="3507" priority="171">
      <formula>F$9&lt;8/24</formula>
    </cfRule>
  </conditionalFormatting>
  <conditionalFormatting sqref="AA34:AF34">
    <cfRule type="expression" dxfId="3506" priority="164">
      <formula>AA$9&gt;=20/24</formula>
    </cfRule>
    <cfRule type="expression" dxfId="3505" priority="165">
      <formula>AND(AA$9&gt;=14/24,AA$9&lt;20/24)</formula>
    </cfRule>
    <cfRule type="expression" dxfId="3504" priority="166">
      <formula>AND(AA$9&gt;=8/24,AA$9&lt;14/24)</formula>
    </cfRule>
    <cfRule type="expression" dxfId="3503" priority="167">
      <formula>AA$9&lt;8/24</formula>
    </cfRule>
  </conditionalFormatting>
  <conditionalFormatting sqref="AA34:AF34">
    <cfRule type="expression" dxfId="3502" priority="163">
      <formula>AA34&gt;$AG34</formula>
    </cfRule>
  </conditionalFormatting>
  <conditionalFormatting sqref="AA46:AF47">
    <cfRule type="expression" dxfId="3501" priority="155">
      <formula>AA$9&gt;=20/24</formula>
    </cfRule>
    <cfRule type="expression" dxfId="3500" priority="156">
      <formula>AND(AA$9&gt;=14/24,AA$9&lt;20/24)</formula>
    </cfRule>
    <cfRule type="expression" dxfId="3499" priority="157">
      <formula>AND(AA$9&gt;=8/24,AA$9&lt;14/24)</formula>
    </cfRule>
    <cfRule type="expression" dxfId="3498" priority="158">
      <formula>AA$9&lt;8/24</formula>
    </cfRule>
  </conditionalFormatting>
  <conditionalFormatting sqref="AA46:AF47">
    <cfRule type="expression" dxfId="3497" priority="154">
      <formula>AA46&gt;$AG46</formula>
    </cfRule>
  </conditionalFormatting>
  <conditionalFormatting sqref="M43:Z54 AA48:AF54">
    <cfRule type="expression" dxfId="3496" priority="150">
      <formula>M$9&gt;=20/24</formula>
    </cfRule>
    <cfRule type="expression" dxfId="3495" priority="151">
      <formula>AND(M$9&gt;=14/24,M$9&lt;20/24)</formula>
    </cfRule>
    <cfRule type="expression" dxfId="3494" priority="152">
      <formula>AND(M$9&gt;=8/24,M$9&lt;14/24)</formula>
    </cfRule>
    <cfRule type="expression" dxfId="3493" priority="153">
      <formula>M$9&lt;8/24</formula>
    </cfRule>
  </conditionalFormatting>
  <conditionalFormatting sqref="M43:Z54 AA48:AF54">
    <cfRule type="expression" dxfId="3492" priority="149">
      <formula>M43&gt;$AG43</formula>
    </cfRule>
  </conditionalFormatting>
  <conditionalFormatting sqref="AA27:AF27">
    <cfRule type="expression" dxfId="3491" priority="145">
      <formula>AA$9&gt;=20/24</formula>
    </cfRule>
    <cfRule type="expression" dxfId="3490" priority="146">
      <formula>AND(AA$9&gt;=14/24,AA$9&lt;20/24)</formula>
    </cfRule>
    <cfRule type="expression" dxfId="3489" priority="147">
      <formula>AND(AA$9&gt;=8/24,AA$9&lt;14/24)</formula>
    </cfRule>
    <cfRule type="expression" dxfId="3488" priority="148">
      <formula>AA$9&lt;8/24</formula>
    </cfRule>
  </conditionalFormatting>
  <conditionalFormatting sqref="C11:E14 F23:J30 C23:E25 C16:J22 K16:Q30 R16:U28 V16:Z24 V26:Z28 B32:Z32 R30:Z30 AA23:AF23 AA17:AF17">
    <cfRule type="expression" dxfId="3487" priority="141">
      <formula>B$9&gt;=20/24</formula>
    </cfRule>
    <cfRule type="expression" dxfId="3486" priority="142">
      <formula>AND(B$9&gt;=14/24,B$9&lt;20/24)</formula>
    </cfRule>
    <cfRule type="expression" dxfId="3485" priority="143">
      <formula>AND(B$9&gt;=8/24,B$9&lt;14/24)</formula>
    </cfRule>
    <cfRule type="expression" dxfId="3484" priority="144">
      <formula>B$9&lt;8/24</formula>
    </cfRule>
  </conditionalFormatting>
  <conditionalFormatting sqref="F33:Z33">
    <cfRule type="expression" dxfId="3483" priority="137">
      <formula>F$9&gt;=20/24</formula>
    </cfRule>
    <cfRule type="expression" dxfId="3482" priority="138">
      <formula>AND(F$9&gt;=14/24,F$9&lt;20/24)</formula>
    </cfRule>
    <cfRule type="expression" dxfId="3481" priority="139">
      <formula>AND(F$9&gt;=8/24,F$9&lt;14/24)</formula>
    </cfRule>
    <cfRule type="expression" dxfId="3480" priority="140">
      <formula>F$9&lt;8/24</formula>
    </cfRule>
  </conditionalFormatting>
  <conditionalFormatting sqref="B32:E32 F23:J30 C23:E25 C17:J22 K17:Q30 R17:U28 V17:Z24 V26:Z28 F32:Z33 R30:Z30 AA23:AF23 AA17:AF17">
    <cfRule type="expression" dxfId="3479" priority="136">
      <formula>B17&gt;$AG17</formula>
    </cfRule>
  </conditionalFormatting>
  <conditionalFormatting sqref="F35:Z35">
    <cfRule type="expression" dxfId="3478" priority="132">
      <formula>F$9&gt;=20/24</formula>
    </cfRule>
    <cfRule type="expression" dxfId="3477" priority="133">
      <formula>AND(F$9&gt;=14/24,F$9&lt;20/24)</formula>
    </cfRule>
    <cfRule type="expression" dxfId="3476" priority="134">
      <formula>AND(F$9&gt;=8/24,F$9&lt;14/24)</formula>
    </cfRule>
    <cfRule type="expression" dxfId="3475" priority="135">
      <formula>F$9&lt;8/24</formula>
    </cfRule>
  </conditionalFormatting>
  <conditionalFormatting sqref="C15:E15">
    <cfRule type="expression" dxfId="3474" priority="128">
      <formula>C$9&gt;=20/24</formula>
    </cfRule>
    <cfRule type="expression" dxfId="3473" priority="129">
      <formula>AND(C$9&gt;=14/24,C$9&lt;20/24)</formula>
    </cfRule>
    <cfRule type="expression" dxfId="3472" priority="130">
      <formula>AND(C$9&gt;=8/24,C$9&lt;14/24)</formula>
    </cfRule>
    <cfRule type="expression" dxfId="3471" priority="131">
      <formula>C$9&lt;8/24</formula>
    </cfRule>
  </conditionalFormatting>
  <conditionalFormatting sqref="I34:Z34">
    <cfRule type="expression" dxfId="3470" priority="124">
      <formula>I$9&gt;=20/24</formula>
    </cfRule>
    <cfRule type="expression" dxfId="3469" priority="125">
      <formula>AND(I$9&gt;=14/24,I$9&lt;20/24)</formula>
    </cfRule>
    <cfRule type="expression" dxfId="3468" priority="126">
      <formula>AND(I$9&gt;=8/24,I$9&lt;14/24)</formula>
    </cfRule>
    <cfRule type="expression" dxfId="3467" priority="127">
      <formula>I$9&lt;8/24</formula>
    </cfRule>
  </conditionalFormatting>
  <conditionalFormatting sqref="I34:Z34">
    <cfRule type="expression" dxfId="3466" priority="123">
      <formula>I34&gt;$AG34</formula>
    </cfRule>
  </conditionalFormatting>
  <conditionalFormatting sqref="C44:D45">
    <cfRule type="expression" dxfId="3465" priority="119">
      <formula>C$9&gt;=20/24</formula>
    </cfRule>
    <cfRule type="expression" dxfId="3464" priority="120">
      <formula>AND(C$9&gt;=14/24,C$9&lt;20/24)</formula>
    </cfRule>
    <cfRule type="expression" dxfId="3463" priority="121">
      <formula>AND(C$9&gt;=8/24,C$9&lt;14/24)</formula>
    </cfRule>
    <cfRule type="expression" dxfId="3462" priority="122">
      <formula>C$9&lt;8/24</formula>
    </cfRule>
  </conditionalFormatting>
  <conditionalFormatting sqref="C43:D43">
    <cfRule type="expression" dxfId="3461" priority="115">
      <formula>C$9&gt;=20/24</formula>
    </cfRule>
    <cfRule type="expression" dxfId="3460" priority="116">
      <formula>AND(C$9&gt;=14/24,C$9&lt;20/24)</formula>
    </cfRule>
    <cfRule type="expression" dxfId="3459" priority="117">
      <formula>AND(C$9&gt;=8/24,C$9&lt;14/24)</formula>
    </cfRule>
    <cfRule type="expression" dxfId="3458" priority="118">
      <formula>C$9&lt;8/24</formula>
    </cfRule>
  </conditionalFormatting>
  <conditionalFormatting sqref="C43:D45">
    <cfRule type="expression" dxfId="3457" priority="114">
      <formula>C43&gt;$AG43</formula>
    </cfRule>
  </conditionalFormatting>
  <conditionalFormatting sqref="F68:L70">
    <cfRule type="expression" dxfId="3456" priority="110">
      <formula>F$9&gt;=20/24</formula>
    </cfRule>
    <cfRule type="expression" dxfId="3455" priority="111">
      <formula>AND(F$9&gt;=14/24,F$9&lt;20/24)</formula>
    </cfRule>
    <cfRule type="expression" dxfId="3454" priority="112">
      <formula>AND(F$9&gt;=8/24,F$9&lt;14/24)</formula>
    </cfRule>
    <cfRule type="expression" dxfId="3453" priority="113">
      <formula>F$9&lt;8/24</formula>
    </cfRule>
  </conditionalFormatting>
  <conditionalFormatting sqref="C46:D47">
    <cfRule type="expression" dxfId="3452" priority="109">
      <formula>C46&gt;$AG46</formula>
    </cfRule>
  </conditionalFormatting>
  <conditionalFormatting sqref="C48:E54 F49:L54">
    <cfRule type="expression" dxfId="3451" priority="105">
      <formula>C$9&gt;=20/24</formula>
    </cfRule>
    <cfRule type="expression" dxfId="3450" priority="106">
      <formula>AND(C$9&gt;=14/24,C$9&lt;20/24)</formula>
    </cfRule>
    <cfRule type="expression" dxfId="3449" priority="107">
      <formula>AND(C$9&gt;=8/24,C$9&lt;14/24)</formula>
    </cfRule>
    <cfRule type="expression" dxfId="3448" priority="108">
      <formula>C$9&lt;8/24</formula>
    </cfRule>
  </conditionalFormatting>
  <conditionalFormatting sqref="C48:E54 F49:L54">
    <cfRule type="expression" dxfId="3447" priority="104">
      <formula>C48&gt;$AG48</formula>
    </cfRule>
  </conditionalFormatting>
  <conditionalFormatting sqref="B99:B105 B11 B78:AF78 B87:AF87">
    <cfRule type="expression" dxfId="3446" priority="91">
      <formula>B$9&gt;=20/24</formula>
    </cfRule>
    <cfRule type="expression" dxfId="3445" priority="92">
      <formula>AND(B$9&gt;=14/24,B$9&lt;20/24)</formula>
    </cfRule>
    <cfRule type="expression" dxfId="3444" priority="93">
      <formula>AND(B$9&gt;=8/24,B$9&lt;14/24)</formula>
    </cfRule>
    <cfRule type="expression" dxfId="3443" priority="94">
      <formula>B$9&lt;8/24</formula>
    </cfRule>
  </conditionalFormatting>
  <conditionalFormatting sqref="B37">
    <cfRule type="expression" dxfId="3442" priority="87">
      <formula>B$9&gt;=20/24</formula>
    </cfRule>
    <cfRule type="expression" dxfId="3441" priority="88">
      <formula>AND(B$9&gt;=14/24,B$9&lt;20/24)</formula>
    </cfRule>
    <cfRule type="expression" dxfId="3440" priority="89">
      <formula>AND(B$9&gt;=8/24,B$9&lt;14/24)</formula>
    </cfRule>
    <cfRule type="expression" dxfId="3439" priority="90">
      <formula>B$9&lt;8/24</formula>
    </cfRule>
  </conditionalFormatting>
  <conditionalFormatting sqref="B37 B11">
    <cfRule type="expression" dxfId="3438" priority="86">
      <formula>B11&gt;$AG11</formula>
    </cfRule>
  </conditionalFormatting>
  <conditionalFormatting sqref="B89">
    <cfRule type="expression" dxfId="3437" priority="82">
      <formula>B$9&gt;=20/24</formula>
    </cfRule>
    <cfRule type="expression" dxfId="3436" priority="83">
      <formula>AND(B$9&gt;=14/24,B$9&lt;20/24)</formula>
    </cfRule>
    <cfRule type="expression" dxfId="3435" priority="84">
      <formula>AND(B$9&gt;=8/24,B$9&lt;14/24)</formula>
    </cfRule>
    <cfRule type="expression" dxfId="3434" priority="85">
      <formula>B$9&lt;8/24</formula>
    </cfRule>
  </conditionalFormatting>
  <conditionalFormatting sqref="B44:B45 B61 B36:E36">
    <cfRule type="expression" dxfId="3433" priority="78">
      <formula>B$9&gt;=20/24</formula>
    </cfRule>
    <cfRule type="expression" dxfId="3432" priority="79">
      <formula>AND(B$9&gt;=14/24,B$9&lt;20/24)</formula>
    </cfRule>
    <cfRule type="expression" dxfId="3431" priority="80">
      <formula>AND(B$9&gt;=8/24,B$9&lt;14/24)</formula>
    </cfRule>
    <cfRule type="expression" dxfId="3430" priority="81">
      <formula>B$9&lt;8/24</formula>
    </cfRule>
  </conditionalFormatting>
  <conditionalFormatting sqref="B43">
    <cfRule type="expression" dxfId="3429" priority="74">
      <formula>B$9&gt;=20/24</formula>
    </cfRule>
    <cfRule type="expression" dxfId="3428" priority="75">
      <formula>AND(B$9&gt;=14/24,B$9&lt;20/24)</formula>
    </cfRule>
    <cfRule type="expression" dxfId="3427" priority="76">
      <formula>AND(B$9&gt;=8/24,B$9&lt;14/24)</formula>
    </cfRule>
    <cfRule type="expression" dxfId="3426" priority="77">
      <formula>B$9&lt;8/24</formula>
    </cfRule>
  </conditionalFormatting>
  <conditionalFormatting sqref="B43:B45 B36:E36">
    <cfRule type="expression" dxfId="3425" priority="73">
      <formula>B36&gt;$AG36</formula>
    </cfRule>
  </conditionalFormatting>
  <conditionalFormatting sqref="B90:B96 B12:B14 B16 B18:B22 B24:B26 B57:B60 B62:B71 B73:B77 B79:AF79 B86 C60:AG60 C77:AG77 B88:AF88 B28:E30 C26:E26 C64:E71 C73:E75">
    <cfRule type="expression" dxfId="3424" priority="69">
      <formula>B$9&gt;=20/24</formula>
    </cfRule>
    <cfRule type="expression" dxfId="3423" priority="70">
      <formula>AND(B$9&gt;=14/24,B$9&lt;20/24)</formula>
    </cfRule>
    <cfRule type="expression" dxfId="3422" priority="71">
      <formula>AND(B$9&gt;=8/24,B$9&lt;14/24)</formula>
    </cfRule>
    <cfRule type="expression" dxfId="3421" priority="72">
      <formula>B$9&lt;8/24</formula>
    </cfRule>
  </conditionalFormatting>
  <conditionalFormatting sqref="B33:E33">
    <cfRule type="expression" dxfId="3420" priority="65">
      <formula>B$9&gt;=20/24</formula>
    </cfRule>
    <cfRule type="expression" dxfId="3419" priority="66">
      <formula>AND(B$9&gt;=14/24,B$9&lt;20/24)</formula>
    </cfRule>
    <cfRule type="expression" dxfId="3418" priority="67">
      <formula>AND(B$9&gt;=8/24,B$9&lt;14/24)</formula>
    </cfRule>
    <cfRule type="expression" dxfId="3417" priority="68">
      <formula>B$9&lt;8/24</formula>
    </cfRule>
  </conditionalFormatting>
  <conditionalFormatting sqref="B46:B47 B18:B22 B24:B30 B55:B60 B38:AG38 C56:AG56 C60:AG60 C26:E30 B33:E33">
    <cfRule type="expression" dxfId="3416" priority="64">
      <formula>B18&gt;$AG18</formula>
    </cfRule>
  </conditionalFormatting>
  <conditionalFormatting sqref="B35:E35">
    <cfRule type="expression" dxfId="3415" priority="60">
      <formula>B$9&gt;=20/24</formula>
    </cfRule>
    <cfRule type="expression" dxfId="3414" priority="61">
      <formula>AND(B$9&gt;=14/24,B$9&lt;20/24)</formula>
    </cfRule>
    <cfRule type="expression" dxfId="3413" priority="62">
      <formula>AND(B$9&gt;=8/24,B$9&lt;14/24)</formula>
    </cfRule>
    <cfRule type="expression" dxfId="3412" priority="63">
      <formula>B$9&lt;8/24</formula>
    </cfRule>
  </conditionalFormatting>
  <conditionalFormatting sqref="B15">
    <cfRule type="expression" dxfId="3411" priority="56">
      <formula>B$9&gt;=20/24</formula>
    </cfRule>
    <cfRule type="expression" dxfId="3410" priority="57">
      <formula>AND(B$9&gt;=14/24,B$9&lt;20/24)</formula>
    </cfRule>
    <cfRule type="expression" dxfId="3409" priority="58">
      <formula>AND(B$9&gt;=8/24,B$9&lt;14/24)</formula>
    </cfRule>
    <cfRule type="expression" dxfId="3408" priority="59">
      <formula>B$9&lt;8/24</formula>
    </cfRule>
  </conditionalFormatting>
  <conditionalFormatting sqref="B34:H34">
    <cfRule type="expression" dxfId="3407" priority="52">
      <formula>B$9&gt;=20/24</formula>
    </cfRule>
    <cfRule type="expression" dxfId="3406" priority="53">
      <formula>AND(B$9&gt;=14/24,B$9&lt;20/24)</formula>
    </cfRule>
    <cfRule type="expression" dxfId="3405" priority="54">
      <formula>AND(B$9&gt;=8/24,B$9&lt;14/24)</formula>
    </cfRule>
    <cfRule type="expression" dxfId="3404" priority="55">
      <formula>B$9&lt;8/24</formula>
    </cfRule>
  </conditionalFormatting>
  <conditionalFormatting sqref="B34:H34">
    <cfRule type="expression" dxfId="3403" priority="51">
      <formula>B34&gt;$AG34</formula>
    </cfRule>
  </conditionalFormatting>
  <conditionalFormatting sqref="B48:B54">
    <cfRule type="expression" dxfId="3402" priority="47">
      <formula>B$9&gt;=20/24</formula>
    </cfRule>
    <cfRule type="expression" dxfId="3401" priority="48">
      <formula>AND(B$9&gt;=14/24,B$9&lt;20/24)</formula>
    </cfRule>
    <cfRule type="expression" dxfId="3400" priority="49">
      <formula>AND(B$9&gt;=8/24,B$9&lt;14/24)</formula>
    </cfRule>
    <cfRule type="expression" dxfId="3399" priority="50">
      <formula>B$9&lt;8/24</formula>
    </cfRule>
  </conditionalFormatting>
  <conditionalFormatting sqref="B48:B54">
    <cfRule type="expression" dxfId="3398" priority="46">
      <formula>B48&gt;$AG48</formula>
    </cfRule>
  </conditionalFormatting>
  <conditionalFormatting sqref="B27:E27">
    <cfRule type="expression" dxfId="3397" priority="42">
      <formula>B$9&gt;=20/24</formula>
    </cfRule>
    <cfRule type="expression" dxfId="3396" priority="43">
      <formula>AND(B$9&gt;=14/24,B$9&lt;20/24)</formula>
    </cfRule>
    <cfRule type="expression" dxfId="3395" priority="44">
      <formula>AND(B$9&gt;=8/24,B$9&lt;14/24)</formula>
    </cfRule>
    <cfRule type="expression" dxfId="3394" priority="45">
      <formula>B$9&lt;8/24</formula>
    </cfRule>
  </conditionalFormatting>
  <conditionalFormatting sqref="B17 B23">
    <cfRule type="expression" dxfId="3393" priority="38">
      <formula>B$9&gt;=20/24</formula>
    </cfRule>
    <cfRule type="expression" dxfId="3392" priority="39">
      <formula>AND(B$9&gt;=14/24,B$9&lt;20/24)</formula>
    </cfRule>
    <cfRule type="expression" dxfId="3391" priority="40">
      <formula>AND(B$9&gt;=8/24,B$9&lt;14/24)</formula>
    </cfRule>
    <cfRule type="expression" dxfId="3390" priority="41">
      <formula>B$9&lt;8/24</formula>
    </cfRule>
  </conditionalFormatting>
  <conditionalFormatting sqref="B17 B23">
    <cfRule type="expression" dxfId="3389" priority="37">
      <formula>B17&gt;$AG17</formula>
    </cfRule>
  </conditionalFormatting>
  <conditionalFormatting sqref="A34">
    <cfRule type="expression" dxfId="3388" priority="36">
      <formula>$AH34=0</formula>
    </cfRule>
  </conditionalFormatting>
  <conditionalFormatting sqref="B72:AF72">
    <cfRule type="expression" dxfId="3387" priority="32">
      <formula>B$9&gt;=20/24</formula>
    </cfRule>
    <cfRule type="expression" dxfId="3386" priority="33">
      <formula>AND(B$9&gt;=14/24,B$9&lt;20/24)</formula>
    </cfRule>
    <cfRule type="expression" dxfId="3385" priority="34">
      <formula>AND(B$9&gt;=8/24,B$9&lt;14/24)</formula>
    </cfRule>
    <cfRule type="expression" dxfId="3384" priority="35">
      <formula>B$9&lt;8/24</formula>
    </cfRule>
  </conditionalFormatting>
  <conditionalFormatting sqref="B81:AF85">
    <cfRule type="expression" dxfId="3383" priority="28">
      <formula>B$9&gt;=20/24</formula>
    </cfRule>
    <cfRule type="expression" dxfId="3382" priority="29">
      <formula>AND(B$9&gt;=14/24,B$9&lt;20/24)</formula>
    </cfRule>
    <cfRule type="expression" dxfId="3381" priority="30">
      <formula>AND(B$9&gt;=8/24,B$9&lt;14/24)</formula>
    </cfRule>
    <cfRule type="expression" dxfId="3380" priority="31">
      <formula>B$9&lt;8/24</formula>
    </cfRule>
  </conditionalFormatting>
  <conditionalFormatting sqref="AL35 AL7:AL30 AL32">
    <cfRule type="iconSet" priority="247">
      <iconSet iconSet="3TrafficLights2" reverse="1">
        <cfvo type="percent" val="0"/>
        <cfvo type="num" val="1"/>
        <cfvo type="num" val="1"/>
      </iconSet>
    </cfRule>
  </conditionalFormatting>
  <conditionalFormatting sqref="C39:AF41">
    <cfRule type="expression" dxfId="3379" priority="24">
      <formula>C$9&gt;=20/24</formula>
    </cfRule>
    <cfRule type="expression" dxfId="3378" priority="25">
      <formula>AND(C$9&gt;=14/24,C$9&lt;20/24)</formula>
    </cfRule>
    <cfRule type="expression" dxfId="3377" priority="26">
      <formula>AND(C$9&gt;=8/24,C$9&lt;14/24)</formula>
    </cfRule>
    <cfRule type="expression" dxfId="3376" priority="27">
      <formula>C$9&lt;8/24</formula>
    </cfRule>
  </conditionalFormatting>
  <conditionalFormatting sqref="C39:AF41">
    <cfRule type="expression" dxfId="3375" priority="23">
      <formula>C39&gt;$AG39</formula>
    </cfRule>
  </conditionalFormatting>
  <conditionalFormatting sqref="B39:B42 C42:AG42">
    <cfRule type="expression" dxfId="3374" priority="19">
      <formula>B$9&gt;=20/24</formula>
    </cfRule>
    <cfRule type="expression" dxfId="3373" priority="20">
      <formula>AND(B$9&gt;=14/24,B$9&lt;20/24)</formula>
    </cfRule>
    <cfRule type="expression" dxfId="3372" priority="21">
      <formula>AND(B$9&gt;=8/24,B$9&lt;14/24)</formula>
    </cfRule>
    <cfRule type="expression" dxfId="3371" priority="22">
      <formula>B$9&lt;8/24</formula>
    </cfRule>
  </conditionalFormatting>
  <conditionalFormatting sqref="B39:B42 C42:AG42">
    <cfRule type="expression" dxfId="3370" priority="18">
      <formula>B39&gt;$AG39</formula>
    </cfRule>
  </conditionalFormatting>
  <conditionalFormatting sqref="C97:AF97">
    <cfRule type="expression" dxfId="3369" priority="14">
      <formula>C$9&gt;=20/24</formula>
    </cfRule>
    <cfRule type="expression" dxfId="3368" priority="15">
      <formula>AND(C$9&gt;=14/24,C$9&lt;20/24)</formula>
    </cfRule>
    <cfRule type="expression" dxfId="3367" priority="16">
      <formula>AND(C$9&gt;=8/24,C$9&lt;14/24)</formula>
    </cfRule>
    <cfRule type="expression" dxfId="3366" priority="17">
      <formula>C$9&lt;8/24</formula>
    </cfRule>
  </conditionalFormatting>
  <conditionalFormatting sqref="B97">
    <cfRule type="expression" dxfId="3365" priority="10">
      <formula>B$9&gt;=20/24</formula>
    </cfRule>
    <cfRule type="expression" dxfId="3364" priority="11">
      <formula>AND(B$9&gt;=14/24,B$9&lt;20/24)</formula>
    </cfRule>
    <cfRule type="expression" dxfId="3363" priority="12">
      <formula>AND(B$9&gt;=8/24,B$9&lt;14/24)</formula>
    </cfRule>
    <cfRule type="expression" dxfId="3362" priority="13">
      <formula>B$9&lt;8/24</formula>
    </cfRule>
  </conditionalFormatting>
  <conditionalFormatting sqref="AL31">
    <cfRule type="iconSet" priority="9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3361" priority="3">
      <formula>$AH31=0</formula>
    </cfRule>
  </conditionalFormatting>
  <conditionalFormatting sqref="A80">
    <cfRule type="expression" dxfId="3360" priority="1">
      <formula>$AH80=0</formula>
    </cfRule>
  </conditionalFormatting>
  <conditionalFormatting sqref="A77">
    <cfRule type="expression" dxfId="3359" priority="2">
      <formula>$AH77=0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6C660A83-B549-4B22-BC2F-F76BD7CAF9C3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" id="{EEE7D1D3-BED2-441F-BFCB-2349670B839E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" id="{99C0F469-E62D-474B-85C9-FE247FDFFF54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" id="{29D0AAC5-EF8E-43E1-8023-71DEF5D905CB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4" id="{85FE3546-3677-424D-B84D-16A0EFB43A80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B29" sqref="AB29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425781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2079/02/18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("&amp;ROUND(B237,0)&amp;" MW)"&amp;"    IPP   = "&amp;ROUND(B232,0)&amp;" MW     NEA RoR = "&amp;ROUND(B233,0)&amp;" MWImport   = "&amp;ROUND(B235,0)&amp;" MW      KL1+KL2+K3 = "&amp;ROUND(B234,0) &amp;" MW    EXPORT = "&amp;ROUND(B236,0)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29</v>
      </c>
      <c r="C5" s="32">
        <f t="shared" si="0"/>
        <v>15</v>
      </c>
      <c r="D5" s="32">
        <f t="shared" si="0"/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0</v>
      </c>
      <c r="O5" s="32">
        <f t="shared" si="0"/>
        <v>0</v>
      </c>
      <c r="P5" s="32">
        <f t="shared" si="0"/>
        <v>0</v>
      </c>
      <c r="Q5" s="32">
        <f t="shared" si="0"/>
        <v>47.1</v>
      </c>
      <c r="R5" s="32">
        <f t="shared" si="0"/>
        <v>45.2</v>
      </c>
      <c r="S5" s="32">
        <f t="shared" si="0"/>
        <v>56.2</v>
      </c>
      <c r="T5" s="32">
        <f t="shared" si="0"/>
        <v>42.7</v>
      </c>
      <c r="U5" s="32">
        <f t="shared" si="0"/>
        <v>53.2</v>
      </c>
      <c r="V5" s="32">
        <f t="shared" si="0"/>
        <v>56</v>
      </c>
      <c r="W5" s="32">
        <f t="shared" si="0"/>
        <v>54.3</v>
      </c>
      <c r="X5" s="32">
        <f t="shared" si="0"/>
        <v>54.8</v>
      </c>
      <c r="Y5" s="32">
        <f t="shared" si="0"/>
        <v>31.8</v>
      </c>
      <c r="Z5" s="32">
        <f t="shared" si="0"/>
        <v>59.4</v>
      </c>
      <c r="AA5" s="32">
        <f t="shared" si="0"/>
        <v>66.400000000000006</v>
      </c>
      <c r="AB5" s="32">
        <f t="shared" si="0"/>
        <v>75.5</v>
      </c>
      <c r="AC5" s="32">
        <f t="shared" si="0"/>
        <v>82.6</v>
      </c>
      <c r="AD5" s="32">
        <f t="shared" si="0"/>
        <v>39</v>
      </c>
      <c r="AE5" s="32">
        <f t="shared" si="0"/>
        <v>9.6</v>
      </c>
      <c r="AF5" s="32">
        <f>B72</f>
        <v>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"&amp;ROUND(B237,0)&amp;"MW at "&amp;TRUNC(B238*24,0)&amp;":"&amp;ROUND((B238*24-TRUNC(B238*24,0))*60,0)&amp;"hr at "&amp;ROUND(B239,1)&amp;"Hz     "&amp;A229&amp;" "&amp;ROUND(B229,0)&amp;"MW at "&amp;TRUNC(C229*24,0)&amp;":"&amp;ROUND((C229*24-TRUNC(C229*24,0))*6,0)&amp;"0hr"</f>
        <v>Evening Peak 0MW at 0:0hr at 0Hz     Morning Peak 1787MW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B79</f>
        <v>3.54</v>
      </c>
      <c r="C7" s="37">
        <f t="shared" ref="C7:AF7" si="1">C79</f>
        <v>1640.44</v>
      </c>
      <c r="D7" s="37">
        <f t="shared" si="1"/>
        <v>1626.44</v>
      </c>
      <c r="E7" s="37">
        <f t="shared" si="1"/>
        <v>1639.04</v>
      </c>
      <c r="F7" s="37">
        <f t="shared" si="1"/>
        <v>1616.54</v>
      </c>
      <c r="G7" s="37">
        <f t="shared" si="1"/>
        <v>1633.8400000000001</v>
      </c>
      <c r="H7" s="37">
        <f t="shared" si="1"/>
        <v>1651.8400000000001</v>
      </c>
      <c r="I7" s="37">
        <f t="shared" si="1"/>
        <v>1664.3400000000001</v>
      </c>
      <c r="J7" s="37">
        <f t="shared" si="1"/>
        <v>1661.8400000000001</v>
      </c>
      <c r="K7" s="37">
        <f t="shared" si="1"/>
        <v>1696.9399999999998</v>
      </c>
      <c r="L7" s="37">
        <f t="shared" si="1"/>
        <v>1696.9399999999998</v>
      </c>
      <c r="M7" s="37">
        <f t="shared" si="1"/>
        <v>1787.4399999999998</v>
      </c>
      <c r="N7" s="37">
        <f t="shared" si="1"/>
        <v>1717.14</v>
      </c>
      <c r="O7" s="37">
        <f t="shared" si="1"/>
        <v>1701.24</v>
      </c>
      <c r="P7" s="37">
        <f t="shared" si="1"/>
        <v>1762.54</v>
      </c>
      <c r="Q7" s="37">
        <f t="shared" si="1"/>
        <v>1753.64</v>
      </c>
      <c r="R7" s="37">
        <f t="shared" si="1"/>
        <v>1775.3399999999997</v>
      </c>
      <c r="S7" s="37">
        <f t="shared" si="1"/>
        <v>1846.24</v>
      </c>
      <c r="T7" s="37">
        <f t="shared" si="1"/>
        <v>1728.94</v>
      </c>
      <c r="U7" s="37">
        <f t="shared" si="1"/>
        <v>1812.84</v>
      </c>
      <c r="V7" s="37">
        <f t="shared" si="1"/>
        <v>1770.34</v>
      </c>
      <c r="W7" s="37">
        <f t="shared" si="1"/>
        <v>1773.1399999999999</v>
      </c>
      <c r="X7" s="37">
        <f t="shared" si="1"/>
        <v>1771.4399999999998</v>
      </c>
      <c r="Y7" s="37">
        <f t="shared" si="1"/>
        <v>1783.24</v>
      </c>
      <c r="Z7" s="37">
        <f t="shared" si="1"/>
        <v>1856.24</v>
      </c>
      <c r="AA7" s="37">
        <f t="shared" si="1"/>
        <v>1881.54</v>
      </c>
      <c r="AB7" s="37">
        <f t="shared" si="1"/>
        <v>1886.44</v>
      </c>
      <c r="AC7" s="37">
        <f t="shared" si="1"/>
        <v>1885.44</v>
      </c>
      <c r="AD7" s="37">
        <f t="shared" si="1"/>
        <v>1889.0399999999997</v>
      </c>
      <c r="AE7" s="37">
        <f t="shared" si="1"/>
        <v>1844.7399999999998</v>
      </c>
      <c r="AF7" s="37">
        <f t="shared" si="1"/>
        <v>1782.74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179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0"/>
      <c r="C11" s="49">
        <v>53.2</v>
      </c>
      <c r="D11" s="49">
        <v>53.2</v>
      </c>
      <c r="E11" s="49">
        <v>53.2</v>
      </c>
      <c r="F11" s="49">
        <v>53.2</v>
      </c>
      <c r="G11" s="49">
        <v>53.2</v>
      </c>
      <c r="H11" s="49">
        <v>53.2</v>
      </c>
      <c r="I11" s="49">
        <v>53.2</v>
      </c>
      <c r="J11" s="49">
        <v>53.2</v>
      </c>
      <c r="K11" s="49">
        <v>53.2</v>
      </c>
      <c r="L11" s="49">
        <v>53.2</v>
      </c>
      <c r="M11" s="49">
        <v>53.2</v>
      </c>
      <c r="N11" s="49">
        <v>53.2</v>
      </c>
      <c r="O11" s="49">
        <v>53.2</v>
      </c>
      <c r="P11" s="49">
        <v>53.2</v>
      </c>
      <c r="Q11" s="49">
        <v>53.2</v>
      </c>
      <c r="R11" s="49">
        <v>53.2</v>
      </c>
      <c r="S11" s="49">
        <v>53.2</v>
      </c>
      <c r="T11" s="49">
        <v>53.2</v>
      </c>
      <c r="U11" s="49">
        <v>53.2</v>
      </c>
      <c r="V11" s="49">
        <v>53.2</v>
      </c>
      <c r="W11" s="49">
        <v>53.2</v>
      </c>
      <c r="X11" s="49">
        <v>53.2</v>
      </c>
      <c r="Y11" s="49">
        <v>53.2</v>
      </c>
      <c r="Z11" s="49">
        <v>53.2</v>
      </c>
      <c r="AA11" s="49">
        <v>53.2</v>
      </c>
      <c r="AB11" s="49">
        <v>53.2</v>
      </c>
      <c r="AC11" s="49">
        <v>53.2</v>
      </c>
      <c r="AD11" s="49">
        <v>53.2</v>
      </c>
      <c r="AE11" s="49">
        <v>53.2</v>
      </c>
      <c r="AF11" s="49">
        <v>53.1</v>
      </c>
      <c r="AG11" s="133">
        <v>52.4</v>
      </c>
      <c r="AH11" s="54">
        <f>MAX(B11:AF11)</f>
        <v>53.2</v>
      </c>
      <c r="AI11" s="55">
        <f>MIN(B11:AF11)</f>
        <v>53.1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/>
      <c r="C12" s="50">
        <v>50.5</v>
      </c>
      <c r="D12" s="50">
        <v>50.5</v>
      </c>
      <c r="E12" s="50">
        <v>50.5</v>
      </c>
      <c r="F12" s="50">
        <v>50.5</v>
      </c>
      <c r="G12" s="50">
        <v>50.5</v>
      </c>
      <c r="H12" s="50">
        <v>50.5</v>
      </c>
      <c r="I12" s="50">
        <v>50.5</v>
      </c>
      <c r="J12" s="50">
        <v>50.5</v>
      </c>
      <c r="K12" s="50">
        <v>50.5</v>
      </c>
      <c r="L12" s="50">
        <v>50.5</v>
      </c>
      <c r="M12" s="50">
        <v>50.5</v>
      </c>
      <c r="N12" s="50">
        <v>50.5</v>
      </c>
      <c r="O12" s="50">
        <v>50.5</v>
      </c>
      <c r="P12" s="50">
        <v>50.5</v>
      </c>
      <c r="Q12" s="50">
        <v>50.5</v>
      </c>
      <c r="R12" s="50">
        <v>50.5</v>
      </c>
      <c r="S12" s="50">
        <v>50.5</v>
      </c>
      <c r="T12" s="50">
        <v>50.5</v>
      </c>
      <c r="U12" s="50">
        <v>50.5</v>
      </c>
      <c r="V12" s="50">
        <v>50.5</v>
      </c>
      <c r="W12" s="50">
        <v>50.5</v>
      </c>
      <c r="X12" s="50">
        <v>50.5</v>
      </c>
      <c r="Y12" s="50">
        <v>50.5</v>
      </c>
      <c r="Z12" s="50">
        <v>50.5</v>
      </c>
      <c r="AA12" s="50">
        <v>50.5</v>
      </c>
      <c r="AB12" s="50">
        <v>50.5</v>
      </c>
      <c r="AC12" s="50">
        <v>50.5</v>
      </c>
      <c r="AD12" s="50">
        <v>50.5</v>
      </c>
      <c r="AE12" s="50">
        <v>50.5</v>
      </c>
      <c r="AF12" s="50">
        <v>50.5</v>
      </c>
      <c r="AG12" s="134">
        <v>50</v>
      </c>
      <c r="AH12" s="54">
        <f t="shared" ref="AH12:AH79" si="2">MAX(B12:AF12)</f>
        <v>50.5</v>
      </c>
      <c r="AI12" s="55">
        <f t="shared" ref="AI12:AI79" si="3">MIN(B12:AF12)</f>
        <v>50.5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/>
      <c r="C13" s="50">
        <v>46.2</v>
      </c>
      <c r="D13" s="50">
        <v>46.2</v>
      </c>
      <c r="E13" s="50">
        <v>46.2</v>
      </c>
      <c r="F13" s="50">
        <v>46.2</v>
      </c>
      <c r="G13" s="50">
        <v>46.2</v>
      </c>
      <c r="H13" s="50">
        <v>46.2</v>
      </c>
      <c r="I13" s="50">
        <v>46.2</v>
      </c>
      <c r="J13" s="50">
        <v>46.2</v>
      </c>
      <c r="K13" s="50">
        <v>46.2</v>
      </c>
      <c r="L13" s="50">
        <v>46.2</v>
      </c>
      <c r="M13" s="50">
        <v>46.2</v>
      </c>
      <c r="N13" s="50">
        <v>46.2</v>
      </c>
      <c r="O13" s="50">
        <v>46.2</v>
      </c>
      <c r="P13" s="50">
        <v>46.2</v>
      </c>
      <c r="Q13" s="50">
        <v>46.2</v>
      </c>
      <c r="R13" s="50">
        <v>46.2</v>
      </c>
      <c r="S13" s="50">
        <v>46.2</v>
      </c>
      <c r="T13" s="50">
        <v>46.2</v>
      </c>
      <c r="U13" s="50">
        <v>46.2</v>
      </c>
      <c r="V13" s="50">
        <v>46.2</v>
      </c>
      <c r="W13" s="50">
        <v>46.2</v>
      </c>
      <c r="X13" s="50">
        <v>46.2</v>
      </c>
      <c r="Y13" s="50">
        <v>46.2</v>
      </c>
      <c r="Z13" s="50">
        <v>46.2</v>
      </c>
      <c r="AA13" s="50">
        <v>46.2</v>
      </c>
      <c r="AB13" s="50">
        <v>46.2</v>
      </c>
      <c r="AC13" s="50">
        <v>46.2</v>
      </c>
      <c r="AD13" s="50">
        <v>46.2</v>
      </c>
      <c r="AE13" s="50">
        <v>46.1</v>
      </c>
      <c r="AF13" s="50">
        <v>46</v>
      </c>
      <c r="AG13" s="134">
        <v>45</v>
      </c>
      <c r="AH13" s="54">
        <f t="shared" si="2"/>
        <v>46.2</v>
      </c>
      <c r="AI13" s="55">
        <f t="shared" si="3"/>
        <v>46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/>
      <c r="C14" s="50">
        <v>0</v>
      </c>
      <c r="D14" s="50">
        <v>0</v>
      </c>
      <c r="E14" s="50">
        <v>28</v>
      </c>
      <c r="F14" s="50">
        <v>28</v>
      </c>
      <c r="G14" s="50">
        <v>28</v>
      </c>
      <c r="H14" s="50">
        <v>28</v>
      </c>
      <c r="I14" s="50">
        <v>28</v>
      </c>
      <c r="J14" s="50">
        <v>26</v>
      </c>
      <c r="K14" s="50">
        <v>28</v>
      </c>
      <c r="L14" s="50">
        <v>28</v>
      </c>
      <c r="M14" s="50">
        <v>28</v>
      </c>
      <c r="N14" s="50">
        <v>28</v>
      </c>
      <c r="O14" s="50">
        <v>28</v>
      </c>
      <c r="P14" s="50">
        <v>28</v>
      </c>
      <c r="Q14" s="50">
        <v>28</v>
      </c>
      <c r="R14" s="50">
        <v>28</v>
      </c>
      <c r="S14" s="50">
        <v>35</v>
      </c>
      <c r="T14" s="50">
        <v>35</v>
      </c>
      <c r="U14" s="50">
        <v>30</v>
      </c>
      <c r="V14" s="50">
        <v>30</v>
      </c>
      <c r="W14" s="50">
        <v>30</v>
      </c>
      <c r="X14" s="50">
        <v>30</v>
      </c>
      <c r="Y14" s="50">
        <v>30</v>
      </c>
      <c r="Z14" s="50">
        <v>30</v>
      </c>
      <c r="AA14" s="50">
        <v>30</v>
      </c>
      <c r="AB14" s="50">
        <v>30</v>
      </c>
      <c r="AC14" s="50">
        <v>30</v>
      </c>
      <c r="AD14" s="50">
        <v>30</v>
      </c>
      <c r="AE14" s="50">
        <v>30</v>
      </c>
      <c r="AF14" s="50">
        <v>24</v>
      </c>
      <c r="AG14" s="134">
        <v>42</v>
      </c>
      <c r="AH14" s="54">
        <f t="shared" si="2"/>
        <v>35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/>
      <c r="C15" s="50">
        <v>30</v>
      </c>
      <c r="D15" s="50">
        <v>20</v>
      </c>
      <c r="E15" s="50">
        <v>20</v>
      </c>
      <c r="F15" s="50">
        <v>5</v>
      </c>
      <c r="G15" s="50">
        <v>5</v>
      </c>
      <c r="H15" s="50">
        <v>5</v>
      </c>
      <c r="I15" s="50">
        <v>5</v>
      </c>
      <c r="J15" s="50">
        <v>15</v>
      </c>
      <c r="K15" s="50">
        <v>30</v>
      </c>
      <c r="L15" s="50">
        <v>30</v>
      </c>
      <c r="M15" s="50">
        <v>30</v>
      </c>
      <c r="N15" s="50">
        <v>30</v>
      </c>
      <c r="O15" s="50">
        <v>30</v>
      </c>
      <c r="P15" s="50">
        <v>30</v>
      </c>
      <c r="Q15" s="50">
        <v>30</v>
      </c>
      <c r="R15" s="50">
        <v>30</v>
      </c>
      <c r="S15" s="50">
        <v>30</v>
      </c>
      <c r="T15" s="50">
        <v>30</v>
      </c>
      <c r="U15" s="50">
        <v>30</v>
      </c>
      <c r="V15" s="50">
        <v>30</v>
      </c>
      <c r="W15" s="50">
        <v>30</v>
      </c>
      <c r="X15" s="50">
        <v>30</v>
      </c>
      <c r="Y15" s="50">
        <v>30</v>
      </c>
      <c r="Z15" s="50">
        <v>30</v>
      </c>
      <c r="AA15" s="50">
        <v>30</v>
      </c>
      <c r="AB15" s="50">
        <v>30</v>
      </c>
      <c r="AC15" s="50">
        <v>30</v>
      </c>
      <c r="AD15" s="50">
        <v>30</v>
      </c>
      <c r="AE15" s="50">
        <v>30</v>
      </c>
      <c r="AF15" s="50">
        <v>30</v>
      </c>
      <c r="AG15" s="135">
        <v>30</v>
      </c>
      <c r="AH15" s="54">
        <f t="shared" si="2"/>
        <v>30</v>
      </c>
      <c r="AI15" s="55">
        <f t="shared" si="3"/>
        <v>5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/>
      <c r="C16" s="50">
        <v>26.1</v>
      </c>
      <c r="D16" s="50">
        <v>26.1</v>
      </c>
      <c r="E16" s="50">
        <v>26.1</v>
      </c>
      <c r="F16" s="50">
        <v>26.1</v>
      </c>
      <c r="G16" s="50">
        <v>25.3</v>
      </c>
      <c r="H16" s="50">
        <v>25.3</v>
      </c>
      <c r="I16" s="50">
        <v>25.3</v>
      </c>
      <c r="J16" s="50">
        <v>25.3</v>
      </c>
      <c r="K16" s="50">
        <v>26.1</v>
      </c>
      <c r="L16" s="50">
        <v>26.1</v>
      </c>
      <c r="M16" s="50">
        <v>26.1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25</v>
      </c>
      <c r="T16" s="50">
        <v>25</v>
      </c>
      <c r="U16" s="50">
        <v>25</v>
      </c>
      <c r="V16" s="50">
        <v>25</v>
      </c>
      <c r="W16" s="50">
        <v>25</v>
      </c>
      <c r="X16" s="50">
        <v>25</v>
      </c>
      <c r="Y16" s="50">
        <v>25</v>
      </c>
      <c r="Z16" s="50">
        <v>25</v>
      </c>
      <c r="AA16" s="50">
        <v>25</v>
      </c>
      <c r="AB16" s="50">
        <v>25</v>
      </c>
      <c r="AC16" s="50">
        <v>25</v>
      </c>
      <c r="AD16" s="50">
        <v>25</v>
      </c>
      <c r="AE16" s="50">
        <v>26.4</v>
      </c>
      <c r="AF16" s="50">
        <v>26.4</v>
      </c>
      <c r="AG16" s="134">
        <v>25</v>
      </c>
      <c r="AH16" s="54">
        <f t="shared" si="2"/>
        <v>26.4</v>
      </c>
      <c r="AI16" s="55">
        <f t="shared" si="3"/>
        <v>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/>
      <c r="C17" s="50">
        <v>25</v>
      </c>
      <c r="D17" s="50">
        <v>25</v>
      </c>
      <c r="E17" s="50">
        <v>12.5</v>
      </c>
      <c r="F17" s="50">
        <v>12.5</v>
      </c>
      <c r="G17" s="50">
        <v>12.5</v>
      </c>
      <c r="H17" s="50">
        <v>12.5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/>
      <c r="C18" s="50">
        <v>25</v>
      </c>
      <c r="D18" s="50">
        <v>25</v>
      </c>
      <c r="E18" s="50">
        <v>25</v>
      </c>
      <c r="F18" s="50">
        <v>25</v>
      </c>
      <c r="G18" s="50">
        <v>25</v>
      </c>
      <c r="H18" s="50">
        <v>25</v>
      </c>
      <c r="I18" s="50">
        <v>25</v>
      </c>
      <c r="J18" s="50">
        <v>25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25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/>
      <c r="C19" s="50">
        <v>33.1</v>
      </c>
      <c r="D19" s="50">
        <v>33.1</v>
      </c>
      <c r="E19" s="50">
        <v>33.1</v>
      </c>
      <c r="F19" s="50">
        <v>33.1</v>
      </c>
      <c r="G19" s="50">
        <v>26.2</v>
      </c>
      <c r="H19" s="50">
        <v>26.2</v>
      </c>
      <c r="I19" s="50">
        <v>26.2</v>
      </c>
      <c r="J19" s="50">
        <v>26.2</v>
      </c>
      <c r="K19" s="50">
        <v>33.200000000000003</v>
      </c>
      <c r="L19" s="50">
        <v>33.200000000000003</v>
      </c>
      <c r="M19" s="50">
        <v>33.200000000000003</v>
      </c>
      <c r="N19" s="50">
        <v>33.200000000000003</v>
      </c>
      <c r="O19" s="50">
        <v>33.200000000000003</v>
      </c>
      <c r="P19" s="50">
        <v>33.200000000000003</v>
      </c>
      <c r="Q19" s="50">
        <v>33.200000000000003</v>
      </c>
      <c r="R19" s="50">
        <v>33.200000000000003</v>
      </c>
      <c r="S19" s="50">
        <v>33.200000000000003</v>
      </c>
      <c r="T19" s="50">
        <v>33.200000000000003</v>
      </c>
      <c r="U19" s="50">
        <v>33.200000000000003</v>
      </c>
      <c r="V19" s="50">
        <v>33.200000000000003</v>
      </c>
      <c r="W19" s="50">
        <v>33.200000000000003</v>
      </c>
      <c r="X19" s="50">
        <v>33.200000000000003</v>
      </c>
      <c r="Y19" s="50">
        <v>33.200000000000003</v>
      </c>
      <c r="Z19" s="50">
        <v>33.200000000000003</v>
      </c>
      <c r="AA19" s="50">
        <v>33.200000000000003</v>
      </c>
      <c r="AB19" s="50">
        <v>33.200000000000003</v>
      </c>
      <c r="AC19" s="50">
        <v>33.200000000000003</v>
      </c>
      <c r="AD19" s="50">
        <v>33.200000000000003</v>
      </c>
      <c r="AE19" s="50">
        <v>33.200000000000003</v>
      </c>
      <c r="AF19" s="50">
        <v>33.200000000000003</v>
      </c>
      <c r="AG19" s="134">
        <v>24.2</v>
      </c>
      <c r="AH19" s="54">
        <f t="shared" si="2"/>
        <v>33.200000000000003</v>
      </c>
      <c r="AI19" s="55">
        <f t="shared" si="3"/>
        <v>26.2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/>
      <c r="C20" s="50">
        <v>23.8</v>
      </c>
      <c r="D20" s="50">
        <v>23.8</v>
      </c>
      <c r="E20" s="50">
        <v>23.8</v>
      </c>
      <c r="F20" s="50">
        <v>23.8</v>
      </c>
      <c r="G20" s="50">
        <v>23.8</v>
      </c>
      <c r="H20" s="50">
        <v>23.8</v>
      </c>
      <c r="I20" s="50">
        <v>23.8</v>
      </c>
      <c r="J20" s="50">
        <v>23.8</v>
      </c>
      <c r="K20" s="50">
        <v>23.8</v>
      </c>
      <c r="L20" s="50">
        <v>23.8</v>
      </c>
      <c r="M20" s="50">
        <v>23.8</v>
      </c>
      <c r="N20" s="50">
        <v>23.8</v>
      </c>
      <c r="O20" s="50">
        <v>23.8</v>
      </c>
      <c r="P20" s="50">
        <v>23.8</v>
      </c>
      <c r="Q20" s="50">
        <v>23.8</v>
      </c>
      <c r="R20" s="50">
        <v>23.8</v>
      </c>
      <c r="S20" s="50">
        <v>23.8</v>
      </c>
      <c r="T20" s="50">
        <v>23.8</v>
      </c>
      <c r="U20" s="50">
        <v>23.8</v>
      </c>
      <c r="V20" s="50">
        <v>23.8</v>
      </c>
      <c r="W20" s="50">
        <v>23.8</v>
      </c>
      <c r="X20" s="50">
        <v>23.8</v>
      </c>
      <c r="Y20" s="50">
        <v>23.8</v>
      </c>
      <c r="Z20" s="50">
        <v>23.8</v>
      </c>
      <c r="AA20" s="50">
        <v>23.8</v>
      </c>
      <c r="AB20" s="50">
        <v>23.8</v>
      </c>
      <c r="AC20" s="50">
        <v>23.8</v>
      </c>
      <c r="AD20" s="50">
        <v>23.8</v>
      </c>
      <c r="AE20" s="50">
        <v>23.8</v>
      </c>
      <c r="AF20" s="50">
        <v>24.1</v>
      </c>
      <c r="AG20" s="134">
        <v>23.5</v>
      </c>
      <c r="AH20" s="54">
        <f t="shared" si="2"/>
        <v>24.1</v>
      </c>
      <c r="AI20" s="55">
        <f t="shared" si="3"/>
        <v>23.8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/>
      <c r="C21" s="50">
        <v>22</v>
      </c>
      <c r="D21" s="50">
        <v>22</v>
      </c>
      <c r="E21" s="50">
        <v>22</v>
      </c>
      <c r="F21" s="50">
        <v>22</v>
      </c>
      <c r="G21" s="50">
        <v>22</v>
      </c>
      <c r="H21" s="50">
        <v>22</v>
      </c>
      <c r="I21" s="50">
        <v>22</v>
      </c>
      <c r="J21" s="50">
        <v>22</v>
      </c>
      <c r="K21" s="50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10</v>
      </c>
      <c r="AC21" s="50">
        <v>10</v>
      </c>
      <c r="AD21" s="50">
        <v>10</v>
      </c>
      <c r="AE21" s="50">
        <v>10</v>
      </c>
      <c r="AF21" s="50">
        <v>10</v>
      </c>
      <c r="AG21" s="134">
        <v>22.2</v>
      </c>
      <c r="AH21" s="54">
        <f t="shared" si="2"/>
        <v>22</v>
      </c>
      <c r="AI21" s="55">
        <f t="shared" si="3"/>
        <v>10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/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134">
        <v>22.1</v>
      </c>
      <c r="AH22" s="54">
        <f t="shared" si="2"/>
        <v>22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/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22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/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22</v>
      </c>
      <c r="AI24" s="55">
        <f t="shared" si="3"/>
        <v>22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/>
      <c r="C25" s="50">
        <v>0</v>
      </c>
      <c r="D25" s="50">
        <v>10</v>
      </c>
      <c r="E25" s="50">
        <v>15</v>
      </c>
      <c r="F25" s="50">
        <v>5</v>
      </c>
      <c r="G25" s="50">
        <v>5</v>
      </c>
      <c r="H25" s="50">
        <v>5</v>
      </c>
      <c r="I25" s="50">
        <v>5</v>
      </c>
      <c r="J25" s="50">
        <v>10</v>
      </c>
      <c r="K25" s="50">
        <v>20</v>
      </c>
      <c r="L25" s="50">
        <v>20</v>
      </c>
      <c r="M25" s="50">
        <v>20</v>
      </c>
      <c r="N25" s="50">
        <v>20</v>
      </c>
      <c r="O25" s="50">
        <v>20</v>
      </c>
      <c r="P25" s="50">
        <v>20</v>
      </c>
      <c r="Q25" s="50">
        <v>20</v>
      </c>
      <c r="R25" s="50">
        <v>20</v>
      </c>
      <c r="S25" s="50">
        <v>12</v>
      </c>
      <c r="T25" s="50">
        <v>20</v>
      </c>
      <c r="U25" s="50">
        <v>15</v>
      </c>
      <c r="V25" s="50">
        <v>15</v>
      </c>
      <c r="W25" s="50">
        <v>15</v>
      </c>
      <c r="X25" s="50">
        <v>15</v>
      </c>
      <c r="Y25" s="50">
        <v>15</v>
      </c>
      <c r="Z25" s="50">
        <v>20</v>
      </c>
      <c r="AA25" s="50">
        <v>20</v>
      </c>
      <c r="AB25" s="50">
        <v>20</v>
      </c>
      <c r="AC25" s="50">
        <v>20</v>
      </c>
      <c r="AD25" s="50">
        <v>20</v>
      </c>
      <c r="AE25" s="50">
        <v>15</v>
      </c>
      <c r="AF25" s="50">
        <v>20</v>
      </c>
      <c r="AG25" s="134">
        <v>20</v>
      </c>
      <c r="AH25" s="54">
        <f t="shared" si="2"/>
        <v>20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/>
      <c r="C26" s="50">
        <v>7.8</v>
      </c>
      <c r="D26" s="50">
        <v>7.8</v>
      </c>
      <c r="E26" s="50">
        <v>7.8</v>
      </c>
      <c r="F26" s="50">
        <v>7.8</v>
      </c>
      <c r="G26" s="50">
        <v>7.8</v>
      </c>
      <c r="H26" s="50">
        <v>7.8</v>
      </c>
      <c r="I26" s="50">
        <v>7.8</v>
      </c>
      <c r="J26" s="50">
        <v>7.8</v>
      </c>
      <c r="K26" s="50">
        <v>7.8</v>
      </c>
      <c r="L26" s="50">
        <v>7.8</v>
      </c>
      <c r="M26" s="50">
        <v>7.8</v>
      </c>
      <c r="N26" s="50">
        <v>7.8</v>
      </c>
      <c r="O26" s="50">
        <v>7.8</v>
      </c>
      <c r="P26" s="50">
        <v>7.8</v>
      </c>
      <c r="Q26" s="50">
        <v>7.8</v>
      </c>
      <c r="R26" s="50">
        <v>7.8</v>
      </c>
      <c r="S26" s="50">
        <v>7.8</v>
      </c>
      <c r="T26" s="50">
        <v>7.8</v>
      </c>
      <c r="U26" s="50">
        <v>7.8</v>
      </c>
      <c r="V26" s="50">
        <v>7.8</v>
      </c>
      <c r="W26" s="50">
        <v>7.8</v>
      </c>
      <c r="X26" s="50">
        <v>7.8</v>
      </c>
      <c r="Y26" s="50">
        <v>7.8</v>
      </c>
      <c r="Z26" s="50">
        <v>7.8</v>
      </c>
      <c r="AA26" s="50">
        <v>7.8</v>
      </c>
      <c r="AB26" s="50">
        <v>7.8</v>
      </c>
      <c r="AC26" s="50">
        <v>7.8</v>
      </c>
      <c r="AD26" s="50">
        <v>7.8</v>
      </c>
      <c r="AE26" s="50">
        <v>7.8</v>
      </c>
      <c r="AF26" s="50">
        <v>7.8</v>
      </c>
      <c r="AG26" s="134">
        <v>14.9</v>
      </c>
      <c r="AH26" s="54">
        <f t="shared" si="2"/>
        <v>7.8</v>
      </c>
      <c r="AI26" s="55">
        <f t="shared" si="3"/>
        <v>7.8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/>
      <c r="C27" s="50">
        <v>10</v>
      </c>
      <c r="D27" s="50">
        <v>10</v>
      </c>
      <c r="E27" s="50">
        <v>10</v>
      </c>
      <c r="F27" s="50">
        <v>10</v>
      </c>
      <c r="G27" s="50">
        <v>10</v>
      </c>
      <c r="H27" s="50">
        <v>10</v>
      </c>
      <c r="I27" s="50">
        <v>10</v>
      </c>
      <c r="J27" s="50">
        <v>10</v>
      </c>
      <c r="K27" s="50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134">
        <v>13.6</v>
      </c>
      <c r="AH27" s="54">
        <f t="shared" si="2"/>
        <v>10</v>
      </c>
      <c r="AI27" s="55">
        <f t="shared" si="3"/>
        <v>10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/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12</v>
      </c>
      <c r="T28" s="50">
        <v>12</v>
      </c>
      <c r="U28" s="50">
        <v>12</v>
      </c>
      <c r="V28" s="50">
        <v>12</v>
      </c>
      <c r="W28" s="50">
        <v>12</v>
      </c>
      <c r="X28" s="50">
        <v>12</v>
      </c>
      <c r="Y28" s="50">
        <v>12</v>
      </c>
      <c r="Z28" s="50">
        <v>12</v>
      </c>
      <c r="AA28" s="50">
        <v>12</v>
      </c>
      <c r="AB28" s="50">
        <v>12</v>
      </c>
      <c r="AC28" s="50">
        <v>12</v>
      </c>
      <c r="AD28" s="50">
        <v>12</v>
      </c>
      <c r="AE28" s="50">
        <v>12</v>
      </c>
      <c r="AF28" s="50">
        <v>12</v>
      </c>
      <c r="AG28" s="134">
        <v>13</v>
      </c>
      <c r="AH28" s="54">
        <f t="shared" si="2"/>
        <v>12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/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134">
        <v>12</v>
      </c>
      <c r="AH29" s="54">
        <f t="shared" si="2"/>
        <v>12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/>
      <c r="C30" s="50">
        <v>7</v>
      </c>
      <c r="D30" s="50">
        <v>7</v>
      </c>
      <c r="E30" s="50">
        <v>7</v>
      </c>
      <c r="F30" s="50">
        <v>7</v>
      </c>
      <c r="G30" s="50">
        <v>7</v>
      </c>
      <c r="H30" s="50">
        <v>7</v>
      </c>
      <c r="I30" s="50">
        <v>7</v>
      </c>
      <c r="J30" s="50">
        <v>7</v>
      </c>
      <c r="K30" s="50">
        <v>7</v>
      </c>
      <c r="L30" s="50">
        <v>7</v>
      </c>
      <c r="M30" s="50">
        <v>7</v>
      </c>
      <c r="N30" s="50">
        <v>7</v>
      </c>
      <c r="O30" s="50">
        <v>7</v>
      </c>
      <c r="P30" s="50">
        <v>7</v>
      </c>
      <c r="Q30" s="50">
        <v>7</v>
      </c>
      <c r="R30" s="50">
        <v>7</v>
      </c>
      <c r="S30" s="50">
        <v>7</v>
      </c>
      <c r="T30" s="50">
        <v>7</v>
      </c>
      <c r="U30" s="50">
        <v>7</v>
      </c>
      <c r="V30" s="50">
        <v>7</v>
      </c>
      <c r="W30" s="50">
        <v>7</v>
      </c>
      <c r="X30" s="50">
        <v>7</v>
      </c>
      <c r="Y30" s="50">
        <v>7</v>
      </c>
      <c r="Z30" s="50">
        <v>7</v>
      </c>
      <c r="AA30" s="50">
        <v>7</v>
      </c>
      <c r="AB30" s="50">
        <v>7</v>
      </c>
      <c r="AC30" s="50">
        <v>7</v>
      </c>
      <c r="AD30" s="50">
        <v>7</v>
      </c>
      <c r="AE30" s="50">
        <v>7</v>
      </c>
      <c r="AF30" s="50">
        <v>7</v>
      </c>
      <c r="AG30" s="134">
        <v>12</v>
      </c>
      <c r="AH30" s="54">
        <f t="shared" si="2"/>
        <v>7</v>
      </c>
      <c r="AI30" s="55">
        <f t="shared" si="3"/>
        <v>7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/>
      <c r="C31" s="50">
        <v>8.5</v>
      </c>
      <c r="D31" s="50">
        <v>8.5</v>
      </c>
      <c r="E31" s="50">
        <v>8.5</v>
      </c>
      <c r="F31" s="50">
        <v>8.5</v>
      </c>
      <c r="G31" s="50">
        <v>8.5</v>
      </c>
      <c r="H31" s="50">
        <v>8.5</v>
      </c>
      <c r="I31" s="50">
        <v>8.5</v>
      </c>
      <c r="J31" s="50">
        <v>8.5</v>
      </c>
      <c r="K31" s="50">
        <v>8.5</v>
      </c>
      <c r="L31" s="50">
        <v>8.5</v>
      </c>
      <c r="M31" s="50">
        <v>8.5</v>
      </c>
      <c r="N31" s="50">
        <v>8.5</v>
      </c>
      <c r="O31" s="50">
        <v>8.5</v>
      </c>
      <c r="P31" s="50">
        <v>8.5</v>
      </c>
      <c r="Q31" s="50">
        <v>8.5</v>
      </c>
      <c r="R31" s="50">
        <v>8.5</v>
      </c>
      <c r="S31" s="50">
        <v>8.5</v>
      </c>
      <c r="T31" s="50">
        <v>8.5</v>
      </c>
      <c r="U31" s="50">
        <v>8.5</v>
      </c>
      <c r="V31" s="50">
        <v>8.5</v>
      </c>
      <c r="W31" s="50">
        <v>8.5</v>
      </c>
      <c r="X31" s="50">
        <v>8.5</v>
      </c>
      <c r="Y31" s="50">
        <v>8.5</v>
      </c>
      <c r="Z31" s="50">
        <v>8.5</v>
      </c>
      <c r="AA31" s="50">
        <v>8.5</v>
      </c>
      <c r="AB31" s="50">
        <v>8.5</v>
      </c>
      <c r="AC31" s="50">
        <v>8.5</v>
      </c>
      <c r="AD31" s="50">
        <v>8.5</v>
      </c>
      <c r="AE31" s="50">
        <v>8.5</v>
      </c>
      <c r="AF31" s="50">
        <v>8.5</v>
      </c>
      <c r="AG31" s="178">
        <v>22</v>
      </c>
      <c r="AH31" s="54">
        <f>MAX(B31:AF31)</f>
        <v>8.5</v>
      </c>
      <c r="AI31" s="55">
        <f>MIN(B31:AF31)</f>
        <v>8.5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/>
      <c r="C32" s="50">
        <v>11</v>
      </c>
      <c r="D32" s="50">
        <v>11</v>
      </c>
      <c r="E32" s="50">
        <v>11</v>
      </c>
      <c r="F32" s="50">
        <v>11</v>
      </c>
      <c r="G32" s="50">
        <v>11</v>
      </c>
      <c r="H32" s="50">
        <v>11</v>
      </c>
      <c r="I32" s="50">
        <v>11</v>
      </c>
      <c r="J32" s="50">
        <v>11</v>
      </c>
      <c r="K32" s="50">
        <v>11</v>
      </c>
      <c r="L32" s="50">
        <v>11</v>
      </c>
      <c r="M32" s="50">
        <v>11</v>
      </c>
      <c r="N32" s="50">
        <v>11</v>
      </c>
      <c r="O32" s="50">
        <v>11</v>
      </c>
      <c r="P32" s="50">
        <v>11</v>
      </c>
      <c r="Q32" s="50">
        <v>11</v>
      </c>
      <c r="R32" s="50">
        <v>11</v>
      </c>
      <c r="S32" s="50">
        <v>11</v>
      </c>
      <c r="T32" s="50">
        <v>11</v>
      </c>
      <c r="U32" s="50">
        <v>11</v>
      </c>
      <c r="V32" s="50">
        <v>11</v>
      </c>
      <c r="W32" s="50">
        <v>11</v>
      </c>
      <c r="X32" s="50">
        <v>11</v>
      </c>
      <c r="Y32" s="50">
        <v>11</v>
      </c>
      <c r="Z32" s="50">
        <v>11</v>
      </c>
      <c r="AA32" s="50">
        <v>11</v>
      </c>
      <c r="AB32" s="50">
        <v>11</v>
      </c>
      <c r="AC32" s="50">
        <v>11</v>
      </c>
      <c r="AD32" s="50">
        <v>11</v>
      </c>
      <c r="AE32" s="50">
        <v>11</v>
      </c>
      <c r="AF32" s="50">
        <v>11</v>
      </c>
      <c r="AG32" s="135">
        <v>11.88</v>
      </c>
      <c r="AH32" s="54">
        <f t="shared" si="2"/>
        <v>11</v>
      </c>
      <c r="AI32" s="55">
        <f t="shared" si="3"/>
        <v>11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/>
      <c r="C33" s="50">
        <v>11</v>
      </c>
      <c r="D33" s="50">
        <v>11</v>
      </c>
      <c r="E33" s="50">
        <v>11</v>
      </c>
      <c r="F33" s="50">
        <v>11</v>
      </c>
      <c r="G33" s="50">
        <v>11</v>
      </c>
      <c r="H33" s="50">
        <v>11</v>
      </c>
      <c r="I33" s="50">
        <v>11</v>
      </c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11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/>
      <c r="C34" s="50">
        <v>0</v>
      </c>
      <c r="D34" s="50">
        <v>0</v>
      </c>
      <c r="E34" s="50">
        <v>8.3000000000000007</v>
      </c>
      <c r="F34" s="50">
        <v>8.3000000000000007</v>
      </c>
      <c r="G34" s="50">
        <v>8.3000000000000007</v>
      </c>
      <c r="H34" s="50">
        <v>8.3000000000000007</v>
      </c>
      <c r="I34" s="50">
        <v>8.3000000000000007</v>
      </c>
      <c r="J34" s="50">
        <v>8.3000000000000007</v>
      </c>
      <c r="K34" s="50">
        <v>8.3000000000000007</v>
      </c>
      <c r="L34" s="50">
        <v>8.3000000000000007</v>
      </c>
      <c r="M34" s="50">
        <v>8.3000000000000007</v>
      </c>
      <c r="N34" s="50">
        <v>8.3000000000000007</v>
      </c>
      <c r="O34" s="50">
        <v>8.3000000000000007</v>
      </c>
      <c r="P34" s="50">
        <v>8.3000000000000007</v>
      </c>
      <c r="Q34" s="50">
        <v>8.3000000000000007</v>
      </c>
      <c r="R34" s="50">
        <v>8.3000000000000007</v>
      </c>
      <c r="S34" s="50">
        <v>8.3000000000000007</v>
      </c>
      <c r="T34" s="50">
        <v>8.3000000000000007</v>
      </c>
      <c r="U34" s="50">
        <v>8.3000000000000007</v>
      </c>
      <c r="V34" s="50">
        <v>8.3000000000000007</v>
      </c>
      <c r="W34" s="50">
        <v>8.3000000000000007</v>
      </c>
      <c r="X34" s="50">
        <v>8.3000000000000007</v>
      </c>
      <c r="Y34" s="50">
        <v>8.3000000000000007</v>
      </c>
      <c r="Z34" s="50">
        <v>8.3000000000000007</v>
      </c>
      <c r="AA34" s="50">
        <v>8.3000000000000007</v>
      </c>
      <c r="AB34" s="50">
        <v>8.3000000000000007</v>
      </c>
      <c r="AC34" s="50">
        <v>8.3000000000000007</v>
      </c>
      <c r="AD34" s="50">
        <v>8.3000000000000007</v>
      </c>
      <c r="AE34" s="50">
        <v>8.3000000000000007</v>
      </c>
      <c r="AF34" s="50">
        <v>8.3000000000000007</v>
      </c>
      <c r="AG34" s="136">
        <v>10</v>
      </c>
      <c r="AH34" s="54">
        <f t="shared" si="2"/>
        <v>8.3000000000000007</v>
      </c>
      <c r="AI34" s="55">
        <f t="shared" si="3"/>
        <v>0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/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136">
        <v>10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/>
      <c r="C36" s="62">
        <v>300</v>
      </c>
      <c r="D36" s="62">
        <v>300</v>
      </c>
      <c r="E36" s="62">
        <v>300</v>
      </c>
      <c r="F36" s="62">
        <v>285</v>
      </c>
      <c r="G36" s="62">
        <v>300</v>
      </c>
      <c r="H36" s="62">
        <v>292</v>
      </c>
      <c r="I36" s="62">
        <v>292</v>
      </c>
      <c r="J36" s="62">
        <v>300</v>
      </c>
      <c r="K36" s="62">
        <v>300</v>
      </c>
      <c r="L36" s="62">
        <v>300</v>
      </c>
      <c r="M36" s="62">
        <v>300</v>
      </c>
      <c r="N36" s="62">
        <v>300</v>
      </c>
      <c r="O36" s="62">
        <v>300</v>
      </c>
      <c r="P36" s="62">
        <v>300</v>
      </c>
      <c r="Q36" s="62">
        <v>300</v>
      </c>
      <c r="R36" s="62">
        <v>300</v>
      </c>
      <c r="S36" s="62">
        <v>300</v>
      </c>
      <c r="T36" s="62">
        <v>300</v>
      </c>
      <c r="U36" s="62">
        <v>300</v>
      </c>
      <c r="V36" s="62">
        <v>300</v>
      </c>
      <c r="W36" s="62">
        <v>300</v>
      </c>
      <c r="X36" s="62">
        <v>300</v>
      </c>
      <c r="Y36" s="62">
        <v>300</v>
      </c>
      <c r="Z36" s="62">
        <v>300</v>
      </c>
      <c r="AA36" s="62">
        <v>300</v>
      </c>
      <c r="AB36" s="62">
        <v>300</v>
      </c>
      <c r="AC36" s="62">
        <v>300</v>
      </c>
      <c r="AD36" s="62">
        <v>300</v>
      </c>
      <c r="AE36" s="62">
        <v>300</v>
      </c>
      <c r="AF36" s="62">
        <v>300</v>
      </c>
      <c r="AG36" s="136">
        <v>85</v>
      </c>
      <c r="AH36" s="54">
        <f t="shared" si="2"/>
        <v>300</v>
      </c>
      <c r="AI36" s="55">
        <f t="shared" si="3"/>
        <v>285</v>
      </c>
      <c r="AK36" s="56"/>
    </row>
    <row r="37" spans="1:88" ht="15.75" thickBot="1" x14ac:dyDescent="0.3">
      <c r="A37" s="63" t="s">
        <v>21</v>
      </c>
      <c r="B37" s="64"/>
      <c r="C37" s="62">
        <v>157</v>
      </c>
      <c r="D37" s="62">
        <v>157</v>
      </c>
      <c r="E37" s="62">
        <v>157</v>
      </c>
      <c r="F37" s="62">
        <v>157</v>
      </c>
      <c r="G37" s="62">
        <v>157</v>
      </c>
      <c r="H37" s="62">
        <v>157</v>
      </c>
      <c r="I37" s="62">
        <v>157</v>
      </c>
      <c r="J37" s="62">
        <v>157</v>
      </c>
      <c r="K37" s="62">
        <v>157</v>
      </c>
      <c r="L37" s="62">
        <v>157</v>
      </c>
      <c r="M37" s="62">
        <f>31.9+88.7</f>
        <v>120.6</v>
      </c>
      <c r="N37" s="62">
        <f>31.9+88.7</f>
        <v>120.6</v>
      </c>
      <c r="O37" s="62">
        <f>57.1+97.2</f>
        <v>154.30000000000001</v>
      </c>
      <c r="P37" s="62">
        <f>56.7+96.3</f>
        <v>153</v>
      </c>
      <c r="Q37" s="62">
        <f>56.9+98.2</f>
        <v>155.1</v>
      </c>
      <c r="R37" s="62">
        <f>56.9+98.4</f>
        <v>155.30000000000001</v>
      </c>
      <c r="S37" s="62">
        <f>54.7+78.4</f>
        <v>133.10000000000002</v>
      </c>
      <c r="T37" s="64">
        <f>56.7+93.6</f>
        <v>150.30000000000001</v>
      </c>
      <c r="U37" s="64">
        <f>65.5+96.4</f>
        <v>161.9</v>
      </c>
      <c r="V37" s="64">
        <f>41.4+96.4</f>
        <v>137.80000000000001</v>
      </c>
      <c r="W37" s="64">
        <f>41.4+96.4</f>
        <v>137.80000000000001</v>
      </c>
      <c r="X37" s="64">
        <f>41.4+96.4</f>
        <v>137.80000000000001</v>
      </c>
      <c r="Y37" s="64">
        <f>41.4+96.4</f>
        <v>137.80000000000001</v>
      </c>
      <c r="Z37" s="64">
        <v>128</v>
      </c>
      <c r="AA37" s="64">
        <v>128</v>
      </c>
      <c r="AB37" s="64">
        <f>31.3+95.3</f>
        <v>126.6</v>
      </c>
      <c r="AC37" s="64">
        <f>37.6+95.5</f>
        <v>133.1</v>
      </c>
      <c r="AD37" s="64">
        <f>66.2+96.5</f>
        <v>162.69999999999999</v>
      </c>
      <c r="AE37" s="64">
        <f>65.5+95.3</f>
        <v>160.80000000000001</v>
      </c>
      <c r="AF37" s="64">
        <f>65.6+97.3</f>
        <v>162.89999999999998</v>
      </c>
      <c r="AG37" s="136">
        <v>240</v>
      </c>
      <c r="AH37" s="54">
        <f t="shared" si="2"/>
        <v>162.89999999999998</v>
      </c>
      <c r="AI37" s="55">
        <f t="shared" si="3"/>
        <v>120.6</v>
      </c>
      <c r="AK37" s="56"/>
    </row>
    <row r="38" spans="1:88" ht="15.75" thickBot="1" x14ac:dyDescent="0.3">
      <c r="A38" s="131" t="s">
        <v>22</v>
      </c>
      <c r="B38" s="66">
        <f t="shared" ref="B38:AG38" si="4">SUM(B11:B36)</f>
        <v>0</v>
      </c>
      <c r="C38" s="66">
        <f t="shared" si="4"/>
        <v>756.2</v>
      </c>
      <c r="D38" s="66">
        <f t="shared" si="4"/>
        <v>756.2</v>
      </c>
      <c r="E38" s="66">
        <f t="shared" si="4"/>
        <v>785</v>
      </c>
      <c r="F38" s="66">
        <f t="shared" si="4"/>
        <v>745</v>
      </c>
      <c r="G38" s="66">
        <f t="shared" si="4"/>
        <v>752.30000000000007</v>
      </c>
      <c r="H38" s="66">
        <f t="shared" si="4"/>
        <v>744.30000000000007</v>
      </c>
      <c r="I38" s="66">
        <f t="shared" si="4"/>
        <v>756.80000000000007</v>
      </c>
      <c r="J38" s="66">
        <f t="shared" si="4"/>
        <v>777.80000000000007</v>
      </c>
      <c r="K38" s="66">
        <f t="shared" si="4"/>
        <v>812.6</v>
      </c>
      <c r="L38" s="66">
        <f t="shared" si="4"/>
        <v>812.6</v>
      </c>
      <c r="M38" s="66">
        <f t="shared" si="4"/>
        <v>812.6</v>
      </c>
      <c r="N38" s="66">
        <f t="shared" si="4"/>
        <v>786.5</v>
      </c>
      <c r="O38" s="66">
        <f t="shared" si="4"/>
        <v>786.5</v>
      </c>
      <c r="P38" s="66">
        <f t="shared" si="4"/>
        <v>786.5</v>
      </c>
      <c r="Q38" s="66">
        <f t="shared" si="4"/>
        <v>786.5</v>
      </c>
      <c r="R38" s="66">
        <f t="shared" si="4"/>
        <v>786.5</v>
      </c>
      <c r="S38" s="66">
        <f t="shared" si="4"/>
        <v>822.5</v>
      </c>
      <c r="T38" s="66">
        <f t="shared" si="4"/>
        <v>830.5</v>
      </c>
      <c r="U38" s="66">
        <f t="shared" si="4"/>
        <v>820.5</v>
      </c>
      <c r="V38" s="66">
        <f t="shared" si="4"/>
        <v>795.5</v>
      </c>
      <c r="W38" s="66">
        <f t="shared" si="4"/>
        <v>795.5</v>
      </c>
      <c r="X38" s="66">
        <f t="shared" si="4"/>
        <v>795.5</v>
      </c>
      <c r="Y38" s="66">
        <f t="shared" si="4"/>
        <v>795.5</v>
      </c>
      <c r="Z38" s="66">
        <f t="shared" si="4"/>
        <v>800.5</v>
      </c>
      <c r="AA38" s="66">
        <f t="shared" si="4"/>
        <v>800.5</v>
      </c>
      <c r="AB38" s="66">
        <f t="shared" si="4"/>
        <v>800.5</v>
      </c>
      <c r="AC38" s="66">
        <f t="shared" si="4"/>
        <v>800.5</v>
      </c>
      <c r="AD38" s="66">
        <f t="shared" si="4"/>
        <v>825.5</v>
      </c>
      <c r="AE38" s="66">
        <f t="shared" si="4"/>
        <v>821.8</v>
      </c>
      <c r="AF38" s="66">
        <f t="shared" si="4"/>
        <v>820.9</v>
      </c>
      <c r="AG38" s="143">
        <f t="shared" si="4"/>
        <v>665.78</v>
      </c>
      <c r="AH38" s="54">
        <f t="shared" si="2"/>
        <v>830.5</v>
      </c>
      <c r="AI38" s="55">
        <f t="shared" si="3"/>
        <v>0</v>
      </c>
      <c r="AK38" s="56"/>
    </row>
    <row r="39" spans="1:88" x14ac:dyDescent="0.25">
      <c r="A39" s="159" t="s">
        <v>130</v>
      </c>
      <c r="B39" s="50"/>
      <c r="C39" s="50">
        <v>456</v>
      </c>
      <c r="D39" s="50">
        <v>456</v>
      </c>
      <c r="E39" s="50">
        <v>456</v>
      </c>
      <c r="F39" s="50">
        <v>456</v>
      </c>
      <c r="G39" s="50">
        <v>456</v>
      </c>
      <c r="H39" s="50">
        <v>456</v>
      </c>
      <c r="I39" s="50">
        <v>456</v>
      </c>
      <c r="J39" s="50">
        <v>456</v>
      </c>
      <c r="K39" s="50">
        <v>456</v>
      </c>
      <c r="L39" s="50">
        <v>456</v>
      </c>
      <c r="M39" s="50">
        <v>456</v>
      </c>
      <c r="N39" s="50">
        <v>456</v>
      </c>
      <c r="O39" s="50">
        <v>456</v>
      </c>
      <c r="P39" s="50">
        <v>456</v>
      </c>
      <c r="Q39" s="50">
        <v>456</v>
      </c>
      <c r="R39" s="50">
        <v>456</v>
      </c>
      <c r="S39" s="50">
        <v>456</v>
      </c>
      <c r="T39" s="50">
        <v>370</v>
      </c>
      <c r="U39" s="50">
        <v>456</v>
      </c>
      <c r="V39" s="50">
        <v>456</v>
      </c>
      <c r="W39" s="50">
        <v>456</v>
      </c>
      <c r="X39" s="50">
        <v>456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456</v>
      </c>
      <c r="AF39" s="50">
        <v>456</v>
      </c>
      <c r="AG39" s="135">
        <v>456</v>
      </c>
      <c r="AH39" s="54">
        <f t="shared" si="2"/>
        <v>456</v>
      </c>
      <c r="AI39" s="55">
        <f t="shared" si="3"/>
        <v>370</v>
      </c>
      <c r="AK39" s="56"/>
    </row>
    <row r="40" spans="1:88" x14ac:dyDescent="0.25">
      <c r="A40" s="160" t="s">
        <v>131</v>
      </c>
      <c r="B40" s="48"/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/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f>SUM(B39:B41)</f>
        <v>0</v>
      </c>
      <c r="C42" s="66">
        <f t="shared" ref="C42:AG42" si="5">SUM(C39:C41)</f>
        <v>538</v>
      </c>
      <c r="D42" s="66">
        <f t="shared" si="5"/>
        <v>538</v>
      </c>
      <c r="E42" s="66">
        <f t="shared" si="5"/>
        <v>538</v>
      </c>
      <c r="F42" s="66">
        <f t="shared" si="5"/>
        <v>538</v>
      </c>
      <c r="G42" s="66">
        <f t="shared" si="5"/>
        <v>538</v>
      </c>
      <c r="H42" s="66">
        <f t="shared" si="5"/>
        <v>538</v>
      </c>
      <c r="I42" s="66">
        <f t="shared" si="5"/>
        <v>538</v>
      </c>
      <c r="J42" s="66">
        <f t="shared" si="5"/>
        <v>538</v>
      </c>
      <c r="K42" s="66">
        <f t="shared" si="5"/>
        <v>538</v>
      </c>
      <c r="L42" s="66">
        <f t="shared" si="5"/>
        <v>538</v>
      </c>
      <c r="M42" s="66">
        <f t="shared" si="5"/>
        <v>538</v>
      </c>
      <c r="N42" s="66">
        <f t="shared" si="5"/>
        <v>538</v>
      </c>
      <c r="O42" s="66">
        <f t="shared" si="5"/>
        <v>538</v>
      </c>
      <c r="P42" s="66">
        <f t="shared" si="5"/>
        <v>538</v>
      </c>
      <c r="Q42" s="66">
        <f t="shared" si="5"/>
        <v>538</v>
      </c>
      <c r="R42" s="66">
        <f t="shared" si="5"/>
        <v>538</v>
      </c>
      <c r="S42" s="66">
        <f t="shared" si="5"/>
        <v>538</v>
      </c>
      <c r="T42" s="66">
        <f t="shared" si="5"/>
        <v>452</v>
      </c>
      <c r="U42" s="66">
        <f t="shared" si="5"/>
        <v>538</v>
      </c>
      <c r="V42" s="66">
        <f t="shared" si="5"/>
        <v>538</v>
      </c>
      <c r="W42" s="66">
        <f t="shared" si="5"/>
        <v>538</v>
      </c>
      <c r="X42" s="66">
        <f t="shared" si="5"/>
        <v>538</v>
      </c>
      <c r="Y42" s="66">
        <f t="shared" si="5"/>
        <v>538</v>
      </c>
      <c r="Z42" s="66">
        <f t="shared" si="5"/>
        <v>538</v>
      </c>
      <c r="AA42" s="66">
        <f t="shared" si="5"/>
        <v>538</v>
      </c>
      <c r="AB42" s="66">
        <f t="shared" si="5"/>
        <v>538</v>
      </c>
      <c r="AC42" s="66">
        <f t="shared" si="5"/>
        <v>538</v>
      </c>
      <c r="AD42" s="66">
        <f t="shared" si="5"/>
        <v>538</v>
      </c>
      <c r="AE42" s="66">
        <f t="shared" si="5"/>
        <v>538</v>
      </c>
      <c r="AF42" s="66">
        <f t="shared" si="5"/>
        <v>538</v>
      </c>
      <c r="AG42" s="143">
        <f t="shared" si="5"/>
        <v>538.1</v>
      </c>
      <c r="AH42" s="54">
        <f t="shared" si="2"/>
        <v>538</v>
      </c>
      <c r="AI42" s="55">
        <f t="shared" si="3"/>
        <v>0</v>
      </c>
      <c r="AK42" s="56"/>
    </row>
    <row r="43" spans="1:88" x14ac:dyDescent="0.25">
      <c r="A43" s="57" t="s">
        <v>23</v>
      </c>
      <c r="B43" s="50"/>
      <c r="C43" s="50">
        <v>72</v>
      </c>
      <c r="D43" s="50">
        <v>72</v>
      </c>
      <c r="E43" s="50">
        <v>73</v>
      </c>
      <c r="F43" s="50">
        <v>93</v>
      </c>
      <c r="G43" s="50">
        <v>103</v>
      </c>
      <c r="H43" s="50">
        <v>128</v>
      </c>
      <c r="I43" s="50">
        <v>128</v>
      </c>
      <c r="J43" s="50">
        <v>133.69999999999999</v>
      </c>
      <c r="K43" s="50">
        <v>134</v>
      </c>
      <c r="L43" s="50">
        <v>134</v>
      </c>
      <c r="M43" s="50">
        <v>135</v>
      </c>
      <c r="N43" s="50">
        <v>135.19999999999999</v>
      </c>
      <c r="O43" s="50">
        <v>135.19999999999999</v>
      </c>
      <c r="P43" s="50">
        <v>135.19999999999999</v>
      </c>
      <c r="Q43" s="50">
        <v>134.69999999999999</v>
      </c>
      <c r="R43" s="50">
        <v>134.4</v>
      </c>
      <c r="S43" s="50">
        <v>134.4</v>
      </c>
      <c r="T43" s="50">
        <v>134.4</v>
      </c>
      <c r="U43" s="50">
        <v>136.19999999999999</v>
      </c>
      <c r="V43" s="50">
        <v>136.19999999999999</v>
      </c>
      <c r="W43" s="50">
        <v>136.19999999999999</v>
      </c>
      <c r="X43" s="50">
        <v>136.19999999999999</v>
      </c>
      <c r="Y43" s="50">
        <v>136.19999999999999</v>
      </c>
      <c r="Z43" s="50">
        <v>136.19999999999999</v>
      </c>
      <c r="AA43" s="50">
        <v>136.19999999999999</v>
      </c>
      <c r="AB43" s="50">
        <v>133.69999999999999</v>
      </c>
      <c r="AC43" s="50">
        <v>133.69999999999999</v>
      </c>
      <c r="AD43" s="50">
        <v>133.69999999999999</v>
      </c>
      <c r="AE43" s="50">
        <v>135.9</v>
      </c>
      <c r="AF43" s="50">
        <v>135.9</v>
      </c>
      <c r="AG43" s="135">
        <v>144</v>
      </c>
      <c r="AH43" s="54">
        <f t="shared" si="2"/>
        <v>136.19999999999999</v>
      </c>
      <c r="AI43" s="55">
        <f t="shared" si="3"/>
        <v>72</v>
      </c>
      <c r="AK43" s="56"/>
    </row>
    <row r="44" spans="1:88" x14ac:dyDescent="0.25">
      <c r="A44" s="60" t="s">
        <v>24</v>
      </c>
      <c r="B44" s="48"/>
      <c r="C44" s="48">
        <v>73.099999999999994</v>
      </c>
      <c r="D44" s="48">
        <v>73.099999999999994</v>
      </c>
      <c r="E44" s="48">
        <v>70.3</v>
      </c>
      <c r="F44" s="48">
        <v>72</v>
      </c>
      <c r="G44" s="48">
        <v>72</v>
      </c>
      <c r="H44" s="48">
        <v>72.400000000000006</v>
      </c>
      <c r="I44" s="48">
        <v>72.400000000000006</v>
      </c>
      <c r="J44" s="48">
        <v>71.900000000000006</v>
      </c>
      <c r="K44" s="48">
        <v>71.900000000000006</v>
      </c>
      <c r="L44" s="48">
        <v>71.900000000000006</v>
      </c>
      <c r="M44" s="48">
        <v>71.099999999999994</v>
      </c>
      <c r="N44" s="50">
        <v>71.5</v>
      </c>
      <c r="O44" s="50">
        <v>71.5</v>
      </c>
      <c r="P44" s="50">
        <v>71.5</v>
      </c>
      <c r="Q44" s="50">
        <v>71.5</v>
      </c>
      <c r="R44" s="50">
        <v>72.2</v>
      </c>
      <c r="S44" s="50">
        <v>70.3</v>
      </c>
      <c r="T44" s="50">
        <v>70.3</v>
      </c>
      <c r="U44" s="50">
        <v>70.3</v>
      </c>
      <c r="V44" s="50">
        <v>70.3</v>
      </c>
      <c r="W44" s="50">
        <v>70.3</v>
      </c>
      <c r="X44" s="50">
        <v>70.3</v>
      </c>
      <c r="Y44" s="50">
        <v>72.099999999999994</v>
      </c>
      <c r="Z44" s="50">
        <v>72.099999999999994</v>
      </c>
      <c r="AA44" s="50">
        <v>72.099999999999994</v>
      </c>
      <c r="AB44" s="50">
        <v>72.099999999999994</v>
      </c>
      <c r="AC44" s="50">
        <v>68.3</v>
      </c>
      <c r="AD44" s="50">
        <v>68.3</v>
      </c>
      <c r="AE44" s="48">
        <v>71.2</v>
      </c>
      <c r="AF44" s="48">
        <v>69.7</v>
      </c>
      <c r="AG44" s="136">
        <v>70</v>
      </c>
      <c r="AH44" s="54">
        <f t="shared" si="2"/>
        <v>73.099999999999994</v>
      </c>
      <c r="AI44" s="55">
        <f t="shared" si="3"/>
        <v>68.3</v>
      </c>
      <c r="AK44" s="56"/>
    </row>
    <row r="45" spans="1:88" x14ac:dyDescent="0.25">
      <c r="A45" s="60" t="s">
        <v>25</v>
      </c>
      <c r="B45" s="48"/>
      <c r="C45" s="48">
        <v>61</v>
      </c>
      <c r="D45" s="48">
        <v>61</v>
      </c>
      <c r="E45" s="48">
        <v>61.6</v>
      </c>
      <c r="F45" s="48">
        <v>61.4</v>
      </c>
      <c r="G45" s="48">
        <v>61.4</v>
      </c>
      <c r="H45" s="48">
        <v>62</v>
      </c>
      <c r="I45" s="48">
        <v>62</v>
      </c>
      <c r="J45" s="48">
        <v>61.8</v>
      </c>
      <c r="K45" s="48">
        <v>61.8</v>
      </c>
      <c r="L45" s="48">
        <v>61.8</v>
      </c>
      <c r="M45" s="48">
        <v>61.5</v>
      </c>
      <c r="N45" s="50">
        <v>61.6</v>
      </c>
      <c r="O45" s="50">
        <v>61.6</v>
      </c>
      <c r="P45" s="50">
        <v>61.6</v>
      </c>
      <c r="Q45" s="50">
        <v>61.6</v>
      </c>
      <c r="R45" s="50">
        <v>61.6</v>
      </c>
      <c r="S45" s="50">
        <v>61.6</v>
      </c>
      <c r="T45" s="50">
        <v>61.6</v>
      </c>
      <c r="U45" s="50">
        <v>61.6</v>
      </c>
      <c r="V45" s="50">
        <v>61.6</v>
      </c>
      <c r="W45" s="50">
        <v>61.6</v>
      </c>
      <c r="X45" s="50">
        <v>61.6</v>
      </c>
      <c r="Y45" s="50">
        <v>61.6</v>
      </c>
      <c r="Z45" s="50">
        <v>61.6</v>
      </c>
      <c r="AA45" s="50">
        <v>61.6</v>
      </c>
      <c r="AB45" s="50">
        <v>61.6</v>
      </c>
      <c r="AC45" s="50">
        <v>62.1</v>
      </c>
      <c r="AD45" s="50">
        <v>62.1</v>
      </c>
      <c r="AE45" s="48">
        <v>62.2</v>
      </c>
      <c r="AF45" s="48">
        <v>61.8</v>
      </c>
      <c r="AG45" s="136">
        <v>69</v>
      </c>
      <c r="AH45" s="54">
        <f t="shared" si="2"/>
        <v>62.2</v>
      </c>
      <c r="AI45" s="55">
        <f t="shared" si="3"/>
        <v>61</v>
      </c>
      <c r="AK45" s="56"/>
    </row>
    <row r="46" spans="1:88" x14ac:dyDescent="0.25">
      <c r="A46" s="60" t="s">
        <v>26</v>
      </c>
      <c r="B46" s="62"/>
      <c r="C46" s="62">
        <v>30.7</v>
      </c>
      <c r="D46" s="62">
        <v>30.7</v>
      </c>
      <c r="E46" s="62">
        <v>30.7</v>
      </c>
      <c r="F46" s="62">
        <v>30.7</v>
      </c>
      <c r="G46" s="62">
        <v>30.7</v>
      </c>
      <c r="H46" s="62">
        <v>30.7</v>
      </c>
      <c r="I46" s="62">
        <v>30.7</v>
      </c>
      <c r="J46" s="62">
        <v>30.7</v>
      </c>
      <c r="K46" s="62">
        <v>30.7</v>
      </c>
      <c r="L46" s="62">
        <v>30.7</v>
      </c>
      <c r="M46" s="62">
        <v>30.7</v>
      </c>
      <c r="N46" s="50">
        <v>30.5</v>
      </c>
      <c r="O46" s="50">
        <v>30.5</v>
      </c>
      <c r="P46" s="50">
        <v>30.5</v>
      </c>
      <c r="Q46" s="50">
        <v>30.5</v>
      </c>
      <c r="R46" s="50">
        <v>30.5</v>
      </c>
      <c r="S46" s="50">
        <v>30.5</v>
      </c>
      <c r="T46" s="50">
        <v>30.5</v>
      </c>
      <c r="U46" s="50">
        <v>30.5</v>
      </c>
      <c r="V46" s="50">
        <v>30.5</v>
      </c>
      <c r="W46" s="50">
        <v>30.5</v>
      </c>
      <c r="X46" s="50">
        <v>30.5</v>
      </c>
      <c r="Y46" s="50">
        <v>30.5</v>
      </c>
      <c r="Z46" s="50">
        <v>30.5</v>
      </c>
      <c r="AA46" s="50">
        <v>30.5</v>
      </c>
      <c r="AB46" s="50">
        <v>30.5</v>
      </c>
      <c r="AC46" s="50">
        <v>30.5</v>
      </c>
      <c r="AD46" s="50">
        <v>30.5</v>
      </c>
      <c r="AE46" s="62">
        <v>30.5</v>
      </c>
      <c r="AF46" s="62">
        <v>30</v>
      </c>
      <c r="AG46" s="136">
        <v>60</v>
      </c>
      <c r="AH46" s="54">
        <f t="shared" si="2"/>
        <v>30.7</v>
      </c>
      <c r="AI46" s="55">
        <f t="shared" si="3"/>
        <v>30</v>
      </c>
      <c r="AK46" s="56"/>
    </row>
    <row r="47" spans="1:88" x14ac:dyDescent="0.25">
      <c r="A47" s="60" t="s">
        <v>27</v>
      </c>
      <c r="B47" s="62"/>
      <c r="C47" s="62">
        <v>28.5</v>
      </c>
      <c r="D47" s="62">
        <v>28.5</v>
      </c>
      <c r="E47" s="62">
        <v>28.5</v>
      </c>
      <c r="F47" s="62">
        <v>28.5</v>
      </c>
      <c r="G47" s="62">
        <v>28.5</v>
      </c>
      <c r="H47" s="62">
        <v>28.5</v>
      </c>
      <c r="I47" s="62">
        <v>28.5</v>
      </c>
      <c r="J47" s="62">
        <v>0</v>
      </c>
      <c r="K47" s="62">
        <v>0</v>
      </c>
      <c r="L47" s="62">
        <v>0</v>
      </c>
      <c r="M47" s="62">
        <v>0</v>
      </c>
      <c r="N47" s="50">
        <v>30</v>
      </c>
      <c r="O47" s="50">
        <v>30</v>
      </c>
      <c r="P47" s="50">
        <v>30</v>
      </c>
      <c r="Q47" s="50">
        <v>30</v>
      </c>
      <c r="R47" s="50">
        <v>30</v>
      </c>
      <c r="S47" s="50">
        <v>30</v>
      </c>
      <c r="T47" s="50">
        <v>30</v>
      </c>
      <c r="U47" s="50">
        <v>30</v>
      </c>
      <c r="V47" s="50">
        <v>30</v>
      </c>
      <c r="W47" s="50">
        <v>30</v>
      </c>
      <c r="X47" s="50">
        <v>30</v>
      </c>
      <c r="Y47" s="50">
        <v>30</v>
      </c>
      <c r="Z47" s="50">
        <v>30</v>
      </c>
      <c r="AA47" s="50">
        <v>30</v>
      </c>
      <c r="AB47" s="50">
        <v>30</v>
      </c>
      <c r="AC47" s="50">
        <v>28.9</v>
      </c>
      <c r="AD47" s="50">
        <v>28.9</v>
      </c>
      <c r="AE47" s="62">
        <v>28.5</v>
      </c>
      <c r="AF47" s="62">
        <v>28.8</v>
      </c>
      <c r="AG47" s="136">
        <v>30</v>
      </c>
      <c r="AH47" s="54">
        <f t="shared" si="2"/>
        <v>30</v>
      </c>
      <c r="AI47" s="55">
        <f t="shared" si="3"/>
        <v>0</v>
      </c>
      <c r="AK47" s="56"/>
    </row>
    <row r="48" spans="1:88" x14ac:dyDescent="0.25">
      <c r="A48" s="60" t="s">
        <v>28</v>
      </c>
      <c r="B48" s="48"/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48">
        <v>0</v>
      </c>
      <c r="M48" s="48">
        <v>0</v>
      </c>
      <c r="N48" s="48">
        <v>0</v>
      </c>
      <c r="O48" s="48">
        <v>0</v>
      </c>
      <c r="P48" s="48">
        <v>0</v>
      </c>
      <c r="Q48" s="48">
        <v>0</v>
      </c>
      <c r="R48" s="48">
        <v>0</v>
      </c>
      <c r="S48" s="48">
        <v>8</v>
      </c>
      <c r="T48" s="48">
        <v>8</v>
      </c>
      <c r="U48" s="48">
        <v>8</v>
      </c>
      <c r="V48" s="48">
        <v>8</v>
      </c>
      <c r="W48" s="48">
        <v>8</v>
      </c>
      <c r="X48" s="48">
        <v>8</v>
      </c>
      <c r="Y48" s="48">
        <v>8</v>
      </c>
      <c r="Z48" s="48">
        <v>8</v>
      </c>
      <c r="AA48" s="48">
        <v>0</v>
      </c>
      <c r="AB48" s="48">
        <v>0</v>
      </c>
      <c r="AC48" s="48">
        <v>0</v>
      </c>
      <c r="AD48" s="48">
        <v>0</v>
      </c>
      <c r="AE48" s="48">
        <v>0</v>
      </c>
      <c r="AF48" s="48">
        <v>0</v>
      </c>
      <c r="AG48" s="136">
        <v>25</v>
      </c>
      <c r="AH48" s="54">
        <f t="shared" si="2"/>
        <v>8</v>
      </c>
      <c r="AI48" s="55">
        <f t="shared" si="3"/>
        <v>0</v>
      </c>
      <c r="AK48" s="56"/>
    </row>
    <row r="49" spans="1:41" x14ac:dyDescent="0.25">
      <c r="A49" s="60" t="s">
        <v>29</v>
      </c>
      <c r="B49" s="48"/>
      <c r="C49" s="48">
        <v>16.899999999999999</v>
      </c>
      <c r="D49" s="48">
        <v>16.899999999999999</v>
      </c>
      <c r="E49" s="48">
        <v>16.899999999999999</v>
      </c>
      <c r="F49" s="48">
        <v>16.899999999999999</v>
      </c>
      <c r="G49" s="48">
        <v>16.899999999999999</v>
      </c>
      <c r="H49" s="48">
        <v>16.899999999999999</v>
      </c>
      <c r="I49" s="48">
        <v>16.899999999999999</v>
      </c>
      <c r="J49" s="48">
        <v>16.899999999999999</v>
      </c>
      <c r="K49" s="48">
        <v>16.899999999999999</v>
      </c>
      <c r="L49" s="48">
        <v>16.899999999999999</v>
      </c>
      <c r="M49" s="48">
        <v>16.899999999999999</v>
      </c>
      <c r="N49" s="48">
        <v>16.899999999999999</v>
      </c>
      <c r="O49" s="48">
        <v>16.899999999999999</v>
      </c>
      <c r="P49" s="48">
        <v>16.899999999999999</v>
      </c>
      <c r="Q49" s="48">
        <v>16.899999999999999</v>
      </c>
      <c r="R49" s="48">
        <v>16.899999999999999</v>
      </c>
      <c r="S49" s="48">
        <v>16.899999999999999</v>
      </c>
      <c r="T49" s="48">
        <v>16.899999999999999</v>
      </c>
      <c r="U49" s="48">
        <v>16.899999999999999</v>
      </c>
      <c r="V49" s="48">
        <v>8.6999999999999993</v>
      </c>
      <c r="W49" s="48">
        <v>8.6999999999999993</v>
      </c>
      <c r="X49" s="48">
        <v>8.6999999999999993</v>
      </c>
      <c r="Y49" s="48">
        <v>16.899999999999999</v>
      </c>
      <c r="Z49" s="48">
        <v>16.899999999999999</v>
      </c>
      <c r="AA49" s="48">
        <v>16.899999999999999</v>
      </c>
      <c r="AB49" s="48">
        <v>16.899999999999999</v>
      </c>
      <c r="AC49" s="48">
        <v>16.899999999999999</v>
      </c>
      <c r="AD49" s="48">
        <v>11.8</v>
      </c>
      <c r="AE49" s="48">
        <v>14.3</v>
      </c>
      <c r="AF49" s="48">
        <v>14.1</v>
      </c>
      <c r="AG49" s="136">
        <v>24</v>
      </c>
      <c r="AH49" s="54">
        <f t="shared" si="2"/>
        <v>16.899999999999999</v>
      </c>
      <c r="AI49" s="55">
        <f t="shared" si="3"/>
        <v>8.6999999999999993</v>
      </c>
      <c r="AK49" s="56"/>
    </row>
    <row r="50" spans="1:41" x14ac:dyDescent="0.25">
      <c r="A50" s="60" t="s">
        <v>30</v>
      </c>
      <c r="B50" s="48"/>
      <c r="C50" s="48">
        <v>0</v>
      </c>
      <c r="D50" s="48">
        <v>0</v>
      </c>
      <c r="E50" s="48">
        <v>0</v>
      </c>
      <c r="F50" s="48">
        <v>0</v>
      </c>
      <c r="G50" s="48">
        <v>0</v>
      </c>
      <c r="H50" s="48">
        <v>0</v>
      </c>
      <c r="I50" s="48">
        <v>0</v>
      </c>
      <c r="J50" s="48">
        <v>0</v>
      </c>
      <c r="K50" s="48">
        <v>0</v>
      </c>
      <c r="L50" s="48">
        <v>0</v>
      </c>
      <c r="M50" s="48">
        <v>0</v>
      </c>
      <c r="N50" s="48">
        <v>0</v>
      </c>
      <c r="O50" s="48">
        <v>0</v>
      </c>
      <c r="P50" s="48">
        <v>0</v>
      </c>
      <c r="Q50" s="48">
        <v>0</v>
      </c>
      <c r="R50" s="48">
        <v>0</v>
      </c>
      <c r="S50" s="48">
        <v>0</v>
      </c>
      <c r="T50" s="48">
        <v>0</v>
      </c>
      <c r="U50" s="48">
        <v>0</v>
      </c>
      <c r="V50" s="48">
        <v>0</v>
      </c>
      <c r="W50" s="48">
        <v>0</v>
      </c>
      <c r="X50" s="48">
        <v>0</v>
      </c>
      <c r="Y50" s="48">
        <v>0</v>
      </c>
      <c r="Z50" s="48">
        <v>0</v>
      </c>
      <c r="AA50" s="48">
        <v>0</v>
      </c>
      <c r="AB50" s="48">
        <v>0</v>
      </c>
      <c r="AC50" s="48">
        <v>0</v>
      </c>
      <c r="AD50" s="48">
        <v>0</v>
      </c>
      <c r="AE50" s="48">
        <v>0</v>
      </c>
      <c r="AF50" s="48">
        <v>0</v>
      </c>
      <c r="AG50" s="136">
        <v>15</v>
      </c>
      <c r="AH50" s="54">
        <f t="shared" si="2"/>
        <v>0</v>
      </c>
      <c r="AI50" s="55">
        <f t="shared" si="3"/>
        <v>0</v>
      </c>
      <c r="AK50" s="56"/>
      <c r="AL50" s="67"/>
      <c r="AO50" s="67"/>
    </row>
    <row r="51" spans="1:41" s="67" customFormat="1" x14ac:dyDescent="0.25">
      <c r="A51" s="60" t="s">
        <v>31</v>
      </c>
      <c r="B51" s="48"/>
      <c r="C51" s="48">
        <v>12.9</v>
      </c>
      <c r="D51" s="48">
        <v>12.9</v>
      </c>
      <c r="E51" s="48">
        <v>12.9</v>
      </c>
      <c r="F51" s="48">
        <v>12.9</v>
      </c>
      <c r="G51" s="48">
        <v>12.9</v>
      </c>
      <c r="H51" s="48">
        <v>12.9</v>
      </c>
      <c r="I51" s="48">
        <v>12.9</v>
      </c>
      <c r="J51" s="48">
        <v>12.9</v>
      </c>
      <c r="K51" s="48">
        <v>12.9</v>
      </c>
      <c r="L51" s="48">
        <v>12.9</v>
      </c>
      <c r="M51" s="48">
        <v>12.9</v>
      </c>
      <c r="N51" s="48">
        <v>12.9</v>
      </c>
      <c r="O51" s="48">
        <v>12.9</v>
      </c>
      <c r="P51" s="48">
        <v>12.9</v>
      </c>
      <c r="Q51" s="48">
        <v>12.9</v>
      </c>
      <c r="R51" s="48">
        <v>12.9</v>
      </c>
      <c r="S51" s="48">
        <v>12.9</v>
      </c>
      <c r="T51" s="48">
        <v>12.9</v>
      </c>
      <c r="U51" s="48">
        <v>9.8000000000000007</v>
      </c>
      <c r="V51" s="48">
        <v>8.5</v>
      </c>
      <c r="W51" s="48">
        <v>8.5</v>
      </c>
      <c r="X51" s="48">
        <v>8.5</v>
      </c>
      <c r="Y51" s="48">
        <v>10.6</v>
      </c>
      <c r="Z51" s="48">
        <v>10.6</v>
      </c>
      <c r="AA51" s="48">
        <v>10.6</v>
      </c>
      <c r="AB51" s="48">
        <v>10.6</v>
      </c>
      <c r="AC51" s="48">
        <v>10.6</v>
      </c>
      <c r="AD51" s="48">
        <v>9.6999999999999993</v>
      </c>
      <c r="AE51" s="48">
        <v>9.8000000000000007</v>
      </c>
      <c r="AF51" s="48">
        <v>10.4</v>
      </c>
      <c r="AG51" s="136">
        <v>14.1</v>
      </c>
      <c r="AH51" s="54">
        <f t="shared" si="2"/>
        <v>12.9</v>
      </c>
      <c r="AI51" s="55">
        <f t="shared" si="3"/>
        <v>8.5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/>
      <c r="C52" s="48">
        <v>6</v>
      </c>
      <c r="D52" s="48">
        <v>6</v>
      </c>
      <c r="E52" s="48">
        <v>6</v>
      </c>
      <c r="F52" s="48">
        <v>2</v>
      </c>
      <c r="G52" s="48">
        <v>2</v>
      </c>
      <c r="H52" s="48">
        <v>2</v>
      </c>
      <c r="I52" s="48">
        <v>2</v>
      </c>
      <c r="J52" s="48">
        <v>2</v>
      </c>
      <c r="K52" s="48">
        <v>2</v>
      </c>
      <c r="L52" s="48">
        <v>2</v>
      </c>
      <c r="M52" s="48">
        <v>2</v>
      </c>
      <c r="N52" s="48">
        <v>2</v>
      </c>
      <c r="O52" s="48">
        <v>2</v>
      </c>
      <c r="P52" s="48">
        <v>2</v>
      </c>
      <c r="Q52" s="48">
        <v>2</v>
      </c>
      <c r="R52" s="48">
        <v>2</v>
      </c>
      <c r="S52" s="48">
        <v>9.5</v>
      </c>
      <c r="T52" s="48">
        <v>9.5</v>
      </c>
      <c r="U52" s="48">
        <v>13.7</v>
      </c>
      <c r="V52" s="48">
        <v>13.7</v>
      </c>
      <c r="W52" s="48">
        <v>13.7</v>
      </c>
      <c r="X52" s="48">
        <v>13.7</v>
      </c>
      <c r="Y52" s="48">
        <v>12.9</v>
      </c>
      <c r="Z52" s="48">
        <v>11</v>
      </c>
      <c r="AA52" s="48">
        <v>11</v>
      </c>
      <c r="AB52" s="48">
        <v>11</v>
      </c>
      <c r="AC52" s="48">
        <v>4.5999999999999996</v>
      </c>
      <c r="AD52" s="48">
        <v>7.2</v>
      </c>
      <c r="AE52" s="48">
        <v>13.7</v>
      </c>
      <c r="AF52" s="48">
        <v>13.7</v>
      </c>
      <c r="AG52" s="136">
        <v>14</v>
      </c>
      <c r="AH52" s="54">
        <f t="shared" si="2"/>
        <v>13.7</v>
      </c>
      <c r="AI52" s="55">
        <f t="shared" si="3"/>
        <v>2</v>
      </c>
      <c r="AK52" s="56"/>
    </row>
    <row r="53" spans="1:41" x14ac:dyDescent="0.25">
      <c r="A53" s="60" t="s">
        <v>33</v>
      </c>
      <c r="B53" s="48"/>
      <c r="C53" s="48">
        <v>6.4</v>
      </c>
      <c r="D53" s="48">
        <v>6.4</v>
      </c>
      <c r="E53" s="48">
        <v>6.4</v>
      </c>
      <c r="F53" s="48">
        <v>6.4</v>
      </c>
      <c r="G53" s="48">
        <v>6.4</v>
      </c>
      <c r="H53" s="48">
        <v>6.4</v>
      </c>
      <c r="I53" s="48">
        <v>6.4</v>
      </c>
      <c r="J53" s="48">
        <v>6.4</v>
      </c>
      <c r="K53" s="48">
        <v>6.4</v>
      </c>
      <c r="L53" s="48">
        <v>6.4</v>
      </c>
      <c r="M53" s="48">
        <v>6.4</v>
      </c>
      <c r="N53" s="48">
        <v>6.4</v>
      </c>
      <c r="O53" s="48">
        <v>6.4</v>
      </c>
      <c r="P53" s="48">
        <v>6.4</v>
      </c>
      <c r="Q53" s="48">
        <v>6.4</v>
      </c>
      <c r="R53" s="48">
        <v>6.4</v>
      </c>
      <c r="S53" s="48">
        <v>6.4</v>
      </c>
      <c r="T53" s="48">
        <v>6.4</v>
      </c>
      <c r="U53" s="48">
        <v>6.4</v>
      </c>
      <c r="V53" s="48">
        <v>6.4</v>
      </c>
      <c r="W53" s="48">
        <v>6.4</v>
      </c>
      <c r="X53" s="48">
        <v>6.4</v>
      </c>
      <c r="Y53" s="48">
        <v>6.4</v>
      </c>
      <c r="Z53" s="48">
        <v>6.4</v>
      </c>
      <c r="AA53" s="48">
        <v>6.4</v>
      </c>
      <c r="AB53" s="48">
        <v>6.4</v>
      </c>
      <c r="AC53" s="48">
        <v>6.4</v>
      </c>
      <c r="AD53" s="48">
        <v>6.4</v>
      </c>
      <c r="AE53" s="48">
        <v>9</v>
      </c>
      <c r="AF53" s="48">
        <v>9</v>
      </c>
      <c r="AG53" s="136">
        <v>10.050000000000001</v>
      </c>
      <c r="AH53" s="54">
        <f t="shared" si="2"/>
        <v>9</v>
      </c>
      <c r="AI53" s="55">
        <f t="shared" si="3"/>
        <v>6.4</v>
      </c>
      <c r="AK53" s="56"/>
    </row>
    <row r="54" spans="1:41" x14ac:dyDescent="0.25">
      <c r="A54" s="60" t="s">
        <v>34</v>
      </c>
      <c r="B54" s="48"/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48">
        <v>6.2</v>
      </c>
      <c r="N54" s="48">
        <v>6.2</v>
      </c>
      <c r="O54" s="48">
        <v>6.2</v>
      </c>
      <c r="P54" s="48">
        <v>6.2</v>
      </c>
      <c r="Q54" s="48">
        <v>6.2</v>
      </c>
      <c r="R54" s="48">
        <v>6.2</v>
      </c>
      <c r="S54" s="48">
        <v>6.2</v>
      </c>
      <c r="T54" s="48">
        <v>6.2</v>
      </c>
      <c r="U54" s="48">
        <v>6.2</v>
      </c>
      <c r="V54" s="48">
        <v>6.2</v>
      </c>
      <c r="W54" s="48">
        <v>6.2</v>
      </c>
      <c r="X54" s="48">
        <v>6.2</v>
      </c>
      <c r="Y54" s="48">
        <v>6.2</v>
      </c>
      <c r="Z54" s="48">
        <v>6.2</v>
      </c>
      <c r="AA54" s="48">
        <v>6.2</v>
      </c>
      <c r="AB54" s="48">
        <v>6.2</v>
      </c>
      <c r="AC54" s="48">
        <v>6.2</v>
      </c>
      <c r="AD54" s="48">
        <v>6.2</v>
      </c>
      <c r="AE54" s="48">
        <v>6.2</v>
      </c>
      <c r="AF54" s="48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6">AG220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>SUM(B43:B55)</f>
        <v>3.54</v>
      </c>
      <c r="C56" s="66">
        <f t="shared" ref="C56:AG56" si="7">SUM(C43:C55)</f>
        <v>317.2399999999999</v>
      </c>
      <c r="D56" s="66">
        <f t="shared" si="7"/>
        <v>317.2399999999999</v>
      </c>
      <c r="E56" s="66">
        <f t="shared" si="7"/>
        <v>316.03999999999996</v>
      </c>
      <c r="F56" s="66">
        <f t="shared" si="7"/>
        <v>333.53999999999996</v>
      </c>
      <c r="G56" s="66">
        <f t="shared" si="7"/>
        <v>343.53999999999996</v>
      </c>
      <c r="H56" s="66">
        <f t="shared" si="7"/>
        <v>369.53999999999991</v>
      </c>
      <c r="I56" s="66">
        <f t="shared" si="7"/>
        <v>369.53999999999991</v>
      </c>
      <c r="J56" s="66">
        <f t="shared" si="7"/>
        <v>346.03999999999991</v>
      </c>
      <c r="K56" s="66">
        <f t="shared" si="7"/>
        <v>346.33999999999992</v>
      </c>
      <c r="L56" s="66">
        <f t="shared" si="7"/>
        <v>346.33999999999992</v>
      </c>
      <c r="M56" s="66">
        <f t="shared" si="7"/>
        <v>346.23999999999995</v>
      </c>
      <c r="N56" s="66">
        <f t="shared" si="7"/>
        <v>376.73999999999995</v>
      </c>
      <c r="O56" s="66">
        <f t="shared" si="7"/>
        <v>376.73999999999995</v>
      </c>
      <c r="P56" s="66">
        <f t="shared" si="7"/>
        <v>376.73999999999995</v>
      </c>
      <c r="Q56" s="66">
        <f t="shared" si="7"/>
        <v>376.23999999999995</v>
      </c>
      <c r="R56" s="66">
        <f t="shared" si="7"/>
        <v>376.64</v>
      </c>
      <c r="S56" s="66">
        <f t="shared" si="7"/>
        <v>390.23999999999995</v>
      </c>
      <c r="T56" s="66">
        <f t="shared" si="7"/>
        <v>390.23999999999995</v>
      </c>
      <c r="U56" s="66">
        <f t="shared" si="7"/>
        <v>393.14</v>
      </c>
      <c r="V56" s="66">
        <f t="shared" si="7"/>
        <v>383.64</v>
      </c>
      <c r="W56" s="66">
        <f t="shared" si="7"/>
        <v>383.64</v>
      </c>
      <c r="X56" s="66">
        <f t="shared" si="7"/>
        <v>383.64</v>
      </c>
      <c r="Y56" s="66">
        <f t="shared" si="7"/>
        <v>394.93999999999994</v>
      </c>
      <c r="Z56" s="66">
        <f t="shared" si="7"/>
        <v>393.03999999999996</v>
      </c>
      <c r="AA56" s="66">
        <f t="shared" si="7"/>
        <v>385.03999999999996</v>
      </c>
      <c r="AB56" s="66">
        <f t="shared" si="7"/>
        <v>382.53999999999996</v>
      </c>
      <c r="AC56" s="66">
        <f t="shared" si="7"/>
        <v>371.74</v>
      </c>
      <c r="AD56" s="66">
        <f t="shared" si="7"/>
        <v>368.34</v>
      </c>
      <c r="AE56" s="66">
        <f t="shared" si="7"/>
        <v>384.84000000000003</v>
      </c>
      <c r="AF56" s="66">
        <f t="shared" si="7"/>
        <v>383.14000000000004</v>
      </c>
      <c r="AG56" s="143">
        <f t="shared" si="7"/>
        <v>489.91</v>
      </c>
      <c r="AH56" s="54">
        <f t="shared" si="2"/>
        <v>394.93999999999994</v>
      </c>
      <c r="AI56" s="55">
        <f t="shared" si="3"/>
        <v>3.54</v>
      </c>
      <c r="AK56" s="56"/>
    </row>
    <row r="57" spans="1:41" x14ac:dyDescent="0.25">
      <c r="A57" s="57" t="s">
        <v>37</v>
      </c>
      <c r="B57" s="50"/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59.8</v>
      </c>
      <c r="N57" s="50">
        <v>10.6</v>
      </c>
      <c r="O57" s="50">
        <v>0</v>
      </c>
      <c r="P57" s="50">
        <v>41.2</v>
      </c>
      <c r="Q57" s="50">
        <v>30.6</v>
      </c>
      <c r="R57" s="50">
        <v>13.9</v>
      </c>
      <c r="S57" s="50">
        <v>29.8</v>
      </c>
      <c r="T57" s="50">
        <v>0</v>
      </c>
      <c r="U57" s="50">
        <v>10.4</v>
      </c>
      <c r="V57" s="50">
        <v>0</v>
      </c>
      <c r="W57" s="50">
        <v>0</v>
      </c>
      <c r="X57" s="50">
        <v>0</v>
      </c>
      <c r="Y57" s="50">
        <v>0</v>
      </c>
      <c r="Z57" s="50">
        <v>59</v>
      </c>
      <c r="AA57" s="50">
        <v>59</v>
      </c>
      <c r="AB57" s="50">
        <v>59.4</v>
      </c>
      <c r="AC57" s="50">
        <v>59.4</v>
      </c>
      <c r="AD57" s="50">
        <v>40.200000000000003</v>
      </c>
      <c r="AE57" s="50">
        <v>39</v>
      </c>
      <c r="AF57" s="50">
        <v>19.5</v>
      </c>
      <c r="AG57" s="135">
        <v>60</v>
      </c>
      <c r="AH57" s="54">
        <f t="shared" si="2"/>
        <v>59.8</v>
      </c>
      <c r="AI57" s="55">
        <f t="shared" si="3"/>
        <v>0</v>
      </c>
      <c r="AK57" s="56"/>
    </row>
    <row r="58" spans="1:41" x14ac:dyDescent="0.25">
      <c r="A58" s="60" t="s">
        <v>38</v>
      </c>
      <c r="B58" s="48"/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22.4</v>
      </c>
      <c r="N58" s="48">
        <v>3.9</v>
      </c>
      <c r="O58" s="48">
        <v>0</v>
      </c>
      <c r="P58" s="48">
        <v>14.7</v>
      </c>
      <c r="Q58" s="48">
        <v>16.3</v>
      </c>
      <c r="R58" s="48">
        <v>9.6999999999999993</v>
      </c>
      <c r="S58" s="48">
        <v>15</v>
      </c>
      <c r="T58" s="48">
        <v>0</v>
      </c>
      <c r="U58" s="48">
        <v>5.9</v>
      </c>
      <c r="V58" s="48">
        <v>0</v>
      </c>
      <c r="W58" s="48">
        <v>0</v>
      </c>
      <c r="X58" s="48">
        <v>0</v>
      </c>
      <c r="Y58" s="48">
        <v>0</v>
      </c>
      <c r="Z58" s="48">
        <v>24.8</v>
      </c>
      <c r="AA58" s="48">
        <v>29</v>
      </c>
      <c r="AB58" s="48">
        <v>29</v>
      </c>
      <c r="AC58" s="48">
        <v>29.5</v>
      </c>
      <c r="AD58" s="48">
        <v>25.2</v>
      </c>
      <c r="AE58" s="48">
        <v>16.2</v>
      </c>
      <c r="AF58" s="48">
        <v>8.5</v>
      </c>
      <c r="AG58" s="136">
        <v>32</v>
      </c>
      <c r="AH58" s="54">
        <f t="shared" si="2"/>
        <v>29.5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/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8.4</v>
      </c>
      <c r="N59" s="70">
        <v>1.4</v>
      </c>
      <c r="O59" s="70">
        <v>0</v>
      </c>
      <c r="P59" s="70">
        <v>5.4</v>
      </c>
      <c r="Q59" s="70">
        <v>6</v>
      </c>
      <c r="R59" s="70">
        <v>3.5</v>
      </c>
      <c r="S59" s="70">
        <v>5.5</v>
      </c>
      <c r="T59" s="70">
        <v>0</v>
      </c>
      <c r="U59" s="70">
        <v>2.2000000000000002</v>
      </c>
      <c r="V59" s="70">
        <v>0</v>
      </c>
      <c r="W59" s="70">
        <v>0</v>
      </c>
      <c r="X59" s="70">
        <v>0</v>
      </c>
      <c r="Y59" s="70">
        <v>0</v>
      </c>
      <c r="Z59" s="70">
        <v>9.1</v>
      </c>
      <c r="AA59" s="70">
        <v>10.6</v>
      </c>
      <c r="AB59" s="70">
        <v>10.6</v>
      </c>
      <c r="AC59" s="70">
        <v>10.8</v>
      </c>
      <c r="AD59" s="70">
        <v>9.1999999999999993</v>
      </c>
      <c r="AE59" s="70">
        <v>5.9</v>
      </c>
      <c r="AF59" s="70">
        <v>3.1</v>
      </c>
      <c r="AG59" s="137">
        <v>14</v>
      </c>
      <c r="AH59" s="54">
        <f t="shared" si="2"/>
        <v>10.8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>SUM(B57:B59)</f>
        <v>0</v>
      </c>
      <c r="C60" s="66">
        <f t="shared" ref="C60:AG60" si="8">SUM(C57:C59)</f>
        <v>0</v>
      </c>
      <c r="D60" s="66">
        <f t="shared" si="8"/>
        <v>0</v>
      </c>
      <c r="E60" s="66">
        <f t="shared" si="8"/>
        <v>0</v>
      </c>
      <c r="F60" s="66">
        <f t="shared" si="8"/>
        <v>0</v>
      </c>
      <c r="G60" s="66">
        <f t="shared" si="8"/>
        <v>0</v>
      </c>
      <c r="H60" s="66">
        <f t="shared" si="8"/>
        <v>0</v>
      </c>
      <c r="I60" s="66">
        <f t="shared" si="8"/>
        <v>0</v>
      </c>
      <c r="J60" s="66">
        <f t="shared" si="8"/>
        <v>0</v>
      </c>
      <c r="K60" s="66">
        <f t="shared" si="8"/>
        <v>0</v>
      </c>
      <c r="L60" s="66">
        <f t="shared" si="8"/>
        <v>0</v>
      </c>
      <c r="M60" s="66">
        <f t="shared" si="8"/>
        <v>90.6</v>
      </c>
      <c r="N60" s="66">
        <f t="shared" si="8"/>
        <v>15.9</v>
      </c>
      <c r="O60" s="66">
        <f t="shared" si="8"/>
        <v>0</v>
      </c>
      <c r="P60" s="66">
        <f t="shared" si="8"/>
        <v>61.300000000000004</v>
      </c>
      <c r="Q60" s="66">
        <f t="shared" si="8"/>
        <v>52.900000000000006</v>
      </c>
      <c r="R60" s="66">
        <f t="shared" si="8"/>
        <v>27.1</v>
      </c>
      <c r="S60" s="66">
        <f t="shared" si="8"/>
        <v>50.3</v>
      </c>
      <c r="T60" s="66">
        <f t="shared" si="8"/>
        <v>0</v>
      </c>
      <c r="U60" s="66">
        <f t="shared" si="8"/>
        <v>18.5</v>
      </c>
      <c r="V60" s="66">
        <f t="shared" si="8"/>
        <v>0</v>
      </c>
      <c r="W60" s="66">
        <f t="shared" si="8"/>
        <v>0</v>
      </c>
      <c r="X60" s="66">
        <f t="shared" si="8"/>
        <v>0</v>
      </c>
      <c r="Y60" s="66">
        <f t="shared" si="8"/>
        <v>0</v>
      </c>
      <c r="Z60" s="66">
        <f t="shared" si="8"/>
        <v>92.899999999999991</v>
      </c>
      <c r="AA60" s="66">
        <f t="shared" si="8"/>
        <v>98.6</v>
      </c>
      <c r="AB60" s="66">
        <f t="shared" si="8"/>
        <v>99</v>
      </c>
      <c r="AC60" s="66">
        <f t="shared" si="8"/>
        <v>99.7</v>
      </c>
      <c r="AD60" s="66">
        <f t="shared" si="8"/>
        <v>74.600000000000009</v>
      </c>
      <c r="AE60" s="66">
        <f t="shared" si="8"/>
        <v>61.1</v>
      </c>
      <c r="AF60" s="66">
        <f t="shared" si="8"/>
        <v>31.1</v>
      </c>
      <c r="AG60" s="143">
        <f t="shared" si="8"/>
        <v>106</v>
      </c>
      <c r="AH60" s="54">
        <f t="shared" si="2"/>
        <v>99.7</v>
      </c>
      <c r="AI60" s="55">
        <f t="shared" si="3"/>
        <v>0</v>
      </c>
      <c r="AK60" s="56"/>
    </row>
    <row r="61" spans="1:41" x14ac:dyDescent="0.25">
      <c r="A61" s="57" t="s">
        <v>41</v>
      </c>
      <c r="B61" s="50"/>
      <c r="C61" s="50">
        <v>29</v>
      </c>
      <c r="D61" s="50">
        <v>15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50">
        <v>0</v>
      </c>
      <c r="P61" s="50">
        <v>0</v>
      </c>
      <c r="Q61" s="50">
        <v>0</v>
      </c>
      <c r="R61" s="50">
        <v>47.1</v>
      </c>
      <c r="S61" s="50">
        <v>45.2</v>
      </c>
      <c r="T61" s="50">
        <v>56.2</v>
      </c>
      <c r="U61" s="50">
        <v>42.7</v>
      </c>
      <c r="V61" s="50">
        <v>53.2</v>
      </c>
      <c r="W61" s="50">
        <v>56</v>
      </c>
      <c r="X61" s="50">
        <v>54.3</v>
      </c>
      <c r="Y61" s="50">
        <v>54.8</v>
      </c>
      <c r="Z61" s="50">
        <v>31.8</v>
      </c>
      <c r="AA61" s="50">
        <v>59.4</v>
      </c>
      <c r="AB61" s="50">
        <v>66.400000000000006</v>
      </c>
      <c r="AC61" s="50">
        <v>65.5</v>
      </c>
      <c r="AD61" s="50">
        <v>72.599999999999994</v>
      </c>
      <c r="AE61" s="50">
        <v>35</v>
      </c>
      <c r="AF61" s="50">
        <v>5.6</v>
      </c>
      <c r="AG61" s="135"/>
      <c r="AH61" s="54">
        <f t="shared" si="2"/>
        <v>72.599999999999994</v>
      </c>
      <c r="AI61" s="55">
        <f t="shared" si="3"/>
        <v>0</v>
      </c>
      <c r="AK61" s="56"/>
    </row>
    <row r="62" spans="1:41" x14ac:dyDescent="0.25">
      <c r="A62" s="60" t="s">
        <v>42</v>
      </c>
      <c r="B62" s="48"/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/>
      <c r="C63" s="48">
        <v>-372</v>
      </c>
      <c r="D63" s="48">
        <v>-364</v>
      </c>
      <c r="E63" s="48">
        <v>-383</v>
      </c>
      <c r="F63" s="48">
        <v>-383</v>
      </c>
      <c r="G63" s="48">
        <v>-392</v>
      </c>
      <c r="H63" s="48">
        <v>-420</v>
      </c>
      <c r="I63" s="48">
        <v>-430</v>
      </c>
      <c r="J63" s="48">
        <v>-368</v>
      </c>
      <c r="K63" s="48">
        <v>-380</v>
      </c>
      <c r="L63" s="48">
        <v>-380</v>
      </c>
      <c r="M63" s="48">
        <v>-340</v>
      </c>
      <c r="N63" s="48">
        <v>-335</v>
      </c>
      <c r="O63" s="48">
        <v>-304.60000000000002</v>
      </c>
      <c r="P63" s="48">
        <v>-310</v>
      </c>
      <c r="Q63" s="48">
        <v>-359.1</v>
      </c>
      <c r="R63" s="48">
        <v>-365</v>
      </c>
      <c r="S63" s="48">
        <v>-340</v>
      </c>
      <c r="T63" s="48">
        <v>-300</v>
      </c>
      <c r="U63" s="48">
        <v>-367</v>
      </c>
      <c r="V63" s="48">
        <v>-345</v>
      </c>
      <c r="W63" s="48">
        <v>-352.7</v>
      </c>
      <c r="X63" s="48">
        <v>-347</v>
      </c>
      <c r="Y63" s="48">
        <v>-396</v>
      </c>
      <c r="Z63" s="48">
        <v>-368</v>
      </c>
      <c r="AA63" s="48">
        <v>-305</v>
      </c>
      <c r="AB63" s="48">
        <v>-322.89999999999998</v>
      </c>
      <c r="AC63" s="48">
        <v>-325.8</v>
      </c>
      <c r="AD63" s="48">
        <v>-325.8</v>
      </c>
      <c r="AE63" s="48">
        <v>-368.9</v>
      </c>
      <c r="AF63" s="48">
        <v>-360</v>
      </c>
      <c r="AG63" s="140"/>
      <c r="AH63" s="54">
        <f t="shared" si="2"/>
        <v>-300</v>
      </c>
      <c r="AI63" s="55">
        <f t="shared" si="3"/>
        <v>-430</v>
      </c>
      <c r="AK63" s="56"/>
    </row>
    <row r="64" spans="1:41" x14ac:dyDescent="0.25">
      <c r="A64" s="60" t="s">
        <v>44</v>
      </c>
      <c r="B64" s="71"/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140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0" t="s">
        <v>45</v>
      </c>
      <c r="B65" s="50"/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/>
      <c r="C66" s="72">
        <v>0</v>
      </c>
      <c r="D66" s="72">
        <v>0</v>
      </c>
      <c r="E66" s="72">
        <v>0</v>
      </c>
      <c r="F66" s="72">
        <v>0</v>
      </c>
      <c r="G66" s="72">
        <v>0</v>
      </c>
      <c r="H66" s="72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0</v>
      </c>
      <c r="AD66" s="72">
        <v>0</v>
      </c>
      <c r="AE66" s="72">
        <v>4</v>
      </c>
      <c r="AF66" s="72">
        <v>4</v>
      </c>
      <c r="AG66" s="140"/>
      <c r="AH66" s="54">
        <f t="shared" si="2"/>
        <v>4</v>
      </c>
      <c r="AI66" s="55">
        <f t="shared" si="3"/>
        <v>0</v>
      </c>
      <c r="AK66" s="56"/>
    </row>
    <row r="67" spans="1:88" x14ac:dyDescent="0.25">
      <c r="A67" s="60" t="s">
        <v>47</v>
      </c>
      <c r="B67" s="72"/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/>
      <c r="C68" s="72">
        <v>0</v>
      </c>
      <c r="D68" s="72">
        <v>0</v>
      </c>
      <c r="E68" s="72">
        <v>0</v>
      </c>
      <c r="F68" s="72">
        <v>0</v>
      </c>
      <c r="G68" s="72">
        <v>0</v>
      </c>
      <c r="H68" s="72">
        <v>0</v>
      </c>
      <c r="I68" s="72">
        <v>0</v>
      </c>
      <c r="J68" s="72">
        <v>0</v>
      </c>
      <c r="K68" s="72">
        <v>0</v>
      </c>
      <c r="L68" s="72">
        <v>0</v>
      </c>
      <c r="M68" s="72">
        <v>0</v>
      </c>
      <c r="N68" s="72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10</v>
      </c>
      <c r="AD68" s="71">
        <v>10</v>
      </c>
      <c r="AE68" s="71">
        <v>0</v>
      </c>
      <c r="AF68" s="71">
        <v>0</v>
      </c>
      <c r="AG68" s="140"/>
      <c r="AH68" s="54">
        <f t="shared" si="2"/>
        <v>10</v>
      </c>
      <c r="AI68" s="55">
        <f t="shared" si="3"/>
        <v>0</v>
      </c>
      <c r="AK68" s="56"/>
    </row>
    <row r="69" spans="1:88" x14ac:dyDescent="0.25">
      <c r="A69" s="60" t="s">
        <v>49</v>
      </c>
      <c r="B69" s="71"/>
      <c r="C69" s="72">
        <v>0</v>
      </c>
      <c r="D69" s="72">
        <v>0</v>
      </c>
      <c r="E69" s="72">
        <v>0</v>
      </c>
      <c r="F69" s="72">
        <v>0</v>
      </c>
      <c r="G69" s="72">
        <v>0</v>
      </c>
      <c r="H69" s="72">
        <v>0</v>
      </c>
      <c r="I69" s="72">
        <v>0</v>
      </c>
      <c r="J69" s="72">
        <v>0</v>
      </c>
      <c r="K69" s="72">
        <v>0</v>
      </c>
      <c r="L69" s="72">
        <v>0</v>
      </c>
      <c r="M69" s="72">
        <v>0</v>
      </c>
      <c r="N69" s="72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4"/>
      <c r="C70" s="72">
        <v>0</v>
      </c>
      <c r="D70" s="72">
        <v>0</v>
      </c>
      <c r="E70" s="72">
        <v>0</v>
      </c>
      <c r="F70" s="72">
        <v>0</v>
      </c>
      <c r="G70" s="72">
        <v>0</v>
      </c>
      <c r="H70" s="72">
        <v>0</v>
      </c>
      <c r="I70" s="72">
        <v>0</v>
      </c>
      <c r="J70" s="72">
        <v>0</v>
      </c>
      <c r="K70" s="72">
        <v>0</v>
      </c>
      <c r="L70" s="72">
        <v>0</v>
      </c>
      <c r="M70" s="72">
        <v>0</v>
      </c>
      <c r="N70" s="72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4"/>
      <c r="C71" s="72">
        <v>0</v>
      </c>
      <c r="D71" s="72">
        <v>0</v>
      </c>
      <c r="E71" s="72">
        <v>0</v>
      </c>
      <c r="F71" s="72">
        <v>0</v>
      </c>
      <c r="G71" s="72">
        <v>0</v>
      </c>
      <c r="H71" s="72">
        <v>0</v>
      </c>
      <c r="I71" s="72">
        <v>0</v>
      </c>
      <c r="J71" s="72">
        <v>0</v>
      </c>
      <c r="K71" s="72">
        <v>0</v>
      </c>
      <c r="L71" s="72">
        <v>0</v>
      </c>
      <c r="M71" s="72">
        <v>0</v>
      </c>
      <c r="N71" s="72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>SUMIF(B61:B71,"&gt;0")</f>
        <v>0</v>
      </c>
      <c r="C72" s="66">
        <f t="shared" ref="C72:L72" si="9">SUMIF(C61:C71,"&gt;0")</f>
        <v>29</v>
      </c>
      <c r="D72" s="66">
        <f t="shared" si="9"/>
        <v>15</v>
      </c>
      <c r="E72" s="66">
        <f t="shared" si="9"/>
        <v>0</v>
      </c>
      <c r="F72" s="66">
        <f t="shared" si="9"/>
        <v>0</v>
      </c>
      <c r="G72" s="66">
        <f t="shared" si="9"/>
        <v>0</v>
      </c>
      <c r="H72" s="66">
        <f t="shared" si="9"/>
        <v>0</v>
      </c>
      <c r="I72" s="66">
        <f t="shared" si="9"/>
        <v>0</v>
      </c>
      <c r="J72" s="66">
        <f t="shared" si="9"/>
        <v>0</v>
      </c>
      <c r="K72" s="66">
        <f t="shared" si="9"/>
        <v>0</v>
      </c>
      <c r="L72" s="66">
        <f t="shared" si="9"/>
        <v>0</v>
      </c>
      <c r="M72" s="66">
        <f>SUMIF(M61:M71,"&gt;0")</f>
        <v>0</v>
      </c>
      <c r="N72" s="66">
        <f t="shared" ref="N72:AF72" si="10">SUMIF(N61:N71,"&gt;0")</f>
        <v>0</v>
      </c>
      <c r="O72" s="66">
        <f t="shared" si="10"/>
        <v>0</v>
      </c>
      <c r="P72" s="66">
        <f t="shared" si="10"/>
        <v>0</v>
      </c>
      <c r="Q72" s="66">
        <f t="shared" si="10"/>
        <v>0</v>
      </c>
      <c r="R72" s="66">
        <f t="shared" si="10"/>
        <v>47.1</v>
      </c>
      <c r="S72" s="66">
        <f t="shared" si="10"/>
        <v>45.2</v>
      </c>
      <c r="T72" s="66">
        <f t="shared" si="10"/>
        <v>56.2</v>
      </c>
      <c r="U72" s="66">
        <f t="shared" si="10"/>
        <v>42.7</v>
      </c>
      <c r="V72" s="66">
        <f t="shared" si="10"/>
        <v>53.2</v>
      </c>
      <c r="W72" s="66">
        <f t="shared" si="10"/>
        <v>56</v>
      </c>
      <c r="X72" s="66">
        <f t="shared" si="10"/>
        <v>54.3</v>
      </c>
      <c r="Y72" s="66">
        <f t="shared" si="10"/>
        <v>54.8</v>
      </c>
      <c r="Z72" s="66">
        <f t="shared" si="10"/>
        <v>31.8</v>
      </c>
      <c r="AA72" s="66">
        <f t="shared" si="10"/>
        <v>59.4</v>
      </c>
      <c r="AB72" s="66">
        <f t="shared" si="10"/>
        <v>66.400000000000006</v>
      </c>
      <c r="AC72" s="66">
        <f t="shared" si="10"/>
        <v>75.5</v>
      </c>
      <c r="AD72" s="66">
        <f t="shared" si="10"/>
        <v>82.6</v>
      </c>
      <c r="AE72" s="66">
        <f t="shared" si="10"/>
        <v>39</v>
      </c>
      <c r="AF72" s="66">
        <f t="shared" si="10"/>
        <v>9.6</v>
      </c>
      <c r="AG72" s="138">
        <f>SUM(AG61:AG71)</f>
        <v>0</v>
      </c>
      <c r="AH72" s="54">
        <f t="shared" si="2"/>
        <v>82.6</v>
      </c>
      <c r="AI72" s="55">
        <f t="shared" si="3"/>
        <v>0</v>
      </c>
      <c r="AK72" s="56"/>
    </row>
    <row r="73" spans="1:88" x14ac:dyDescent="0.25">
      <c r="A73" s="57" t="s">
        <v>53</v>
      </c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>B38+B42+B60+B56+B72+B76</f>
        <v>3.54</v>
      </c>
      <c r="C77" s="75">
        <f t="shared" ref="C77:AF77" si="11">C38+C42+C60+C56+C72+C76</f>
        <v>1640.44</v>
      </c>
      <c r="D77" s="75">
        <f t="shared" si="11"/>
        <v>1626.44</v>
      </c>
      <c r="E77" s="75">
        <f t="shared" si="11"/>
        <v>1639.04</v>
      </c>
      <c r="F77" s="75">
        <f t="shared" si="11"/>
        <v>1616.54</v>
      </c>
      <c r="G77" s="75">
        <f t="shared" si="11"/>
        <v>1633.8400000000001</v>
      </c>
      <c r="H77" s="75">
        <f t="shared" si="11"/>
        <v>1651.8400000000001</v>
      </c>
      <c r="I77" s="75">
        <f t="shared" si="11"/>
        <v>1664.3400000000001</v>
      </c>
      <c r="J77" s="75">
        <f t="shared" si="11"/>
        <v>1661.8400000000001</v>
      </c>
      <c r="K77" s="75">
        <f t="shared" si="11"/>
        <v>1696.9399999999998</v>
      </c>
      <c r="L77" s="75">
        <f t="shared" si="11"/>
        <v>1696.9399999999998</v>
      </c>
      <c r="M77" s="75">
        <f t="shared" si="11"/>
        <v>1787.4399999999998</v>
      </c>
      <c r="N77" s="75">
        <f t="shared" si="11"/>
        <v>1717.14</v>
      </c>
      <c r="O77" s="75">
        <f t="shared" si="11"/>
        <v>1701.24</v>
      </c>
      <c r="P77" s="75">
        <f t="shared" si="11"/>
        <v>1762.54</v>
      </c>
      <c r="Q77" s="75">
        <f t="shared" si="11"/>
        <v>1753.64</v>
      </c>
      <c r="R77" s="75">
        <f t="shared" si="11"/>
        <v>1775.3399999999997</v>
      </c>
      <c r="S77" s="75">
        <f t="shared" si="11"/>
        <v>1846.24</v>
      </c>
      <c r="T77" s="75">
        <f t="shared" si="11"/>
        <v>1728.94</v>
      </c>
      <c r="U77" s="75">
        <f t="shared" si="11"/>
        <v>1812.84</v>
      </c>
      <c r="V77" s="75">
        <f t="shared" si="11"/>
        <v>1770.34</v>
      </c>
      <c r="W77" s="75">
        <f t="shared" si="11"/>
        <v>1773.1399999999999</v>
      </c>
      <c r="X77" s="75">
        <f t="shared" si="11"/>
        <v>1771.4399999999998</v>
      </c>
      <c r="Y77" s="75">
        <f t="shared" si="11"/>
        <v>1783.24</v>
      </c>
      <c r="Z77" s="75">
        <f t="shared" si="11"/>
        <v>1856.24</v>
      </c>
      <c r="AA77" s="75">
        <f t="shared" si="11"/>
        <v>1881.54</v>
      </c>
      <c r="AB77" s="75">
        <f t="shared" si="11"/>
        <v>1886.44</v>
      </c>
      <c r="AC77" s="75">
        <f t="shared" si="11"/>
        <v>1885.44</v>
      </c>
      <c r="AD77" s="75">
        <f t="shared" si="11"/>
        <v>1889.0399999999997</v>
      </c>
      <c r="AE77" s="75">
        <f t="shared" si="11"/>
        <v>1844.7399999999998</v>
      </c>
      <c r="AF77" s="75">
        <f t="shared" si="11"/>
        <v>1782.74</v>
      </c>
      <c r="AG77" s="143">
        <f>AG38+AG42+AG60+AG56+AG72+AG76</f>
        <v>1855.1900000000003</v>
      </c>
      <c r="AH77" s="54">
        <f t="shared" si="2"/>
        <v>1889.0399999999997</v>
      </c>
      <c r="AI77" s="55">
        <f t="shared" si="3"/>
        <v>3.54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0</v>
      </c>
      <c r="AI78" s="55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>B77+B78</f>
        <v>3.54</v>
      </c>
      <c r="C79" s="75">
        <f t="shared" ref="C79:AF79" si="12">C77+C78</f>
        <v>1640.44</v>
      </c>
      <c r="D79" s="75">
        <f t="shared" si="12"/>
        <v>1626.44</v>
      </c>
      <c r="E79" s="75">
        <f t="shared" si="12"/>
        <v>1639.04</v>
      </c>
      <c r="F79" s="75">
        <f t="shared" si="12"/>
        <v>1616.54</v>
      </c>
      <c r="G79" s="75">
        <f t="shared" si="12"/>
        <v>1633.8400000000001</v>
      </c>
      <c r="H79" s="75">
        <f t="shared" si="12"/>
        <v>1651.8400000000001</v>
      </c>
      <c r="I79" s="75">
        <f t="shared" si="12"/>
        <v>1664.3400000000001</v>
      </c>
      <c r="J79" s="75">
        <f t="shared" si="12"/>
        <v>1661.8400000000001</v>
      </c>
      <c r="K79" s="75">
        <f t="shared" si="12"/>
        <v>1696.9399999999998</v>
      </c>
      <c r="L79" s="75">
        <f t="shared" si="12"/>
        <v>1696.9399999999998</v>
      </c>
      <c r="M79" s="75">
        <f t="shared" si="12"/>
        <v>1787.4399999999998</v>
      </c>
      <c r="N79" s="75">
        <f t="shared" si="12"/>
        <v>1717.14</v>
      </c>
      <c r="O79" s="75">
        <f t="shared" si="12"/>
        <v>1701.24</v>
      </c>
      <c r="P79" s="75">
        <f t="shared" si="12"/>
        <v>1762.54</v>
      </c>
      <c r="Q79" s="75">
        <f t="shared" si="12"/>
        <v>1753.64</v>
      </c>
      <c r="R79" s="75">
        <f t="shared" si="12"/>
        <v>1775.3399999999997</v>
      </c>
      <c r="S79" s="75">
        <f t="shared" si="12"/>
        <v>1846.24</v>
      </c>
      <c r="T79" s="75">
        <f t="shared" si="12"/>
        <v>1728.94</v>
      </c>
      <c r="U79" s="75">
        <f t="shared" si="12"/>
        <v>1812.84</v>
      </c>
      <c r="V79" s="75">
        <f t="shared" si="12"/>
        <v>1770.34</v>
      </c>
      <c r="W79" s="75">
        <f t="shared" si="12"/>
        <v>1773.1399999999999</v>
      </c>
      <c r="X79" s="75">
        <f t="shared" si="12"/>
        <v>1771.4399999999998</v>
      </c>
      <c r="Y79" s="75">
        <f t="shared" si="12"/>
        <v>1783.24</v>
      </c>
      <c r="Z79" s="75">
        <f t="shared" si="12"/>
        <v>1856.24</v>
      </c>
      <c r="AA79" s="75">
        <f t="shared" si="12"/>
        <v>1881.54</v>
      </c>
      <c r="AB79" s="75">
        <f t="shared" si="12"/>
        <v>1886.44</v>
      </c>
      <c r="AC79" s="75">
        <f t="shared" si="12"/>
        <v>1885.44</v>
      </c>
      <c r="AD79" s="75">
        <f t="shared" si="12"/>
        <v>1889.0399999999997</v>
      </c>
      <c r="AE79" s="75">
        <f t="shared" si="12"/>
        <v>1844.7399999999998</v>
      </c>
      <c r="AF79" s="75">
        <f t="shared" si="12"/>
        <v>1782.74</v>
      </c>
      <c r="AG79" s="138">
        <f>AG76+AG72+AG60+AG56+AG38+AG78</f>
        <v>1317.0900000000001</v>
      </c>
      <c r="AH79" s="54">
        <f t="shared" si="2"/>
        <v>1889.0399999999997</v>
      </c>
      <c r="AI79" s="55">
        <f t="shared" si="3"/>
        <v>3.54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:AF80" si="13">B79-B87</f>
        <v>3.54</v>
      </c>
      <c r="C80" s="75">
        <f t="shared" si="13"/>
        <v>1268.44</v>
      </c>
      <c r="D80" s="75">
        <f t="shared" si="13"/>
        <v>1262.44</v>
      </c>
      <c r="E80" s="75">
        <f t="shared" si="13"/>
        <v>1256.04</v>
      </c>
      <c r="F80" s="75">
        <f t="shared" si="13"/>
        <v>1233.54</v>
      </c>
      <c r="G80" s="75">
        <f t="shared" si="13"/>
        <v>1241.8400000000001</v>
      </c>
      <c r="H80" s="75">
        <f t="shared" si="13"/>
        <v>1231.8400000000001</v>
      </c>
      <c r="I80" s="75">
        <f t="shared" si="13"/>
        <v>1234.3400000000001</v>
      </c>
      <c r="J80" s="75">
        <f t="shared" si="13"/>
        <v>1293.8400000000001</v>
      </c>
      <c r="K80" s="75">
        <f t="shared" si="13"/>
        <v>1316.9399999999998</v>
      </c>
      <c r="L80" s="75">
        <f t="shared" si="13"/>
        <v>1316.9399999999998</v>
      </c>
      <c r="M80" s="75">
        <f t="shared" si="13"/>
        <v>1447.4399999999998</v>
      </c>
      <c r="N80" s="75">
        <f t="shared" si="13"/>
        <v>1382.14</v>
      </c>
      <c r="O80" s="75">
        <f t="shared" si="13"/>
        <v>1396.6399999999999</v>
      </c>
      <c r="P80" s="75">
        <f t="shared" si="13"/>
        <v>1452.54</v>
      </c>
      <c r="Q80" s="75">
        <f t="shared" si="13"/>
        <v>1394.54</v>
      </c>
      <c r="R80" s="75">
        <f t="shared" si="13"/>
        <v>1410.3399999999997</v>
      </c>
      <c r="S80" s="75">
        <f t="shared" si="13"/>
        <v>1506.24</v>
      </c>
      <c r="T80" s="75">
        <f t="shared" si="13"/>
        <v>1428.94</v>
      </c>
      <c r="U80" s="75">
        <f t="shared" si="13"/>
        <v>1445.84</v>
      </c>
      <c r="V80" s="75">
        <f t="shared" si="13"/>
        <v>1425.34</v>
      </c>
      <c r="W80" s="75">
        <f t="shared" si="13"/>
        <v>1420.4399999999998</v>
      </c>
      <c r="X80" s="75">
        <f t="shared" si="13"/>
        <v>1424.4399999999998</v>
      </c>
      <c r="Y80" s="75">
        <f t="shared" si="13"/>
        <v>1387.24</v>
      </c>
      <c r="Z80" s="75">
        <f t="shared" si="13"/>
        <v>1488.24</v>
      </c>
      <c r="AA80" s="75">
        <f t="shared" si="13"/>
        <v>1576.54</v>
      </c>
      <c r="AB80" s="75">
        <f t="shared" si="13"/>
        <v>1563.54</v>
      </c>
      <c r="AC80" s="75">
        <f t="shared" si="13"/>
        <v>1559.64</v>
      </c>
      <c r="AD80" s="75">
        <f t="shared" si="13"/>
        <v>1563.2399999999998</v>
      </c>
      <c r="AE80" s="75">
        <f t="shared" si="13"/>
        <v>1475.8399999999997</v>
      </c>
      <c r="AF80" s="75">
        <f t="shared" si="13"/>
        <v>1422.74</v>
      </c>
      <c r="AG80" s="138"/>
      <c r="AH80" s="54">
        <f t="shared" ref="AH80:AH97" si="14">MAX(B80:AF80)</f>
        <v>1576.54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>IF(B64&lt;0,B64*-1,0)</f>
        <v>0</v>
      </c>
      <c r="C81" s="71">
        <f t="shared" ref="C81:AF81" si="15">IF(C64&lt;0,C64*-1,0)</f>
        <v>0</v>
      </c>
      <c r="D81" s="71">
        <f t="shared" si="15"/>
        <v>0</v>
      </c>
      <c r="E81" s="71">
        <f t="shared" si="15"/>
        <v>0</v>
      </c>
      <c r="F81" s="71">
        <f t="shared" si="15"/>
        <v>0</v>
      </c>
      <c r="G81" s="71">
        <f t="shared" si="15"/>
        <v>0</v>
      </c>
      <c r="H81" s="71">
        <f t="shared" si="15"/>
        <v>0</v>
      </c>
      <c r="I81" s="71">
        <f t="shared" si="15"/>
        <v>0</v>
      </c>
      <c r="J81" s="71">
        <f t="shared" si="15"/>
        <v>0</v>
      </c>
      <c r="K81" s="71">
        <f t="shared" si="15"/>
        <v>0</v>
      </c>
      <c r="L81" s="71">
        <f t="shared" si="15"/>
        <v>0</v>
      </c>
      <c r="M81" s="71">
        <f t="shared" si="15"/>
        <v>0</v>
      </c>
      <c r="N81" s="71">
        <f t="shared" si="15"/>
        <v>0</v>
      </c>
      <c r="O81" s="71">
        <f t="shared" si="15"/>
        <v>0</v>
      </c>
      <c r="P81" s="71">
        <f t="shared" si="15"/>
        <v>0</v>
      </c>
      <c r="Q81" s="71">
        <f t="shared" si="15"/>
        <v>0</v>
      </c>
      <c r="R81" s="71">
        <f t="shared" si="15"/>
        <v>0</v>
      </c>
      <c r="S81" s="71">
        <f t="shared" si="15"/>
        <v>0</v>
      </c>
      <c r="T81" s="71">
        <f t="shared" si="15"/>
        <v>0</v>
      </c>
      <c r="U81" s="71">
        <f t="shared" si="15"/>
        <v>0</v>
      </c>
      <c r="V81" s="71">
        <f t="shared" si="15"/>
        <v>0</v>
      </c>
      <c r="W81" s="71">
        <f t="shared" si="15"/>
        <v>0</v>
      </c>
      <c r="X81" s="71">
        <f t="shared" si="15"/>
        <v>0</v>
      </c>
      <c r="Y81" s="71">
        <f t="shared" si="15"/>
        <v>0</v>
      </c>
      <c r="Z81" s="71">
        <f t="shared" si="15"/>
        <v>0</v>
      </c>
      <c r="AA81" s="71">
        <f t="shared" si="15"/>
        <v>0</v>
      </c>
      <c r="AB81" s="71">
        <f t="shared" si="15"/>
        <v>0</v>
      </c>
      <c r="AC81" s="71">
        <f t="shared" si="15"/>
        <v>0</v>
      </c>
      <c r="AD81" s="71">
        <f t="shared" si="15"/>
        <v>0</v>
      </c>
      <c r="AE81" s="71">
        <f t="shared" si="15"/>
        <v>0</v>
      </c>
      <c r="AF81" s="71">
        <f t="shared" si="15"/>
        <v>0</v>
      </c>
      <c r="AG81" s="135"/>
      <c r="AH81" s="54">
        <f t="shared" si="14"/>
        <v>0</v>
      </c>
      <c r="AI81" s="55">
        <f t="shared" ref="AI81:AI97" si="16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>IF(B62&lt;0,B62*-1,0)</f>
        <v>0</v>
      </c>
      <c r="C82" s="71">
        <f t="shared" ref="C82:AF82" si="17">IF(C62&lt;0,C62*-1,0)</f>
        <v>0</v>
      </c>
      <c r="D82" s="71">
        <f t="shared" si="17"/>
        <v>0</v>
      </c>
      <c r="E82" s="71">
        <f t="shared" si="17"/>
        <v>0</v>
      </c>
      <c r="F82" s="71">
        <f t="shared" si="17"/>
        <v>0</v>
      </c>
      <c r="G82" s="71">
        <f t="shared" si="17"/>
        <v>0</v>
      </c>
      <c r="H82" s="71">
        <f t="shared" si="17"/>
        <v>0</v>
      </c>
      <c r="I82" s="71">
        <f t="shared" si="17"/>
        <v>0</v>
      </c>
      <c r="J82" s="71">
        <f t="shared" si="17"/>
        <v>0</v>
      </c>
      <c r="K82" s="71">
        <f t="shared" si="17"/>
        <v>0</v>
      </c>
      <c r="L82" s="71">
        <f t="shared" si="17"/>
        <v>0</v>
      </c>
      <c r="M82" s="71">
        <f t="shared" si="17"/>
        <v>0</v>
      </c>
      <c r="N82" s="71">
        <f t="shared" si="17"/>
        <v>0</v>
      </c>
      <c r="O82" s="71">
        <f t="shared" si="17"/>
        <v>0</v>
      </c>
      <c r="P82" s="71">
        <f t="shared" si="17"/>
        <v>0</v>
      </c>
      <c r="Q82" s="71">
        <f t="shared" si="17"/>
        <v>0</v>
      </c>
      <c r="R82" s="71">
        <f t="shared" si="17"/>
        <v>0</v>
      </c>
      <c r="S82" s="71">
        <f t="shared" si="17"/>
        <v>0</v>
      </c>
      <c r="T82" s="71">
        <f t="shared" si="17"/>
        <v>0</v>
      </c>
      <c r="U82" s="71">
        <f t="shared" si="17"/>
        <v>0</v>
      </c>
      <c r="V82" s="71">
        <f t="shared" si="17"/>
        <v>0</v>
      </c>
      <c r="W82" s="71">
        <f t="shared" si="17"/>
        <v>0</v>
      </c>
      <c r="X82" s="71">
        <f t="shared" si="17"/>
        <v>0</v>
      </c>
      <c r="Y82" s="71">
        <f t="shared" si="17"/>
        <v>0</v>
      </c>
      <c r="Z82" s="71">
        <f t="shared" si="17"/>
        <v>0</v>
      </c>
      <c r="AA82" s="71">
        <f t="shared" si="17"/>
        <v>0</v>
      </c>
      <c r="AB82" s="71">
        <f t="shared" si="17"/>
        <v>0</v>
      </c>
      <c r="AC82" s="71">
        <f t="shared" si="17"/>
        <v>0</v>
      </c>
      <c r="AD82" s="71">
        <f t="shared" si="17"/>
        <v>0</v>
      </c>
      <c r="AE82" s="71">
        <f t="shared" si="17"/>
        <v>0</v>
      </c>
      <c r="AF82" s="71">
        <f t="shared" si="17"/>
        <v>0</v>
      </c>
      <c r="AG82" s="136"/>
      <c r="AH82" s="54">
        <f t="shared" si="14"/>
        <v>0</v>
      </c>
      <c r="AI82" s="55">
        <f t="shared" si="16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>IF(B65&lt;0,B65*-1,0)</f>
        <v>0</v>
      </c>
      <c r="C83" s="71">
        <f t="shared" ref="C83:AF83" si="18">IF(C65&lt;0,C65*-1,0)</f>
        <v>0</v>
      </c>
      <c r="D83" s="71">
        <f t="shared" si="18"/>
        <v>0</v>
      </c>
      <c r="E83" s="71">
        <f t="shared" si="18"/>
        <v>0</v>
      </c>
      <c r="F83" s="71">
        <f t="shared" si="18"/>
        <v>0</v>
      </c>
      <c r="G83" s="71">
        <f t="shared" si="18"/>
        <v>0</v>
      </c>
      <c r="H83" s="71">
        <f t="shared" si="18"/>
        <v>0</v>
      </c>
      <c r="I83" s="71">
        <f t="shared" si="18"/>
        <v>0</v>
      </c>
      <c r="J83" s="71">
        <f t="shared" si="18"/>
        <v>0</v>
      </c>
      <c r="K83" s="71">
        <f t="shared" si="18"/>
        <v>0</v>
      </c>
      <c r="L83" s="71">
        <f t="shared" si="18"/>
        <v>0</v>
      </c>
      <c r="M83" s="71">
        <f t="shared" si="18"/>
        <v>0</v>
      </c>
      <c r="N83" s="71">
        <f t="shared" si="18"/>
        <v>0</v>
      </c>
      <c r="O83" s="71">
        <f t="shared" si="18"/>
        <v>0</v>
      </c>
      <c r="P83" s="71">
        <f t="shared" si="18"/>
        <v>0</v>
      </c>
      <c r="Q83" s="71">
        <f t="shared" si="18"/>
        <v>0</v>
      </c>
      <c r="R83" s="71">
        <f t="shared" si="18"/>
        <v>0</v>
      </c>
      <c r="S83" s="71">
        <f t="shared" si="18"/>
        <v>0</v>
      </c>
      <c r="T83" s="71">
        <f t="shared" si="18"/>
        <v>0</v>
      </c>
      <c r="U83" s="71">
        <f t="shared" si="18"/>
        <v>0</v>
      </c>
      <c r="V83" s="71">
        <f t="shared" si="18"/>
        <v>0</v>
      </c>
      <c r="W83" s="71">
        <f t="shared" si="18"/>
        <v>0</v>
      </c>
      <c r="X83" s="71">
        <f t="shared" si="18"/>
        <v>0</v>
      </c>
      <c r="Y83" s="71">
        <f t="shared" si="18"/>
        <v>0</v>
      </c>
      <c r="Z83" s="71">
        <f t="shared" si="18"/>
        <v>0</v>
      </c>
      <c r="AA83" s="71">
        <f t="shared" si="18"/>
        <v>0</v>
      </c>
      <c r="AB83" s="71">
        <f t="shared" si="18"/>
        <v>0</v>
      </c>
      <c r="AC83" s="71">
        <f t="shared" si="18"/>
        <v>0</v>
      </c>
      <c r="AD83" s="71">
        <f t="shared" si="18"/>
        <v>0</v>
      </c>
      <c r="AE83" s="71">
        <f t="shared" si="18"/>
        <v>0</v>
      </c>
      <c r="AF83" s="71">
        <f t="shared" si="18"/>
        <v>0</v>
      </c>
      <c r="AG83" s="144"/>
      <c r="AH83" s="54">
        <f t="shared" si="14"/>
        <v>0</v>
      </c>
      <c r="AI83" s="55">
        <f t="shared" si="16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>IF(B63&lt;0,B63*-1,0)</f>
        <v>0</v>
      </c>
      <c r="C84" s="71">
        <f t="shared" ref="C84:AF84" si="19">IF(C63&lt;0,C63*-1,0)</f>
        <v>372</v>
      </c>
      <c r="D84" s="71">
        <f t="shared" si="19"/>
        <v>364</v>
      </c>
      <c r="E84" s="71">
        <f t="shared" si="19"/>
        <v>383</v>
      </c>
      <c r="F84" s="71">
        <f t="shared" si="19"/>
        <v>383</v>
      </c>
      <c r="G84" s="71">
        <f t="shared" si="19"/>
        <v>392</v>
      </c>
      <c r="H84" s="71">
        <f t="shared" si="19"/>
        <v>420</v>
      </c>
      <c r="I84" s="71">
        <f t="shared" si="19"/>
        <v>430</v>
      </c>
      <c r="J84" s="71">
        <f t="shared" si="19"/>
        <v>368</v>
      </c>
      <c r="K84" s="71">
        <f t="shared" si="19"/>
        <v>380</v>
      </c>
      <c r="L84" s="71">
        <f t="shared" si="19"/>
        <v>380</v>
      </c>
      <c r="M84" s="71">
        <f t="shared" si="19"/>
        <v>340</v>
      </c>
      <c r="N84" s="71">
        <f t="shared" si="19"/>
        <v>335</v>
      </c>
      <c r="O84" s="71">
        <f t="shared" si="19"/>
        <v>304.60000000000002</v>
      </c>
      <c r="P84" s="71">
        <f t="shared" si="19"/>
        <v>310</v>
      </c>
      <c r="Q84" s="71">
        <f t="shared" si="19"/>
        <v>359.1</v>
      </c>
      <c r="R84" s="71">
        <f t="shared" si="19"/>
        <v>365</v>
      </c>
      <c r="S84" s="71">
        <f t="shared" si="19"/>
        <v>340</v>
      </c>
      <c r="T84" s="71">
        <f t="shared" si="19"/>
        <v>300</v>
      </c>
      <c r="U84" s="71">
        <f t="shared" si="19"/>
        <v>367</v>
      </c>
      <c r="V84" s="71">
        <f t="shared" si="19"/>
        <v>345</v>
      </c>
      <c r="W84" s="71">
        <f t="shared" si="19"/>
        <v>352.7</v>
      </c>
      <c r="X84" s="71">
        <f t="shared" si="19"/>
        <v>347</v>
      </c>
      <c r="Y84" s="71">
        <f t="shared" si="19"/>
        <v>396</v>
      </c>
      <c r="Z84" s="71">
        <f t="shared" si="19"/>
        <v>368</v>
      </c>
      <c r="AA84" s="71">
        <f t="shared" si="19"/>
        <v>305</v>
      </c>
      <c r="AB84" s="71">
        <f t="shared" si="19"/>
        <v>322.89999999999998</v>
      </c>
      <c r="AC84" s="71">
        <f t="shared" si="19"/>
        <v>325.8</v>
      </c>
      <c r="AD84" s="71">
        <f t="shared" si="19"/>
        <v>325.8</v>
      </c>
      <c r="AE84" s="71">
        <f t="shared" si="19"/>
        <v>368.9</v>
      </c>
      <c r="AF84" s="71">
        <f t="shared" si="19"/>
        <v>360</v>
      </c>
      <c r="AG84" s="144"/>
      <c r="AH84" s="54">
        <f t="shared" si="14"/>
        <v>430</v>
      </c>
      <c r="AI84" s="55">
        <f t="shared" si="16"/>
        <v>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>IF(B61&lt;0,B61*-1,0)</f>
        <v>0</v>
      </c>
      <c r="C85" s="71">
        <f t="shared" ref="C85:AF85" si="20">IF(C61&lt;0,C61*-1,0)</f>
        <v>0</v>
      </c>
      <c r="D85" s="71">
        <f t="shared" si="20"/>
        <v>0</v>
      </c>
      <c r="E85" s="71">
        <f t="shared" si="20"/>
        <v>0</v>
      </c>
      <c r="F85" s="71">
        <f t="shared" si="20"/>
        <v>0</v>
      </c>
      <c r="G85" s="71">
        <f t="shared" si="20"/>
        <v>0</v>
      </c>
      <c r="H85" s="71">
        <f t="shared" si="20"/>
        <v>0</v>
      </c>
      <c r="I85" s="71">
        <f t="shared" si="20"/>
        <v>0</v>
      </c>
      <c r="J85" s="71">
        <f t="shared" si="20"/>
        <v>0</v>
      </c>
      <c r="K85" s="71">
        <f t="shared" si="20"/>
        <v>0</v>
      </c>
      <c r="L85" s="71">
        <f t="shared" si="20"/>
        <v>0</v>
      </c>
      <c r="M85" s="71">
        <f t="shared" si="20"/>
        <v>0</v>
      </c>
      <c r="N85" s="71">
        <f t="shared" si="20"/>
        <v>0</v>
      </c>
      <c r="O85" s="71">
        <f t="shared" si="20"/>
        <v>0</v>
      </c>
      <c r="P85" s="71">
        <f t="shared" si="20"/>
        <v>0</v>
      </c>
      <c r="Q85" s="71">
        <f t="shared" si="20"/>
        <v>0</v>
      </c>
      <c r="R85" s="71">
        <f t="shared" si="20"/>
        <v>0</v>
      </c>
      <c r="S85" s="71">
        <f t="shared" si="20"/>
        <v>0</v>
      </c>
      <c r="T85" s="71">
        <f t="shared" si="20"/>
        <v>0</v>
      </c>
      <c r="U85" s="71">
        <f t="shared" si="20"/>
        <v>0</v>
      </c>
      <c r="V85" s="71">
        <f t="shared" si="20"/>
        <v>0</v>
      </c>
      <c r="W85" s="71">
        <f t="shared" si="20"/>
        <v>0</v>
      </c>
      <c r="X85" s="71">
        <f t="shared" si="20"/>
        <v>0</v>
      </c>
      <c r="Y85" s="71">
        <f t="shared" si="20"/>
        <v>0</v>
      </c>
      <c r="Z85" s="71">
        <f t="shared" si="20"/>
        <v>0</v>
      </c>
      <c r="AA85" s="71">
        <f t="shared" si="20"/>
        <v>0</v>
      </c>
      <c r="AB85" s="71">
        <f t="shared" si="20"/>
        <v>0</v>
      </c>
      <c r="AC85" s="71">
        <f t="shared" si="20"/>
        <v>0</v>
      </c>
      <c r="AD85" s="71">
        <f t="shared" si="20"/>
        <v>0</v>
      </c>
      <c r="AE85" s="71">
        <f t="shared" si="20"/>
        <v>0</v>
      </c>
      <c r="AF85" s="71">
        <f t="shared" si="20"/>
        <v>0</v>
      </c>
      <c r="AG85" s="144"/>
      <c r="AH85" s="54">
        <f t="shared" si="14"/>
        <v>0</v>
      </c>
      <c r="AI85" s="55">
        <f t="shared" si="16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/>
      <c r="AD86" s="74"/>
      <c r="AE86" s="74"/>
      <c r="AF86" s="74"/>
      <c r="AG86" s="141"/>
      <c r="AH86" s="54">
        <f t="shared" si="14"/>
        <v>0</v>
      </c>
      <c r="AI86" s="55">
        <f t="shared" si="16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>SUM(B81:B86)</f>
        <v>0</v>
      </c>
      <c r="C87" s="66">
        <f t="shared" ref="C87:AF87" si="21">SUM(C81:C86)</f>
        <v>372</v>
      </c>
      <c r="D87" s="66">
        <f t="shared" si="21"/>
        <v>364</v>
      </c>
      <c r="E87" s="66">
        <f t="shared" si="21"/>
        <v>383</v>
      </c>
      <c r="F87" s="66">
        <f t="shared" si="21"/>
        <v>383</v>
      </c>
      <c r="G87" s="66">
        <f t="shared" si="21"/>
        <v>392</v>
      </c>
      <c r="H87" s="66">
        <f t="shared" si="21"/>
        <v>420</v>
      </c>
      <c r="I87" s="66">
        <f t="shared" si="21"/>
        <v>430</v>
      </c>
      <c r="J87" s="66">
        <f t="shared" si="21"/>
        <v>368</v>
      </c>
      <c r="K87" s="66">
        <f t="shared" si="21"/>
        <v>380</v>
      </c>
      <c r="L87" s="66">
        <f t="shared" si="21"/>
        <v>380</v>
      </c>
      <c r="M87" s="66">
        <f t="shared" si="21"/>
        <v>340</v>
      </c>
      <c r="N87" s="66">
        <f t="shared" si="21"/>
        <v>335</v>
      </c>
      <c r="O87" s="66">
        <f t="shared" si="21"/>
        <v>304.60000000000002</v>
      </c>
      <c r="P87" s="66">
        <f t="shared" si="21"/>
        <v>310</v>
      </c>
      <c r="Q87" s="66">
        <f t="shared" si="21"/>
        <v>359.1</v>
      </c>
      <c r="R87" s="66">
        <f t="shared" si="21"/>
        <v>365</v>
      </c>
      <c r="S87" s="66">
        <f t="shared" si="21"/>
        <v>340</v>
      </c>
      <c r="T87" s="66">
        <f t="shared" si="21"/>
        <v>300</v>
      </c>
      <c r="U87" s="66">
        <f t="shared" si="21"/>
        <v>367</v>
      </c>
      <c r="V87" s="66">
        <f t="shared" si="21"/>
        <v>345</v>
      </c>
      <c r="W87" s="66">
        <f t="shared" si="21"/>
        <v>352.7</v>
      </c>
      <c r="X87" s="66">
        <f t="shared" si="21"/>
        <v>347</v>
      </c>
      <c r="Y87" s="66">
        <f t="shared" si="21"/>
        <v>396</v>
      </c>
      <c r="Z87" s="66">
        <f t="shared" si="21"/>
        <v>368</v>
      </c>
      <c r="AA87" s="66">
        <f t="shared" si="21"/>
        <v>305</v>
      </c>
      <c r="AB87" s="66">
        <f t="shared" si="21"/>
        <v>322.89999999999998</v>
      </c>
      <c r="AC87" s="66">
        <f t="shared" si="21"/>
        <v>325.8</v>
      </c>
      <c r="AD87" s="66">
        <f t="shared" si="21"/>
        <v>325.8</v>
      </c>
      <c r="AE87" s="66">
        <f t="shared" si="21"/>
        <v>368.9</v>
      </c>
      <c r="AF87" s="66">
        <f t="shared" si="21"/>
        <v>360</v>
      </c>
      <c r="AG87" s="138"/>
      <c r="AH87" s="54">
        <f t="shared" si="14"/>
        <v>430</v>
      </c>
      <c r="AI87" s="55">
        <f t="shared" si="16"/>
        <v>0</v>
      </c>
      <c r="AK87" s="56"/>
    </row>
    <row r="88" spans="1:88" s="1" customFormat="1" ht="15.75" thickBot="1" x14ac:dyDescent="0.3">
      <c r="A88" s="65" t="s">
        <v>64</v>
      </c>
      <c r="B88" s="66">
        <f>B72-B87</f>
        <v>0</v>
      </c>
      <c r="C88" s="66">
        <f t="shared" ref="C88:AF88" si="22">C72-C87</f>
        <v>-343</v>
      </c>
      <c r="D88" s="66">
        <f t="shared" si="22"/>
        <v>-349</v>
      </c>
      <c r="E88" s="66">
        <f t="shared" si="22"/>
        <v>-383</v>
      </c>
      <c r="F88" s="66">
        <f t="shared" si="22"/>
        <v>-383</v>
      </c>
      <c r="G88" s="66">
        <f t="shared" si="22"/>
        <v>-392</v>
      </c>
      <c r="H88" s="66">
        <f t="shared" si="22"/>
        <v>-420</v>
      </c>
      <c r="I88" s="66">
        <f t="shared" si="22"/>
        <v>-430</v>
      </c>
      <c r="J88" s="66">
        <f t="shared" si="22"/>
        <v>-368</v>
      </c>
      <c r="K88" s="66">
        <f t="shared" si="22"/>
        <v>-380</v>
      </c>
      <c r="L88" s="66">
        <f t="shared" si="22"/>
        <v>-380</v>
      </c>
      <c r="M88" s="66">
        <f t="shared" si="22"/>
        <v>-340</v>
      </c>
      <c r="N88" s="66">
        <f t="shared" si="22"/>
        <v>-335</v>
      </c>
      <c r="O88" s="66">
        <f t="shared" si="22"/>
        <v>-304.60000000000002</v>
      </c>
      <c r="P88" s="66">
        <f t="shared" si="22"/>
        <v>-310</v>
      </c>
      <c r="Q88" s="66">
        <f t="shared" si="22"/>
        <v>-359.1</v>
      </c>
      <c r="R88" s="66">
        <f t="shared" si="22"/>
        <v>-317.89999999999998</v>
      </c>
      <c r="S88" s="66">
        <f t="shared" si="22"/>
        <v>-294.8</v>
      </c>
      <c r="T88" s="66">
        <f t="shared" si="22"/>
        <v>-243.8</v>
      </c>
      <c r="U88" s="66">
        <f t="shared" si="22"/>
        <v>-324.3</v>
      </c>
      <c r="V88" s="66">
        <f t="shared" si="22"/>
        <v>-291.8</v>
      </c>
      <c r="W88" s="66">
        <f t="shared" si="22"/>
        <v>-296.7</v>
      </c>
      <c r="X88" s="66">
        <f t="shared" si="22"/>
        <v>-292.7</v>
      </c>
      <c r="Y88" s="66">
        <f t="shared" si="22"/>
        <v>-341.2</v>
      </c>
      <c r="Z88" s="66">
        <f t="shared" si="22"/>
        <v>-336.2</v>
      </c>
      <c r="AA88" s="66">
        <f t="shared" si="22"/>
        <v>-245.6</v>
      </c>
      <c r="AB88" s="66">
        <f t="shared" si="22"/>
        <v>-256.5</v>
      </c>
      <c r="AC88" s="66">
        <f t="shared" si="22"/>
        <v>-250.3</v>
      </c>
      <c r="AD88" s="66">
        <f t="shared" si="22"/>
        <v>-243.20000000000002</v>
      </c>
      <c r="AE88" s="66">
        <f t="shared" si="22"/>
        <v>-329.9</v>
      </c>
      <c r="AF88" s="66">
        <f t="shared" si="22"/>
        <v>-350.4</v>
      </c>
      <c r="AG88" s="138"/>
      <c r="AH88" s="54">
        <f t="shared" si="14"/>
        <v>0</v>
      </c>
      <c r="AI88" s="55">
        <f t="shared" si="16"/>
        <v>-430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/>
      <c r="C89" s="80">
        <v>50.02</v>
      </c>
      <c r="D89" s="80">
        <v>50.05</v>
      </c>
      <c r="E89" s="80">
        <v>50.000999999999998</v>
      </c>
      <c r="F89" s="80">
        <v>49.991</v>
      </c>
      <c r="G89" s="80">
        <v>49.991</v>
      </c>
      <c r="H89" s="80">
        <v>49.991</v>
      </c>
      <c r="I89" s="80">
        <v>49.942999999999998</v>
      </c>
      <c r="J89" s="80">
        <v>49.994999999999997</v>
      </c>
      <c r="K89" s="80">
        <v>50.033999999999999</v>
      </c>
      <c r="L89" s="80">
        <v>50.033999999999999</v>
      </c>
      <c r="M89" s="80">
        <v>49.92</v>
      </c>
      <c r="N89" s="80">
        <v>49.908000000000001</v>
      </c>
      <c r="O89" s="80">
        <v>50.04</v>
      </c>
      <c r="P89" s="80">
        <v>50.08</v>
      </c>
      <c r="Q89" s="80">
        <v>49.965000000000003</v>
      </c>
      <c r="R89" s="80">
        <v>49.84</v>
      </c>
      <c r="S89" s="80">
        <v>50.094000000000001</v>
      </c>
      <c r="T89" s="80">
        <v>50.027000000000001</v>
      </c>
      <c r="U89" s="80">
        <v>50.024000000000001</v>
      </c>
      <c r="V89" s="80">
        <v>49.898000000000003</v>
      </c>
      <c r="W89" s="80">
        <v>50.01</v>
      </c>
      <c r="X89" s="80">
        <v>50.023000000000003</v>
      </c>
      <c r="Y89" s="80">
        <v>49.993000000000002</v>
      </c>
      <c r="Z89" s="80">
        <v>49.862000000000002</v>
      </c>
      <c r="AA89" s="80">
        <v>49.76</v>
      </c>
      <c r="AB89" s="80">
        <v>49.77</v>
      </c>
      <c r="AC89" s="80">
        <v>50.014000000000003</v>
      </c>
      <c r="AD89" s="80">
        <v>50.014000000000003</v>
      </c>
      <c r="AE89" s="80">
        <v>50.02</v>
      </c>
      <c r="AF89" s="80">
        <v>50.01</v>
      </c>
      <c r="AG89" s="145"/>
      <c r="AH89" s="54">
        <f t="shared" si="14"/>
        <v>50.094000000000001</v>
      </c>
      <c r="AI89" s="55">
        <f t="shared" si="16"/>
        <v>49.76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/>
      <c r="C90" s="48">
        <v>125</v>
      </c>
      <c r="D90" s="48">
        <v>124</v>
      </c>
      <c r="E90" s="48">
        <v>124.7</v>
      </c>
      <c r="F90" s="48">
        <v>124.7</v>
      </c>
      <c r="G90" s="48">
        <v>124.7</v>
      </c>
      <c r="H90" s="48">
        <v>124.7</v>
      </c>
      <c r="I90" s="48">
        <v>127</v>
      </c>
      <c r="J90" s="48">
        <v>124</v>
      </c>
      <c r="K90" s="48">
        <v>124</v>
      </c>
      <c r="L90" s="48">
        <v>124</v>
      </c>
      <c r="M90" s="48">
        <v>123.9</v>
      </c>
      <c r="N90" s="48">
        <v>122.3</v>
      </c>
      <c r="O90" s="48">
        <v>120.8</v>
      </c>
      <c r="P90" s="48">
        <v>122.1</v>
      </c>
      <c r="Q90" s="48">
        <v>123.5</v>
      </c>
      <c r="R90" s="48">
        <v>121.8</v>
      </c>
      <c r="S90" s="48">
        <v>124.3</v>
      </c>
      <c r="T90" s="48">
        <v>123.3</v>
      </c>
      <c r="U90" s="48">
        <v>123.2</v>
      </c>
      <c r="V90" s="48">
        <v>124.4</v>
      </c>
      <c r="W90" s="48">
        <v>124.4</v>
      </c>
      <c r="X90" s="48">
        <v>124.4</v>
      </c>
      <c r="Y90" s="48">
        <v>125.3</v>
      </c>
      <c r="Z90" s="48">
        <v>125.7</v>
      </c>
      <c r="AA90" s="48">
        <v>124.7</v>
      </c>
      <c r="AB90" s="48">
        <v>125.2</v>
      </c>
      <c r="AC90" s="48">
        <v>125.7</v>
      </c>
      <c r="AD90" s="48">
        <v>125.7</v>
      </c>
      <c r="AE90" s="48">
        <v>123.7</v>
      </c>
      <c r="AF90" s="48">
        <v>124.3</v>
      </c>
      <c r="AG90" s="146"/>
      <c r="AH90" s="54">
        <f t="shared" si="14"/>
        <v>127</v>
      </c>
      <c r="AI90" s="55">
        <f t="shared" si="16"/>
        <v>120.8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/>
      <c r="C91" s="48">
        <v>130</v>
      </c>
      <c r="D91" s="48">
        <v>129</v>
      </c>
      <c r="E91" s="48">
        <v>129</v>
      </c>
      <c r="F91" s="48">
        <v>129</v>
      </c>
      <c r="G91" s="48">
        <v>129</v>
      </c>
      <c r="H91" s="48">
        <v>129</v>
      </c>
      <c r="I91" s="48">
        <v>130</v>
      </c>
      <c r="J91" s="48">
        <v>128</v>
      </c>
      <c r="K91" s="48">
        <v>128</v>
      </c>
      <c r="L91" s="48">
        <v>128</v>
      </c>
      <c r="M91" s="48">
        <v>126.8</v>
      </c>
      <c r="N91" s="48">
        <v>126.4</v>
      </c>
      <c r="O91" s="48">
        <v>125</v>
      </c>
      <c r="P91" s="48">
        <v>126.3</v>
      </c>
      <c r="Q91" s="48">
        <v>127.9</v>
      </c>
      <c r="R91" s="48">
        <v>125.9</v>
      </c>
      <c r="S91" s="48">
        <v>128</v>
      </c>
      <c r="T91" s="48">
        <v>127.5</v>
      </c>
      <c r="U91" s="48">
        <v>127.3</v>
      </c>
      <c r="V91" s="48">
        <v>128.19999999999999</v>
      </c>
      <c r="W91" s="48">
        <v>128.1</v>
      </c>
      <c r="X91" s="48">
        <v>128.5</v>
      </c>
      <c r="Y91" s="48">
        <v>128.69999999999999</v>
      </c>
      <c r="Z91" s="48">
        <v>128.80000000000001</v>
      </c>
      <c r="AA91" s="48">
        <v>127.9</v>
      </c>
      <c r="AB91" s="48">
        <v>128.80000000000001</v>
      </c>
      <c r="AC91" s="48">
        <v>129.5</v>
      </c>
      <c r="AD91" s="48">
        <v>129.5</v>
      </c>
      <c r="AE91" s="48">
        <v>128.6</v>
      </c>
      <c r="AF91" s="48">
        <v>129.4</v>
      </c>
      <c r="AG91" s="146"/>
      <c r="AH91" s="54">
        <f t="shared" si="14"/>
        <v>130</v>
      </c>
      <c r="AI91" s="55">
        <f t="shared" si="16"/>
        <v>125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/>
      <c r="C92" s="48">
        <v>128</v>
      </c>
      <c r="D92" s="48">
        <v>127</v>
      </c>
      <c r="E92" s="48">
        <v>129</v>
      </c>
      <c r="F92" s="48">
        <v>129</v>
      </c>
      <c r="G92" s="48">
        <v>129</v>
      </c>
      <c r="H92" s="48">
        <v>129</v>
      </c>
      <c r="I92" s="48">
        <v>128</v>
      </c>
      <c r="J92" s="48">
        <v>127</v>
      </c>
      <c r="K92" s="48">
        <v>127</v>
      </c>
      <c r="L92" s="48">
        <v>127</v>
      </c>
      <c r="M92" s="48">
        <v>128.19999999999999</v>
      </c>
      <c r="N92" s="48">
        <v>127.9</v>
      </c>
      <c r="O92" s="48">
        <v>126.3</v>
      </c>
      <c r="P92" s="48">
        <v>133.30000000000001</v>
      </c>
      <c r="Q92" s="48">
        <v>129.80000000000001</v>
      </c>
      <c r="R92" s="48">
        <v>128.19999999999999</v>
      </c>
      <c r="S92" s="48">
        <v>130.30000000000001</v>
      </c>
      <c r="T92" s="48">
        <v>130.6</v>
      </c>
      <c r="U92" s="48">
        <v>128.5</v>
      </c>
      <c r="V92" s="48">
        <v>131.9</v>
      </c>
      <c r="W92" s="48">
        <v>130.6</v>
      </c>
      <c r="X92" s="48">
        <v>131.19999999999999</v>
      </c>
      <c r="Y92" s="48">
        <v>130</v>
      </c>
      <c r="Z92" s="48">
        <v>128.69999999999999</v>
      </c>
      <c r="AA92" s="48">
        <v>129</v>
      </c>
      <c r="AB92" s="48">
        <v>126.7</v>
      </c>
      <c r="AC92" s="48">
        <v>128.30000000000001</v>
      </c>
      <c r="AD92" s="48">
        <v>128.30000000000001</v>
      </c>
      <c r="AE92" s="48">
        <v>126.3</v>
      </c>
      <c r="AF92" s="48">
        <v>128.80000000000001</v>
      </c>
      <c r="AG92" s="146"/>
      <c r="AH92" s="54">
        <f t="shared" si="14"/>
        <v>133.30000000000001</v>
      </c>
      <c r="AI92" s="55">
        <f t="shared" si="16"/>
        <v>126.3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/>
      <c r="C93" s="48">
        <v>132</v>
      </c>
      <c r="D93" s="48">
        <v>132</v>
      </c>
      <c r="E93" s="48">
        <v>133</v>
      </c>
      <c r="F93" s="48">
        <v>133</v>
      </c>
      <c r="G93" s="48">
        <v>133</v>
      </c>
      <c r="H93" s="48">
        <v>133</v>
      </c>
      <c r="I93" s="48">
        <v>132</v>
      </c>
      <c r="J93" s="48">
        <v>131</v>
      </c>
      <c r="K93" s="48">
        <v>131</v>
      </c>
      <c r="L93" s="48">
        <v>131</v>
      </c>
      <c r="M93" s="48">
        <v>131.30000000000001</v>
      </c>
      <c r="N93" s="48">
        <v>130.6</v>
      </c>
      <c r="O93" s="48">
        <v>131.4</v>
      </c>
      <c r="P93" s="48">
        <v>131.4</v>
      </c>
      <c r="Q93" s="48">
        <v>134.9</v>
      </c>
      <c r="R93" s="48">
        <v>134.19999999999999</v>
      </c>
      <c r="S93" s="48">
        <v>135.4</v>
      </c>
      <c r="T93" s="48">
        <v>134.5</v>
      </c>
      <c r="U93" s="48">
        <v>132.4</v>
      </c>
      <c r="V93" s="48">
        <v>135.5</v>
      </c>
      <c r="W93" s="48">
        <v>132.1</v>
      </c>
      <c r="X93" s="48">
        <v>132.4</v>
      </c>
      <c r="Y93" s="48">
        <v>131.69999999999999</v>
      </c>
      <c r="Z93" s="48">
        <v>132</v>
      </c>
      <c r="AA93" s="48">
        <v>134.4</v>
      </c>
      <c r="AB93" s="48">
        <v>131.1</v>
      </c>
      <c r="AC93" s="48">
        <v>131.9</v>
      </c>
      <c r="AD93" s="48">
        <v>131.9</v>
      </c>
      <c r="AE93" s="48">
        <v>131.4</v>
      </c>
      <c r="AF93" s="48">
        <v>133.6</v>
      </c>
      <c r="AG93" s="146"/>
      <c r="AH93" s="54">
        <f t="shared" si="14"/>
        <v>135.5</v>
      </c>
      <c r="AI93" s="55">
        <f t="shared" si="16"/>
        <v>130.6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/>
      <c r="C94" s="82">
        <v>133</v>
      </c>
      <c r="D94" s="82">
        <v>129</v>
      </c>
      <c r="E94" s="82">
        <v>129.80000000000001</v>
      </c>
      <c r="F94" s="82">
        <v>129.80000000000001</v>
      </c>
      <c r="G94" s="82">
        <v>129.80000000000001</v>
      </c>
      <c r="H94" s="82">
        <v>129.80000000000001</v>
      </c>
      <c r="I94" s="82">
        <v>132</v>
      </c>
      <c r="J94" s="82">
        <v>134</v>
      </c>
      <c r="K94" s="82">
        <v>134</v>
      </c>
      <c r="L94" s="82">
        <v>134</v>
      </c>
      <c r="M94" s="82">
        <v>129.9</v>
      </c>
      <c r="N94" s="82">
        <v>133.1</v>
      </c>
      <c r="O94" s="82">
        <v>130.6</v>
      </c>
      <c r="P94" s="82">
        <v>134.19999999999999</v>
      </c>
      <c r="Q94" s="82">
        <v>131.80000000000001</v>
      </c>
      <c r="R94" s="82">
        <v>132.30000000000001</v>
      </c>
      <c r="S94" s="82">
        <v>136.4</v>
      </c>
      <c r="T94" s="82">
        <v>132.69999999999999</v>
      </c>
      <c r="U94" s="82">
        <v>134</v>
      </c>
      <c r="V94" s="82">
        <v>134</v>
      </c>
      <c r="W94" s="82">
        <v>134.80000000000001</v>
      </c>
      <c r="X94" s="82">
        <v>135.4</v>
      </c>
      <c r="Y94" s="82">
        <v>128.69999999999999</v>
      </c>
      <c r="Z94" s="82">
        <v>133.9</v>
      </c>
      <c r="AA94" s="82">
        <v>129.4</v>
      </c>
      <c r="AB94" s="82">
        <v>134.1</v>
      </c>
      <c r="AC94" s="82">
        <v>134.69999999999999</v>
      </c>
      <c r="AD94" s="82">
        <v>134.69999999999999</v>
      </c>
      <c r="AE94" s="82">
        <v>130.4</v>
      </c>
      <c r="AF94" s="82">
        <v>130.9</v>
      </c>
      <c r="AG94" s="147"/>
      <c r="AH94" s="54">
        <f t="shared" si="14"/>
        <v>136.4</v>
      </c>
      <c r="AI94" s="55">
        <f t="shared" si="16"/>
        <v>128.69999999999999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/>
      <c r="C95" s="48">
        <v>133</v>
      </c>
      <c r="D95" s="48">
        <v>121</v>
      </c>
      <c r="E95" s="48">
        <v>124</v>
      </c>
      <c r="F95" s="48">
        <v>124</v>
      </c>
      <c r="G95" s="48">
        <v>124</v>
      </c>
      <c r="H95" s="48">
        <v>124</v>
      </c>
      <c r="I95" s="48">
        <v>133</v>
      </c>
      <c r="J95" s="48">
        <v>131</v>
      </c>
      <c r="K95" s="48">
        <v>131</v>
      </c>
      <c r="L95" s="48">
        <v>131</v>
      </c>
      <c r="M95" s="48">
        <v>128.1</v>
      </c>
      <c r="N95" s="48">
        <v>131.4</v>
      </c>
      <c r="O95" s="48">
        <v>131.4</v>
      </c>
      <c r="P95" s="48">
        <v>131.1</v>
      </c>
      <c r="Q95" s="48">
        <v>129.9</v>
      </c>
      <c r="R95" s="48">
        <v>129.80000000000001</v>
      </c>
      <c r="S95" s="48">
        <v>136.6</v>
      </c>
      <c r="T95" s="48">
        <v>131.69999999999999</v>
      </c>
      <c r="U95" s="48">
        <v>132.1</v>
      </c>
      <c r="V95" s="48">
        <v>132.30000000000001</v>
      </c>
      <c r="W95" s="48">
        <v>130.4</v>
      </c>
      <c r="X95" s="48">
        <v>131.19999999999999</v>
      </c>
      <c r="Y95" s="48">
        <v>119.2</v>
      </c>
      <c r="Z95" s="48">
        <v>134</v>
      </c>
      <c r="AA95" s="48">
        <v>124.1</v>
      </c>
      <c r="AB95" s="48">
        <v>126.2</v>
      </c>
      <c r="AC95" s="48">
        <v>129.4</v>
      </c>
      <c r="AD95" s="48">
        <v>129.4</v>
      </c>
      <c r="AE95" s="48">
        <v>122.9</v>
      </c>
      <c r="AF95" s="48">
        <v>124.7</v>
      </c>
      <c r="AG95" s="146"/>
      <c r="AH95" s="54">
        <f t="shared" si="14"/>
        <v>136.6</v>
      </c>
      <c r="AI95" s="55">
        <f t="shared" si="16"/>
        <v>119.2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/>
      <c r="C96" s="83">
        <v>65.400000000000006</v>
      </c>
      <c r="D96" s="83">
        <v>64.900000000000006</v>
      </c>
      <c r="E96" s="83">
        <v>65.3</v>
      </c>
      <c r="F96" s="83">
        <v>65.3</v>
      </c>
      <c r="G96" s="83">
        <v>65.3</v>
      </c>
      <c r="H96" s="83">
        <v>65.3</v>
      </c>
      <c r="I96" s="83">
        <v>65.8</v>
      </c>
      <c r="J96" s="83">
        <v>64.400000000000006</v>
      </c>
      <c r="K96" s="83">
        <v>64.400000000000006</v>
      </c>
      <c r="L96" s="83">
        <v>64.400000000000006</v>
      </c>
      <c r="M96" s="83">
        <v>64.2</v>
      </c>
      <c r="N96" s="83">
        <v>64.099999999999994</v>
      </c>
      <c r="O96" s="83">
        <v>63</v>
      </c>
      <c r="P96" s="83">
        <v>63.9</v>
      </c>
      <c r="Q96" s="83">
        <v>64.5</v>
      </c>
      <c r="R96" s="83">
        <v>63.6</v>
      </c>
      <c r="S96" s="83">
        <v>64.7</v>
      </c>
      <c r="T96" s="83">
        <v>64.3</v>
      </c>
      <c r="U96" s="83">
        <v>64.2</v>
      </c>
      <c r="V96" s="83">
        <v>64.900000000000006</v>
      </c>
      <c r="W96" s="83">
        <v>65</v>
      </c>
      <c r="X96" s="83">
        <v>65.099999999999994</v>
      </c>
      <c r="Y96" s="83">
        <v>65.099999999999994</v>
      </c>
      <c r="Z96" s="83">
        <v>65</v>
      </c>
      <c r="AA96" s="83">
        <v>64.5</v>
      </c>
      <c r="AB96" s="83">
        <v>65.3</v>
      </c>
      <c r="AC96" s="83">
        <v>65.400000000000006</v>
      </c>
      <c r="AD96" s="83">
        <v>65.400000000000006</v>
      </c>
      <c r="AE96" s="83">
        <v>65.2</v>
      </c>
      <c r="AF96" s="83">
        <v>65.5</v>
      </c>
      <c r="AG96" s="148"/>
      <c r="AH96" s="54">
        <f t="shared" si="14"/>
        <v>65.8</v>
      </c>
      <c r="AI96" s="55">
        <f t="shared" si="16"/>
        <v>63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14"/>
        <v>0</v>
      </c>
      <c r="AI97" s="55">
        <f t="shared" si="16"/>
        <v>0</v>
      </c>
    </row>
    <row r="98" spans="1:37" ht="15.75" thickBot="1" x14ac:dyDescent="0.3">
      <c r="A98" s="85" t="s">
        <v>73</v>
      </c>
      <c r="B98" s="86">
        <f t="shared" ref="B98:AF98" si="23">SUM(B15,B18,B21:B22,B46,B48:B49,B51,B53,B99:B102,B123,B129,B135,B144,B146,B158,B165,B168:B169,B176,B178,B180,B184:B186,B188:B190,B195,B201:B202,B204:B206,B214,B219)</f>
        <v>0</v>
      </c>
      <c r="C98" s="86">
        <f t="shared" si="23"/>
        <v>50.24</v>
      </c>
      <c r="D98" s="86">
        <f t="shared" si="23"/>
        <v>27.840000000000007</v>
      </c>
      <c r="E98" s="86">
        <f t="shared" si="23"/>
        <v>43.34</v>
      </c>
      <c r="F98" s="86">
        <f t="shared" si="23"/>
        <v>24.840000000000007</v>
      </c>
      <c r="G98" s="86">
        <f t="shared" si="23"/>
        <v>141.84</v>
      </c>
      <c r="H98" s="86">
        <f t="shared" si="23"/>
        <v>42.84</v>
      </c>
      <c r="I98" s="86">
        <f t="shared" si="23"/>
        <v>77.84</v>
      </c>
      <c r="J98" s="86">
        <f t="shared" si="23"/>
        <v>128.84</v>
      </c>
      <c r="K98" s="86">
        <f t="shared" si="23"/>
        <v>147.84</v>
      </c>
      <c r="L98" s="86">
        <f t="shared" si="23"/>
        <v>147.84</v>
      </c>
      <c r="M98" s="86">
        <f t="shared" si="23"/>
        <v>185.04000000000002</v>
      </c>
      <c r="N98" s="86">
        <f t="shared" si="23"/>
        <v>154.94000000000003</v>
      </c>
      <c r="O98" s="86">
        <f t="shared" si="23"/>
        <v>155.94000000000003</v>
      </c>
      <c r="P98" s="86">
        <f t="shared" si="23"/>
        <v>104.44000000000001</v>
      </c>
      <c r="Q98" s="86">
        <f t="shared" si="23"/>
        <v>139.90000000000003</v>
      </c>
      <c r="R98" s="86">
        <f t="shared" si="23"/>
        <v>256.20000000000005</v>
      </c>
      <c r="S98" s="86">
        <f t="shared" si="23"/>
        <v>162.5</v>
      </c>
      <c r="T98" s="86">
        <f t="shared" si="23"/>
        <v>151.4</v>
      </c>
      <c r="U98" s="86">
        <f t="shared" si="23"/>
        <v>166.90000000000003</v>
      </c>
      <c r="V98" s="86">
        <f t="shared" si="23"/>
        <v>151.30000000000001</v>
      </c>
      <c r="W98" s="86">
        <f t="shared" si="23"/>
        <v>164.5</v>
      </c>
      <c r="X98" s="86">
        <f t="shared" si="23"/>
        <v>174.5</v>
      </c>
      <c r="Y98" s="86">
        <f t="shared" si="23"/>
        <v>210.4</v>
      </c>
      <c r="Z98" s="86">
        <f t="shared" si="23"/>
        <v>185</v>
      </c>
      <c r="AA98" s="86">
        <f t="shared" si="23"/>
        <v>197.10000000000002</v>
      </c>
      <c r="AB98" s="86">
        <f t="shared" si="23"/>
        <v>159.69999999999999</v>
      </c>
      <c r="AC98" s="86">
        <f t="shared" si="23"/>
        <v>136.30000000000001</v>
      </c>
      <c r="AD98" s="86">
        <f t="shared" si="23"/>
        <v>110.5</v>
      </c>
      <c r="AE98" s="86">
        <f t="shared" si="23"/>
        <v>135.10000000000002</v>
      </c>
      <c r="AF98" s="86">
        <f t="shared" si="23"/>
        <v>101.29999999999998</v>
      </c>
      <c r="AG98" s="150"/>
      <c r="AH98" s="54">
        <f>MAX(C98:AF98)</f>
        <v>256.20000000000005</v>
      </c>
      <c r="AI98" s="55">
        <f>MIN(C98:AF98)</f>
        <v>24.840000000000007</v>
      </c>
    </row>
    <row r="99" spans="1:37" x14ac:dyDescent="0.25">
      <c r="A99" s="170" t="s">
        <v>74</v>
      </c>
      <c r="B99" s="87"/>
      <c r="C99" s="87">
        <v>16</v>
      </c>
      <c r="D99" s="87">
        <v>17</v>
      </c>
      <c r="E99" s="87">
        <v>17.5</v>
      </c>
      <c r="F99" s="87">
        <v>17</v>
      </c>
      <c r="G99" s="87"/>
      <c r="H99" s="87">
        <v>29</v>
      </c>
      <c r="I99" s="87">
        <v>30</v>
      </c>
      <c r="J99" s="87">
        <v>30</v>
      </c>
      <c r="K99" s="87">
        <v>35</v>
      </c>
      <c r="L99" s="87">
        <v>35</v>
      </c>
      <c r="M99" s="87">
        <v>47.2</v>
      </c>
      <c r="N99" s="87">
        <v>39.5</v>
      </c>
      <c r="O99" s="87">
        <v>40.5</v>
      </c>
      <c r="P99" s="87">
        <v>27.9</v>
      </c>
      <c r="Q99" s="87">
        <v>31.3</v>
      </c>
      <c r="R99" s="87">
        <v>39.5</v>
      </c>
      <c r="S99" s="87">
        <v>38.299999999999997</v>
      </c>
      <c r="T99" s="87">
        <v>42.1</v>
      </c>
      <c r="U99" s="87">
        <v>37.700000000000003</v>
      </c>
      <c r="V99" s="87">
        <v>37.6</v>
      </c>
      <c r="W99" s="87">
        <v>39.1</v>
      </c>
      <c r="X99" s="87">
        <v>37.5</v>
      </c>
      <c r="Y99" s="87">
        <v>28</v>
      </c>
      <c r="Z99" s="87">
        <v>39.799999999999997</v>
      </c>
      <c r="AA99" s="87">
        <v>36.200000000000003</v>
      </c>
      <c r="AB99" s="87">
        <v>33.799999999999997</v>
      </c>
      <c r="AC99" s="87">
        <v>32.5</v>
      </c>
      <c r="AD99" s="87">
        <v>37</v>
      </c>
      <c r="AE99" s="87">
        <f>45.4+28.4</f>
        <v>73.8</v>
      </c>
      <c r="AF99" s="87">
        <f>32+18.2</f>
        <v>50.2</v>
      </c>
      <c r="AG99" s="151">
        <v>75</v>
      </c>
      <c r="AH99" s="54">
        <f t="shared" ref="AH99:AH105" si="24">IF(ABS(MAX(C99:AF99))&gt;ABS(MIN(C99:AF99)),MAX(C99:AF99),MIN(C99:AF99))</f>
        <v>73.8</v>
      </c>
      <c r="AI99" s="89">
        <f t="shared" ref="AI99:AI105" si="25">INDEX($C$9:$AF$9,1,MATCH(AH99,C99:AF99,0))</f>
        <v>0.91666666666666696</v>
      </c>
    </row>
    <row r="100" spans="1:37" x14ac:dyDescent="0.25">
      <c r="A100" s="163" t="s">
        <v>75</v>
      </c>
      <c r="B100" s="90"/>
      <c r="C100" s="90">
        <v>-130</v>
      </c>
      <c r="D100" s="90">
        <v>-140</v>
      </c>
      <c r="E100" s="90">
        <v>-127</v>
      </c>
      <c r="F100" s="90">
        <v>-130</v>
      </c>
      <c r="G100" s="90"/>
      <c r="H100" s="90">
        <v>-128</v>
      </c>
      <c r="I100" s="90">
        <v>-98</v>
      </c>
      <c r="J100" s="90">
        <v>-60</v>
      </c>
      <c r="K100" s="90">
        <v>-63</v>
      </c>
      <c r="L100" s="90">
        <v>-63</v>
      </c>
      <c r="M100" s="90">
        <f>-50.3-25.4</f>
        <v>-75.699999999999989</v>
      </c>
      <c r="N100" s="90">
        <f>-35.2-29.8</f>
        <v>-65</v>
      </c>
      <c r="O100" s="90">
        <f>-35.2-29.8</f>
        <v>-65</v>
      </c>
      <c r="P100" s="90">
        <f>-59.8-44.1</f>
        <v>-103.9</v>
      </c>
      <c r="Q100" s="90">
        <f>-59.9-44.6+16.3+6</f>
        <v>-82.2</v>
      </c>
      <c r="R100" s="90">
        <f>-54.8--44.2</f>
        <v>-10.599999999999994</v>
      </c>
      <c r="S100" s="90">
        <f>-50.4-64.3</f>
        <v>-114.69999999999999</v>
      </c>
      <c r="T100" s="90">
        <f>-54.1-58.8</f>
        <v>-112.9</v>
      </c>
      <c r="U100" s="90">
        <f>-49.3-53</f>
        <v>-102.3</v>
      </c>
      <c r="V100" s="90">
        <f>-46.8-49.8</f>
        <v>-96.6</v>
      </c>
      <c r="W100" s="90">
        <f>-47.1-43.4</f>
        <v>-90.5</v>
      </c>
      <c r="X100" s="90">
        <f>-43.7-40.9</f>
        <v>-84.6</v>
      </c>
      <c r="Y100" s="90">
        <f>-36.7-38.3</f>
        <v>-75</v>
      </c>
      <c r="Z100" s="90">
        <v>-78</v>
      </c>
      <c r="AA100" s="90">
        <f>-12.9-45.8</f>
        <v>-58.699999999999996</v>
      </c>
      <c r="AB100" s="90">
        <v>-75</v>
      </c>
      <c r="AC100" s="90">
        <v>-95</v>
      </c>
      <c r="AD100" s="90">
        <v>-105</v>
      </c>
      <c r="AE100" s="90">
        <f>-59.7-56.2</f>
        <v>-115.9</v>
      </c>
      <c r="AF100" s="90">
        <f>-59-53</f>
        <v>-112</v>
      </c>
      <c r="AG100" s="151">
        <v>240</v>
      </c>
      <c r="AH100" s="54">
        <f t="shared" si="24"/>
        <v>-140</v>
      </c>
      <c r="AI100" s="89">
        <f t="shared" si="25"/>
        <v>8.3333333333333301E-2</v>
      </c>
    </row>
    <row r="101" spans="1:37" x14ac:dyDescent="0.25">
      <c r="A101" s="163" t="s">
        <v>76</v>
      </c>
      <c r="B101" s="90"/>
      <c r="C101" s="90">
        <v>-2.6</v>
      </c>
      <c r="D101" s="90">
        <v>-6</v>
      </c>
      <c r="E101" s="90">
        <v>-4</v>
      </c>
      <c r="F101" s="90">
        <v>-4</v>
      </c>
      <c r="G101" s="90"/>
      <c r="H101" s="90">
        <v>0</v>
      </c>
      <c r="I101" s="90">
        <v>4</v>
      </c>
      <c r="J101" s="90">
        <v>7</v>
      </c>
      <c r="K101" s="90">
        <v>9</v>
      </c>
      <c r="L101" s="90">
        <v>9</v>
      </c>
      <c r="M101" s="90">
        <v>46.7</v>
      </c>
      <c r="N101" s="90">
        <v>13.8</v>
      </c>
      <c r="O101" s="90">
        <v>13.8</v>
      </c>
      <c r="P101" s="90">
        <v>13.8</v>
      </c>
      <c r="Q101" s="90">
        <v>25.1</v>
      </c>
      <c r="R101" s="90">
        <v>19</v>
      </c>
      <c r="S101" s="90">
        <v>27.4</v>
      </c>
      <c r="T101" s="90">
        <v>24.4</v>
      </c>
      <c r="U101" s="90">
        <v>14.4</v>
      </c>
      <c r="V101" s="90">
        <v>6.7</v>
      </c>
      <c r="W101" s="90">
        <v>8.4</v>
      </c>
      <c r="X101" s="90">
        <v>11.1</v>
      </c>
      <c r="Y101" s="90">
        <v>24.9</v>
      </c>
      <c r="Z101" s="90">
        <v>51.8</v>
      </c>
      <c r="AA101" s="90">
        <v>56.2</v>
      </c>
      <c r="AB101" s="90">
        <v>49.5</v>
      </c>
      <c r="AC101" s="90">
        <v>47.4</v>
      </c>
      <c r="AD101" s="90">
        <v>33.1</v>
      </c>
      <c r="AE101" s="90">
        <v>26.6</v>
      </c>
      <c r="AF101" s="90">
        <v>12.6</v>
      </c>
      <c r="AG101" s="151">
        <v>60</v>
      </c>
      <c r="AH101" s="54">
        <f t="shared" si="24"/>
        <v>56.2</v>
      </c>
      <c r="AI101" s="89">
        <f t="shared" si="25"/>
        <v>0.8125</v>
      </c>
    </row>
    <row r="102" spans="1:37" x14ac:dyDescent="0.25">
      <c r="A102" s="164" t="s">
        <v>77</v>
      </c>
      <c r="B102" s="91"/>
      <c r="C102" s="91">
        <v>0</v>
      </c>
      <c r="D102" s="91">
        <v>0</v>
      </c>
      <c r="E102" s="91">
        <v>0</v>
      </c>
      <c r="F102" s="91">
        <v>0</v>
      </c>
      <c r="G102" s="91"/>
      <c r="H102" s="91">
        <v>0</v>
      </c>
      <c r="I102" s="91">
        <v>0</v>
      </c>
      <c r="J102" s="91">
        <v>0</v>
      </c>
      <c r="K102" s="91">
        <v>0</v>
      </c>
      <c r="L102" s="91">
        <v>0</v>
      </c>
      <c r="M102" s="91">
        <v>0</v>
      </c>
      <c r="N102" s="91">
        <v>0</v>
      </c>
      <c r="O102" s="91">
        <v>0</v>
      </c>
      <c r="P102" s="91">
        <v>0</v>
      </c>
      <c r="Q102" s="91">
        <v>0</v>
      </c>
      <c r="R102" s="91">
        <v>42.6</v>
      </c>
      <c r="S102" s="91">
        <v>37.799999999999997</v>
      </c>
      <c r="T102" s="91">
        <v>24.1</v>
      </c>
      <c r="U102" s="91">
        <v>46.5</v>
      </c>
      <c r="V102" s="91">
        <v>42.5</v>
      </c>
      <c r="W102" s="91">
        <v>46.4</v>
      </c>
      <c r="X102" s="91">
        <v>49.4</v>
      </c>
      <c r="Y102" s="91">
        <v>61.1</v>
      </c>
      <c r="Z102" s="91">
        <v>0</v>
      </c>
      <c r="AA102" s="91">
        <v>0</v>
      </c>
      <c r="AB102" s="91">
        <v>0</v>
      </c>
      <c r="AC102" s="91">
        <v>0</v>
      </c>
      <c r="AD102" s="91">
        <v>0</v>
      </c>
      <c r="AE102" s="91">
        <v>0</v>
      </c>
      <c r="AF102" s="91">
        <v>0</v>
      </c>
      <c r="AG102" s="152">
        <v>120</v>
      </c>
      <c r="AH102" s="54">
        <f t="shared" si="24"/>
        <v>61.1</v>
      </c>
      <c r="AI102" s="89">
        <f t="shared" si="25"/>
        <v>0.77083333333333337</v>
      </c>
    </row>
    <row r="103" spans="1:37" x14ac:dyDescent="0.25">
      <c r="A103" s="164" t="s">
        <v>78</v>
      </c>
      <c r="B103" s="91"/>
      <c r="C103" s="91">
        <v>36</v>
      </c>
      <c r="D103" s="91">
        <v>41</v>
      </c>
      <c r="E103" s="91">
        <v>37</v>
      </c>
      <c r="F103" s="91">
        <v>35</v>
      </c>
      <c r="G103" s="91"/>
      <c r="H103" s="91">
        <v>29</v>
      </c>
      <c r="I103" s="91">
        <v>27</v>
      </c>
      <c r="J103" s="91">
        <v>70</v>
      </c>
      <c r="K103" s="91">
        <v>63</v>
      </c>
      <c r="L103" s="91">
        <v>63</v>
      </c>
      <c r="M103" s="91">
        <v>53.6</v>
      </c>
      <c r="N103" s="91">
        <v>61.2</v>
      </c>
      <c r="O103" s="91">
        <v>61.2</v>
      </c>
      <c r="P103" s="91">
        <v>61.2</v>
      </c>
      <c r="Q103" s="91">
        <v>46.3</v>
      </c>
      <c r="R103" s="91">
        <v>39</v>
      </c>
      <c r="S103" s="91">
        <v>34</v>
      </c>
      <c r="T103" s="91">
        <v>31.5</v>
      </c>
      <c r="U103" s="91">
        <v>47</v>
      </c>
      <c r="V103" s="91">
        <v>38.1</v>
      </c>
      <c r="W103" s="91">
        <v>40</v>
      </c>
      <c r="X103" s="91">
        <v>41.1</v>
      </c>
      <c r="Y103" s="91">
        <v>50</v>
      </c>
      <c r="Z103" s="91">
        <v>31</v>
      </c>
      <c r="AA103" s="91">
        <v>62.3</v>
      </c>
      <c r="AB103" s="91">
        <v>61.9</v>
      </c>
      <c r="AC103" s="91">
        <v>50.6</v>
      </c>
      <c r="AD103" s="91">
        <v>42.7</v>
      </c>
      <c r="AE103" s="91">
        <v>33.299999999999997</v>
      </c>
      <c r="AF103" s="91">
        <v>58.3</v>
      </c>
      <c r="AG103" s="152"/>
      <c r="AH103" s="54">
        <f t="shared" si="24"/>
        <v>70</v>
      </c>
      <c r="AI103" s="89">
        <f t="shared" si="25"/>
        <v>0.27083333333333331</v>
      </c>
    </row>
    <row r="104" spans="1:37" x14ac:dyDescent="0.25">
      <c r="A104" s="164" t="s">
        <v>105</v>
      </c>
      <c r="B104" s="91"/>
      <c r="C104" s="91">
        <v>89</v>
      </c>
      <c r="D104" s="91">
        <v>67</v>
      </c>
      <c r="E104" s="91">
        <v>59</v>
      </c>
      <c r="F104" s="91">
        <v>46</v>
      </c>
      <c r="G104" s="91"/>
      <c r="H104" s="91">
        <v>3</v>
      </c>
      <c r="I104" s="91">
        <v>11</v>
      </c>
      <c r="J104" s="91">
        <v>20</v>
      </c>
      <c r="K104" s="91">
        <v>9.1</v>
      </c>
      <c r="L104" s="91">
        <v>9.1</v>
      </c>
      <c r="M104" s="91">
        <v>12</v>
      </c>
      <c r="N104" s="91">
        <v>-1.2</v>
      </c>
      <c r="O104" s="91">
        <v>-1.2</v>
      </c>
      <c r="P104" s="91">
        <v>-1.2</v>
      </c>
      <c r="Q104" s="91">
        <v>-3.9</v>
      </c>
      <c r="R104" s="91">
        <v>-22.4</v>
      </c>
      <c r="S104" s="91">
        <v>-20.7</v>
      </c>
      <c r="T104" s="91">
        <v>-36</v>
      </c>
      <c r="U104" s="91">
        <v>-20</v>
      </c>
      <c r="V104" s="91">
        <v>-24</v>
      </c>
      <c r="W104" s="91">
        <v>-16.600000000000001</v>
      </c>
      <c r="X104" s="91">
        <v>-14.5</v>
      </c>
      <c r="Y104" s="91">
        <v>26.1</v>
      </c>
      <c r="Z104" s="91">
        <v>-5.9</v>
      </c>
      <c r="AA104" s="91">
        <v>8.6</v>
      </c>
      <c r="AB104" s="91">
        <v>10</v>
      </c>
      <c r="AC104" s="91">
        <v>9.6</v>
      </c>
      <c r="AD104" s="91">
        <v>-5.9</v>
      </c>
      <c r="AE104" s="91">
        <v>15.7</v>
      </c>
      <c r="AF104" s="91">
        <v>58.4</v>
      </c>
      <c r="AG104" s="153"/>
      <c r="AH104" s="54">
        <f t="shared" si="24"/>
        <v>89</v>
      </c>
      <c r="AI104" s="89">
        <f t="shared" si="25"/>
        <v>4.1666666666666664E-2</v>
      </c>
    </row>
    <row r="105" spans="1:37" ht="15.75" thickBot="1" x14ac:dyDescent="0.3">
      <c r="A105" s="171" t="s">
        <v>106</v>
      </c>
      <c r="B105" s="82"/>
      <c r="C105" s="82"/>
      <c r="D105" s="82">
        <v>81</v>
      </c>
      <c r="E105" s="82">
        <v>78</v>
      </c>
      <c r="F105" s="82">
        <v>81</v>
      </c>
      <c r="G105" s="82"/>
      <c r="H105" s="82">
        <v>86</v>
      </c>
      <c r="I105" s="82">
        <v>99.8</v>
      </c>
      <c r="J105" s="82">
        <v>100</v>
      </c>
      <c r="K105" s="82">
        <v>98.5</v>
      </c>
      <c r="L105" s="82">
        <v>98.5</v>
      </c>
      <c r="M105" s="82">
        <v>65.099999999999994</v>
      </c>
      <c r="N105" s="82">
        <v>61.4</v>
      </c>
      <c r="O105" s="82">
        <v>61.4</v>
      </c>
      <c r="P105" s="82">
        <v>61.4</v>
      </c>
      <c r="Q105" s="82">
        <v>96.1</v>
      </c>
      <c r="R105" s="82">
        <v>95</v>
      </c>
      <c r="S105" s="82">
        <v>70</v>
      </c>
      <c r="T105" s="82">
        <v>85</v>
      </c>
      <c r="U105" s="82">
        <v>96.8</v>
      </c>
      <c r="V105" s="82">
        <v>38.299999999999997</v>
      </c>
      <c r="W105" s="82">
        <v>64.8</v>
      </c>
      <c r="X105" s="82">
        <v>69.3</v>
      </c>
      <c r="Y105" s="82">
        <v>66.3</v>
      </c>
      <c r="Z105" s="82">
        <v>62.7</v>
      </c>
      <c r="AA105" s="82">
        <v>60.6</v>
      </c>
      <c r="AB105" s="82">
        <v>60.3</v>
      </c>
      <c r="AC105" s="82">
        <v>69.7</v>
      </c>
      <c r="AD105" s="82">
        <v>96</v>
      </c>
      <c r="AE105" s="82">
        <v>97.8</v>
      </c>
      <c r="AF105" s="82">
        <v>99.9</v>
      </c>
      <c r="AG105" s="153"/>
      <c r="AH105" s="54">
        <f t="shared" si="24"/>
        <v>100</v>
      </c>
      <c r="AI105" s="89">
        <f t="shared" si="25"/>
        <v>0.27083333333333331</v>
      </c>
    </row>
    <row r="106" spans="1:37" ht="15.75" thickBot="1" x14ac:dyDescent="0.3">
      <c r="A106" s="92" t="s">
        <v>79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154"/>
      <c r="AH106" s="94"/>
      <c r="AI106" s="55"/>
      <c r="AK106" s="56"/>
    </row>
    <row r="107" spans="1:37" x14ac:dyDescent="0.25">
      <c r="A107" s="162" t="s">
        <v>133</v>
      </c>
      <c r="B107" s="95"/>
      <c r="C107" s="53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6">
        <v>9.94</v>
      </c>
      <c r="AH107" s="54"/>
      <c r="AI107" s="55"/>
      <c r="AK107" s="56"/>
    </row>
    <row r="108" spans="1:37" x14ac:dyDescent="0.25">
      <c r="A108" s="163" t="s">
        <v>134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/>
      <c r="AH108" s="54"/>
      <c r="AI108" s="55"/>
      <c r="AK108" s="56"/>
    </row>
    <row r="109" spans="1:37" x14ac:dyDescent="0.25">
      <c r="A109" s="163" t="s">
        <v>135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136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137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138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139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140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141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142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143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144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145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146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147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148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149</v>
      </c>
      <c r="B123" s="97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9">
        <v>9.9</v>
      </c>
      <c r="AH123" s="54"/>
      <c r="AI123" s="55"/>
      <c r="AK123" s="56"/>
    </row>
    <row r="124" spans="1:37" x14ac:dyDescent="0.25">
      <c r="A124" s="164" t="s">
        <v>80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100">
        <v>9.6579999999999995</v>
      </c>
      <c r="AH124" s="54"/>
      <c r="AI124" s="55"/>
      <c r="AK124" s="56"/>
    </row>
    <row r="125" spans="1:37" x14ac:dyDescent="0.25">
      <c r="A125" s="164" t="s">
        <v>150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</v>
      </c>
      <c r="AH125" s="54"/>
      <c r="AI125" s="55"/>
      <c r="AK125" s="56"/>
    </row>
    <row r="126" spans="1:37" x14ac:dyDescent="0.25">
      <c r="A126" s="164" t="s">
        <v>151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9.51</v>
      </c>
      <c r="AH126" s="54"/>
      <c r="AI126" s="55"/>
      <c r="AK126" s="56"/>
    </row>
    <row r="127" spans="1:37" x14ac:dyDescent="0.25">
      <c r="A127" s="164" t="s">
        <v>152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9.4</v>
      </c>
      <c r="AH127" s="54"/>
      <c r="AI127" s="55"/>
      <c r="AK127" s="56"/>
    </row>
    <row r="128" spans="1:37" x14ac:dyDescent="0.25">
      <c r="A128" s="164" t="s">
        <v>153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8.8000000000000007</v>
      </c>
      <c r="AH128" s="54"/>
      <c r="AI128" s="55"/>
      <c r="AK128" s="56"/>
    </row>
    <row r="129" spans="1:37" x14ac:dyDescent="0.25">
      <c r="A129" s="164" t="s">
        <v>154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8.5</v>
      </c>
      <c r="AH129" s="54"/>
      <c r="AI129" s="55"/>
      <c r="AK129" s="56"/>
    </row>
    <row r="130" spans="1:37" x14ac:dyDescent="0.25">
      <c r="A130" s="164" t="s">
        <v>155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156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8.4</v>
      </c>
      <c r="AH131" s="54"/>
      <c r="AI131" s="55"/>
      <c r="AK131" s="56"/>
    </row>
    <row r="132" spans="1:37" ht="13.5" customHeight="1" x14ac:dyDescent="0.25">
      <c r="A132" s="164" t="s">
        <v>157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</v>
      </c>
      <c r="AH132" s="54"/>
      <c r="AI132" s="55"/>
      <c r="AK132" s="56"/>
    </row>
    <row r="133" spans="1:37" x14ac:dyDescent="0.25">
      <c r="A133" s="164" t="s">
        <v>158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159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160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7.8</v>
      </c>
      <c r="AH135" s="54"/>
      <c r="AI135" s="55"/>
      <c r="AK135" s="56"/>
    </row>
    <row r="136" spans="1:37" x14ac:dyDescent="0.25">
      <c r="A136" s="164" t="s">
        <v>161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7.6</v>
      </c>
      <c r="AH136" s="54"/>
      <c r="AI136" s="55"/>
      <c r="AK136" s="56"/>
    </row>
    <row r="137" spans="1:37" x14ac:dyDescent="0.25">
      <c r="A137" s="164" t="s">
        <v>162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7.5</v>
      </c>
      <c r="AH137" s="54"/>
      <c r="AI137" s="55"/>
      <c r="AK137" s="56"/>
    </row>
    <row r="138" spans="1:37" x14ac:dyDescent="0.25">
      <c r="A138" s="164" t="s">
        <v>163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164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</v>
      </c>
      <c r="AH139" s="54"/>
      <c r="AI139" s="55"/>
      <c r="AK139" s="56"/>
    </row>
    <row r="140" spans="1:37" x14ac:dyDescent="0.25">
      <c r="A140" s="164" t="s">
        <v>165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166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167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168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6.6</v>
      </c>
      <c r="AH143" s="54"/>
      <c r="AI143" s="55"/>
      <c r="AK143" s="56"/>
    </row>
    <row r="144" spans="1:37" x14ac:dyDescent="0.25">
      <c r="A144" s="164" t="s">
        <v>169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170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6.4</v>
      </c>
      <c r="AH145" s="54"/>
      <c r="AI145" s="55"/>
      <c r="AK145" s="56"/>
    </row>
    <row r="146" spans="1:37" x14ac:dyDescent="0.25">
      <c r="A146" s="164" t="s">
        <v>171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</v>
      </c>
      <c r="AH146" s="54"/>
      <c r="AI146" s="55"/>
      <c r="AK146" s="56"/>
    </row>
    <row r="147" spans="1:37" x14ac:dyDescent="0.25">
      <c r="A147" s="164" t="s">
        <v>172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5.0999999999999996</v>
      </c>
      <c r="AH147" s="54"/>
      <c r="AI147" s="55"/>
      <c r="AK147" s="56"/>
    </row>
    <row r="148" spans="1:37" x14ac:dyDescent="0.25">
      <c r="A148" s="164" t="s">
        <v>173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</v>
      </c>
      <c r="AH148" s="54"/>
      <c r="AI148" s="55"/>
      <c r="AK148" s="56"/>
    </row>
    <row r="149" spans="1:37" x14ac:dyDescent="0.25">
      <c r="A149" s="163" t="s">
        <v>174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9">
        <v>5</v>
      </c>
      <c r="AH149" s="54"/>
      <c r="AI149" s="55"/>
      <c r="AK149" s="56"/>
    </row>
    <row r="150" spans="1:37" x14ac:dyDescent="0.25">
      <c r="A150" s="164" t="s">
        <v>175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100">
        <v>5</v>
      </c>
      <c r="AH150" s="54"/>
      <c r="AI150" s="55"/>
      <c r="AK150" s="56"/>
    </row>
    <row r="151" spans="1:37" x14ac:dyDescent="0.25">
      <c r="A151" s="164" t="s">
        <v>176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177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178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179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180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4.9930000000000003</v>
      </c>
      <c r="AH155" s="54"/>
      <c r="AI155" s="55"/>
      <c r="AK155" s="56"/>
    </row>
    <row r="156" spans="1:37" x14ac:dyDescent="0.25">
      <c r="A156" s="164" t="s">
        <v>181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4.9800000000000004</v>
      </c>
      <c r="AH156" s="54"/>
      <c r="AI156" s="55"/>
      <c r="AK156" s="56"/>
    </row>
    <row r="157" spans="1:37" x14ac:dyDescent="0.25">
      <c r="A157" s="164" t="s">
        <v>182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4.95</v>
      </c>
      <c r="AH157" s="54"/>
      <c r="AI157" s="55"/>
      <c r="AK157" s="56"/>
    </row>
    <row r="158" spans="1:37" x14ac:dyDescent="0.25">
      <c r="A158" s="164" t="s">
        <v>81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183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4.8</v>
      </c>
      <c r="AH159" s="54"/>
      <c r="AI159" s="55"/>
      <c r="AK159" s="56"/>
    </row>
    <row r="160" spans="1:37" x14ac:dyDescent="0.25">
      <c r="A160" s="164" t="s">
        <v>184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185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186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4.5</v>
      </c>
      <c r="AH162" s="54"/>
      <c r="AI162" s="55"/>
      <c r="AK162" s="56"/>
    </row>
    <row r="163" spans="1:37" x14ac:dyDescent="0.25">
      <c r="A163" s="164" t="s">
        <v>187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188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4.4550000000000001</v>
      </c>
      <c r="AH164" s="54"/>
      <c r="AI164" s="55"/>
      <c r="AK164" s="56"/>
    </row>
    <row r="165" spans="1:37" x14ac:dyDescent="0.25">
      <c r="A165" s="164" t="s">
        <v>189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4.41</v>
      </c>
      <c r="AH165" s="54"/>
      <c r="AI165" s="55"/>
      <c r="AK165" s="56"/>
    </row>
    <row r="166" spans="1:37" x14ac:dyDescent="0.25">
      <c r="A166" s="164" t="s">
        <v>190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4.4000000000000004</v>
      </c>
      <c r="AH166" s="54"/>
      <c r="AI166" s="55"/>
      <c r="AK166" s="56"/>
    </row>
    <row r="167" spans="1:37" x14ac:dyDescent="0.25">
      <c r="A167" s="164" t="s">
        <v>191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4.3600000000000003</v>
      </c>
      <c r="AH167" s="54"/>
      <c r="AI167" s="55"/>
      <c r="AK167" s="56"/>
    </row>
    <row r="168" spans="1:37" x14ac:dyDescent="0.25">
      <c r="A168" s="164" t="s">
        <v>192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4.2</v>
      </c>
      <c r="AH168" s="54"/>
      <c r="AI168" s="55"/>
      <c r="AK168" s="56"/>
    </row>
    <row r="169" spans="1:37" x14ac:dyDescent="0.25">
      <c r="A169" s="164" t="s">
        <v>193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</v>
      </c>
      <c r="AH169" s="54"/>
      <c r="AI169" s="55"/>
      <c r="AK169" s="56"/>
    </row>
    <row r="170" spans="1:37" x14ac:dyDescent="0.25">
      <c r="A170" s="164" t="s">
        <v>194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195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196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197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198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199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200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201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3.75</v>
      </c>
      <c r="AH177" s="54"/>
      <c r="AI177" s="55"/>
      <c r="AK177" s="56"/>
    </row>
    <row r="178" spans="1:37" x14ac:dyDescent="0.25">
      <c r="A178" s="164" t="s">
        <v>202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3.52</v>
      </c>
      <c r="AH178" s="54"/>
      <c r="AI178" s="55"/>
      <c r="AK178" s="56"/>
    </row>
    <row r="179" spans="1:37" x14ac:dyDescent="0.25">
      <c r="A179" s="164" t="s">
        <v>203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3.33</v>
      </c>
      <c r="AH179" s="54"/>
      <c r="AI179" s="55"/>
      <c r="AK179" s="56"/>
    </row>
    <row r="180" spans="1:37" x14ac:dyDescent="0.25">
      <c r="A180" s="164" t="s">
        <v>204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3.2</v>
      </c>
      <c r="AH180" s="54"/>
      <c r="AI180" s="55"/>
      <c r="AK180" s="56"/>
    </row>
    <row r="181" spans="1:37" x14ac:dyDescent="0.25">
      <c r="A181" s="164" t="s">
        <v>205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</v>
      </c>
      <c r="AH181" s="54"/>
      <c r="AI181" s="55"/>
      <c r="AK181" s="56"/>
    </row>
    <row r="182" spans="1:37" x14ac:dyDescent="0.25">
      <c r="A182" s="164" t="s">
        <v>206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207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208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209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210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211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212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213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2.83</v>
      </c>
      <c r="AH189" s="54"/>
      <c r="AI189" s="55"/>
      <c r="AK189" s="56"/>
    </row>
    <row r="190" spans="1:37" x14ac:dyDescent="0.25">
      <c r="A190" s="164" t="s">
        <v>214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2.5</v>
      </c>
      <c r="AH190" s="54"/>
      <c r="AI190" s="55"/>
      <c r="AK190" s="56"/>
    </row>
    <row r="191" spans="1:37" x14ac:dyDescent="0.25">
      <c r="A191" s="164" t="s">
        <v>215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216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2.4</v>
      </c>
      <c r="AH192" s="54"/>
      <c r="AI192" s="55"/>
      <c r="AK192" s="56"/>
    </row>
    <row r="193" spans="1:37" x14ac:dyDescent="0.25">
      <c r="A193" s="164" t="s">
        <v>217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218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2.2000000000000002</v>
      </c>
      <c r="AH194" s="54"/>
      <c r="AI194" s="55"/>
      <c r="AK194" s="56"/>
    </row>
    <row r="195" spans="1:37" x14ac:dyDescent="0.25">
      <c r="A195" s="164" t="s">
        <v>219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</v>
      </c>
      <c r="AH195" s="54"/>
      <c r="AI195" s="55"/>
      <c r="AK195" s="56"/>
    </row>
    <row r="196" spans="1:37" x14ac:dyDescent="0.25">
      <c r="A196" s="164" t="s">
        <v>220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221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222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1.8</v>
      </c>
      <c r="AH198" s="54"/>
      <c r="AI198" s="55"/>
      <c r="AK198" s="56"/>
    </row>
    <row r="199" spans="1:37" x14ac:dyDescent="0.25">
      <c r="A199" s="164" t="s">
        <v>223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224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1.65</v>
      </c>
      <c r="AH200" s="54"/>
      <c r="AI200" s="55"/>
      <c r="AK200" s="56"/>
    </row>
    <row r="201" spans="1:37" x14ac:dyDescent="0.25">
      <c r="A201" s="164" t="s">
        <v>225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1.5</v>
      </c>
      <c r="AH201" s="54"/>
      <c r="AI201" s="55"/>
      <c r="AK201" s="56"/>
    </row>
    <row r="202" spans="1:37" x14ac:dyDescent="0.25">
      <c r="A202" s="164" t="s">
        <v>226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0.998</v>
      </c>
      <c r="AH202" s="54"/>
      <c r="AI202" s="55"/>
      <c r="AK202" s="56"/>
    </row>
    <row r="203" spans="1:37" x14ac:dyDescent="0.25">
      <c r="A203" s="164" t="s">
        <v>227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0.997</v>
      </c>
      <c r="AH203" s="54"/>
      <c r="AI203" s="55"/>
      <c r="AK203" s="56"/>
    </row>
    <row r="204" spans="1:37" x14ac:dyDescent="0.25">
      <c r="A204" s="164" t="s">
        <v>228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229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0.996</v>
      </c>
      <c r="AH205" s="54"/>
      <c r="AI205" s="55"/>
      <c r="AK205" s="56"/>
    </row>
    <row r="206" spans="1:37" x14ac:dyDescent="0.25">
      <c r="A206" s="164" t="s">
        <v>230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231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232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0.995</v>
      </c>
      <c r="AH208" s="54"/>
      <c r="AI208" s="55"/>
      <c r="AK208" s="56"/>
    </row>
    <row r="209" spans="1:37" x14ac:dyDescent="0.25">
      <c r="A209" s="164" t="s">
        <v>233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0.99299999999999999</v>
      </c>
      <c r="AH209" s="54"/>
      <c r="AI209" s="55"/>
      <c r="AK209" s="56"/>
    </row>
    <row r="210" spans="1:37" x14ac:dyDescent="0.25">
      <c r="A210" s="164" t="s">
        <v>234</v>
      </c>
      <c r="B210" s="97"/>
      <c r="C210" s="53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</v>
      </c>
      <c r="AH210" s="54"/>
      <c r="AI210" s="55"/>
      <c r="AK210" s="56"/>
    </row>
    <row r="211" spans="1:37" ht="15.75" thickBot="1" x14ac:dyDescent="0.3">
      <c r="A211" s="164" t="s">
        <v>235</v>
      </c>
      <c r="B211" s="102"/>
      <c r="C211" s="166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0">
        <v>0.97899999999999998</v>
      </c>
      <c r="AH211" s="54"/>
      <c r="AI211" s="55"/>
      <c r="AK211" s="56"/>
    </row>
    <row r="212" spans="1:37" ht="15.75" thickBot="1" x14ac:dyDescent="0.3">
      <c r="A212" s="165" t="s">
        <v>82</v>
      </c>
      <c r="B212" s="167">
        <f>SUM(B107:B211)</f>
        <v>0</v>
      </c>
      <c r="C212" s="103">
        <f t="shared" ref="C212:AG212" si="26">SUM(C107:C211)</f>
        <v>0</v>
      </c>
      <c r="D212" s="103">
        <f t="shared" si="26"/>
        <v>0</v>
      </c>
      <c r="E212" s="103">
        <f t="shared" si="26"/>
        <v>0</v>
      </c>
      <c r="F212" s="103">
        <f t="shared" si="26"/>
        <v>0</v>
      </c>
      <c r="G212" s="103">
        <f t="shared" si="26"/>
        <v>0</v>
      </c>
      <c r="H212" s="103">
        <f t="shared" si="26"/>
        <v>0</v>
      </c>
      <c r="I212" s="103">
        <f t="shared" si="26"/>
        <v>0</v>
      </c>
      <c r="J212" s="103">
        <f t="shared" si="26"/>
        <v>0</v>
      </c>
      <c r="K212" s="103">
        <f t="shared" si="26"/>
        <v>0</v>
      </c>
      <c r="L212" s="103">
        <f t="shared" si="26"/>
        <v>0</v>
      </c>
      <c r="M212" s="103">
        <f t="shared" si="26"/>
        <v>0</v>
      </c>
      <c r="N212" s="103">
        <f t="shared" si="26"/>
        <v>0</v>
      </c>
      <c r="O212" s="103">
        <f t="shared" si="26"/>
        <v>0</v>
      </c>
      <c r="P212" s="103">
        <f t="shared" si="26"/>
        <v>0</v>
      </c>
      <c r="Q212" s="103">
        <f t="shared" si="26"/>
        <v>0</v>
      </c>
      <c r="R212" s="103">
        <f t="shared" si="26"/>
        <v>0</v>
      </c>
      <c r="S212" s="103">
        <f t="shared" si="26"/>
        <v>0</v>
      </c>
      <c r="T212" s="103">
        <f t="shared" si="26"/>
        <v>0</v>
      </c>
      <c r="U212" s="103">
        <f t="shared" si="26"/>
        <v>0</v>
      </c>
      <c r="V212" s="103">
        <f t="shared" si="26"/>
        <v>0</v>
      </c>
      <c r="W212" s="103">
        <f t="shared" si="26"/>
        <v>0</v>
      </c>
      <c r="X212" s="103">
        <f t="shared" si="26"/>
        <v>0</v>
      </c>
      <c r="Y212" s="103">
        <f t="shared" si="26"/>
        <v>0</v>
      </c>
      <c r="Z212" s="103">
        <f t="shared" si="26"/>
        <v>0</v>
      </c>
      <c r="AA212" s="103">
        <f t="shared" si="26"/>
        <v>0</v>
      </c>
      <c r="AB212" s="103">
        <f t="shared" si="26"/>
        <v>0</v>
      </c>
      <c r="AC212" s="103">
        <f t="shared" si="26"/>
        <v>0</v>
      </c>
      <c r="AD212" s="103">
        <f t="shared" si="26"/>
        <v>0</v>
      </c>
      <c r="AE212" s="103">
        <f t="shared" si="26"/>
        <v>0</v>
      </c>
      <c r="AF212" s="168">
        <f t="shared" si="26"/>
        <v>0</v>
      </c>
      <c r="AG212" s="169">
        <f t="shared" si="26"/>
        <v>412.72299999999984</v>
      </c>
      <c r="AH212" s="54"/>
      <c r="AI212" s="55"/>
      <c r="AK212" s="56"/>
    </row>
    <row r="213" spans="1:37" ht="15.75" thickBot="1" x14ac:dyDescent="0.3">
      <c r="A213" s="28" t="s">
        <v>35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149"/>
      <c r="AH213" s="54"/>
      <c r="AI213" s="55"/>
      <c r="AK213" s="56"/>
    </row>
    <row r="214" spans="1:37" x14ac:dyDescent="0.25">
      <c r="A214" s="170" t="s">
        <v>83</v>
      </c>
      <c r="B214" s="101">
        <f t="shared" ref="B214:B219" si="27">AF214</f>
        <v>0</v>
      </c>
      <c r="C214" s="101">
        <v>0.3</v>
      </c>
      <c r="D214" s="101">
        <f t="shared" ref="D214:P219" si="28">C214</f>
        <v>0.3</v>
      </c>
      <c r="E214" s="101">
        <f t="shared" si="28"/>
        <v>0.3</v>
      </c>
      <c r="F214" s="101">
        <f t="shared" si="28"/>
        <v>0.3</v>
      </c>
      <c r="G214" s="101">
        <f t="shared" si="28"/>
        <v>0.3</v>
      </c>
      <c r="H214" s="101">
        <f t="shared" si="28"/>
        <v>0.3</v>
      </c>
      <c r="I214" s="101">
        <f t="shared" si="28"/>
        <v>0.3</v>
      </c>
      <c r="J214" s="101">
        <f t="shared" si="28"/>
        <v>0.3</v>
      </c>
      <c r="K214" s="101">
        <f t="shared" si="28"/>
        <v>0.3</v>
      </c>
      <c r="L214" s="101">
        <f t="shared" si="28"/>
        <v>0.3</v>
      </c>
      <c r="M214" s="101">
        <f t="shared" si="28"/>
        <v>0.3</v>
      </c>
      <c r="N214" s="101">
        <f t="shared" si="28"/>
        <v>0.3</v>
      </c>
      <c r="O214" s="101">
        <f t="shared" si="28"/>
        <v>0.3</v>
      </c>
      <c r="P214" s="101">
        <f t="shared" si="28"/>
        <v>0.3</v>
      </c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55">
        <v>2.4</v>
      </c>
      <c r="AH214" s="54"/>
      <c r="AI214" s="55"/>
      <c r="AK214" s="56"/>
    </row>
    <row r="215" spans="1:37" x14ac:dyDescent="0.25">
      <c r="A215" s="163" t="s">
        <v>84</v>
      </c>
      <c r="B215" s="97">
        <f t="shared" si="27"/>
        <v>0</v>
      </c>
      <c r="C215" s="97">
        <v>0.4</v>
      </c>
      <c r="D215" s="97">
        <f t="shared" si="28"/>
        <v>0.4</v>
      </c>
      <c r="E215" s="97">
        <f t="shared" si="28"/>
        <v>0.4</v>
      </c>
      <c r="F215" s="97">
        <f t="shared" si="28"/>
        <v>0.4</v>
      </c>
      <c r="G215" s="97">
        <f t="shared" si="28"/>
        <v>0.4</v>
      </c>
      <c r="H215" s="97">
        <f t="shared" si="28"/>
        <v>0.4</v>
      </c>
      <c r="I215" s="97">
        <f t="shared" si="28"/>
        <v>0.4</v>
      </c>
      <c r="J215" s="97">
        <f t="shared" si="28"/>
        <v>0.4</v>
      </c>
      <c r="K215" s="97">
        <f t="shared" si="28"/>
        <v>0.4</v>
      </c>
      <c r="L215" s="97">
        <f t="shared" si="28"/>
        <v>0.4</v>
      </c>
      <c r="M215" s="97">
        <f t="shared" si="28"/>
        <v>0.4</v>
      </c>
      <c r="N215" s="97">
        <f t="shared" si="28"/>
        <v>0.4</v>
      </c>
      <c r="O215" s="97">
        <f t="shared" si="28"/>
        <v>0.4</v>
      </c>
      <c r="P215" s="97">
        <f t="shared" si="28"/>
        <v>0.4</v>
      </c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56">
        <v>2</v>
      </c>
      <c r="AH215" s="54"/>
      <c r="AI215" s="55"/>
      <c r="AK215" s="56"/>
    </row>
    <row r="216" spans="1:37" x14ac:dyDescent="0.25">
      <c r="A216" s="163" t="s">
        <v>85</v>
      </c>
      <c r="B216" s="97">
        <f t="shared" si="27"/>
        <v>0</v>
      </c>
      <c r="C216" s="97">
        <v>1.5</v>
      </c>
      <c r="D216" s="97">
        <f t="shared" si="28"/>
        <v>1.5</v>
      </c>
      <c r="E216" s="97">
        <f t="shared" si="28"/>
        <v>1.5</v>
      </c>
      <c r="F216" s="97">
        <f t="shared" si="28"/>
        <v>1.5</v>
      </c>
      <c r="G216" s="97">
        <f t="shared" si="28"/>
        <v>1.5</v>
      </c>
      <c r="H216" s="97">
        <f t="shared" si="28"/>
        <v>1.5</v>
      </c>
      <c r="I216" s="97">
        <f t="shared" si="28"/>
        <v>1.5</v>
      </c>
      <c r="J216" s="97">
        <f t="shared" si="28"/>
        <v>1.5</v>
      </c>
      <c r="K216" s="97">
        <f t="shared" si="28"/>
        <v>1.5</v>
      </c>
      <c r="L216" s="97">
        <f t="shared" si="28"/>
        <v>1.5</v>
      </c>
      <c r="M216" s="97">
        <f t="shared" si="28"/>
        <v>1.5</v>
      </c>
      <c r="N216" s="97">
        <f t="shared" si="28"/>
        <v>1.5</v>
      </c>
      <c r="O216" s="97">
        <f t="shared" si="28"/>
        <v>1.5</v>
      </c>
      <c r="P216" s="97">
        <f t="shared" si="28"/>
        <v>1.5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1.5</v>
      </c>
      <c r="AH216" s="54"/>
      <c r="AI216" s="55"/>
      <c r="AK216" s="56"/>
    </row>
    <row r="217" spans="1:37" x14ac:dyDescent="0.25">
      <c r="A217" s="163" t="s">
        <v>86</v>
      </c>
      <c r="B217" s="97">
        <f t="shared" si="27"/>
        <v>0</v>
      </c>
      <c r="C217" s="97">
        <v>0.3</v>
      </c>
      <c r="D217" s="97">
        <f t="shared" si="28"/>
        <v>0.3</v>
      </c>
      <c r="E217" s="97">
        <f t="shared" si="28"/>
        <v>0.3</v>
      </c>
      <c r="F217" s="97">
        <f t="shared" si="28"/>
        <v>0.3</v>
      </c>
      <c r="G217" s="97">
        <f t="shared" si="28"/>
        <v>0.3</v>
      </c>
      <c r="H217" s="97">
        <f t="shared" si="28"/>
        <v>0.3</v>
      </c>
      <c r="I217" s="97">
        <f t="shared" si="28"/>
        <v>0.3</v>
      </c>
      <c r="J217" s="97">
        <f t="shared" si="28"/>
        <v>0.3</v>
      </c>
      <c r="K217" s="97">
        <f t="shared" si="28"/>
        <v>0.3</v>
      </c>
      <c r="L217" s="97">
        <f t="shared" si="28"/>
        <v>0.3</v>
      </c>
      <c r="M217" s="97">
        <f t="shared" si="28"/>
        <v>0.3</v>
      </c>
      <c r="N217" s="97">
        <f t="shared" si="28"/>
        <v>0.3</v>
      </c>
      <c r="O217" s="97">
        <f t="shared" si="28"/>
        <v>0.3</v>
      </c>
      <c r="P217" s="97">
        <f t="shared" si="28"/>
        <v>0.3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</v>
      </c>
      <c r="AH217" s="54"/>
      <c r="AI217" s="55"/>
      <c r="AK217" s="56"/>
    </row>
    <row r="218" spans="1:37" x14ac:dyDescent="0.25">
      <c r="A218" s="163" t="s">
        <v>87</v>
      </c>
      <c r="B218" s="97">
        <f t="shared" si="27"/>
        <v>0</v>
      </c>
      <c r="C218" s="97">
        <v>0.4</v>
      </c>
      <c r="D218" s="97">
        <f t="shared" si="28"/>
        <v>0.4</v>
      </c>
      <c r="E218" s="97">
        <f t="shared" si="28"/>
        <v>0.4</v>
      </c>
      <c r="F218" s="97">
        <f t="shared" si="28"/>
        <v>0.4</v>
      </c>
      <c r="G218" s="97">
        <f t="shared" si="28"/>
        <v>0.4</v>
      </c>
      <c r="H218" s="97">
        <f t="shared" si="28"/>
        <v>0.4</v>
      </c>
      <c r="I218" s="97">
        <f t="shared" si="28"/>
        <v>0.4</v>
      </c>
      <c r="J218" s="97">
        <f t="shared" si="28"/>
        <v>0.4</v>
      </c>
      <c r="K218" s="97">
        <f t="shared" si="28"/>
        <v>0.4</v>
      </c>
      <c r="L218" s="97">
        <f t="shared" si="28"/>
        <v>0.4</v>
      </c>
      <c r="M218" s="97">
        <f t="shared" si="28"/>
        <v>0.4</v>
      </c>
      <c r="N218" s="97">
        <f t="shared" si="28"/>
        <v>0.4</v>
      </c>
      <c r="O218" s="97">
        <f t="shared" si="28"/>
        <v>0.4</v>
      </c>
      <c r="P218" s="97">
        <f t="shared" si="28"/>
        <v>0.4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ht="15.75" thickBot="1" x14ac:dyDescent="0.3">
      <c r="A219" s="164" t="s">
        <v>88</v>
      </c>
      <c r="B219" s="102">
        <f t="shared" si="27"/>
        <v>0</v>
      </c>
      <c r="C219" s="102">
        <v>0.64</v>
      </c>
      <c r="D219" s="102">
        <f t="shared" si="28"/>
        <v>0.64</v>
      </c>
      <c r="E219" s="102">
        <f t="shared" si="28"/>
        <v>0.64</v>
      </c>
      <c r="F219" s="102">
        <f t="shared" si="28"/>
        <v>0.64</v>
      </c>
      <c r="G219" s="102">
        <f t="shared" si="28"/>
        <v>0.64</v>
      </c>
      <c r="H219" s="102">
        <f t="shared" si="28"/>
        <v>0.64</v>
      </c>
      <c r="I219" s="102">
        <f t="shared" si="28"/>
        <v>0.64</v>
      </c>
      <c r="J219" s="102">
        <f t="shared" si="28"/>
        <v>0.64</v>
      </c>
      <c r="K219" s="102">
        <f t="shared" si="28"/>
        <v>0.64</v>
      </c>
      <c r="L219" s="102">
        <f t="shared" si="28"/>
        <v>0.64</v>
      </c>
      <c r="M219" s="102">
        <f t="shared" si="28"/>
        <v>0.64</v>
      </c>
      <c r="N219" s="102">
        <f t="shared" si="28"/>
        <v>0.64</v>
      </c>
      <c r="O219" s="102">
        <f t="shared" si="28"/>
        <v>0.64</v>
      </c>
      <c r="P219" s="102">
        <f t="shared" si="28"/>
        <v>0.64</v>
      </c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57">
        <v>0.66</v>
      </c>
      <c r="AH219" s="54"/>
      <c r="AI219" s="55"/>
    </row>
    <row r="220" spans="1:37" ht="15.75" thickBot="1" x14ac:dyDescent="0.3">
      <c r="A220" s="173" t="s">
        <v>35</v>
      </c>
      <c r="B220" s="103">
        <f>SUM(B214:B219)</f>
        <v>0</v>
      </c>
      <c r="C220" s="103">
        <f>SUM(C214:C219)</f>
        <v>3.54</v>
      </c>
      <c r="D220" s="103">
        <f t="shared" ref="D220:L220" si="29">SUM(D214:D219)</f>
        <v>3.54</v>
      </c>
      <c r="E220" s="103">
        <f t="shared" si="29"/>
        <v>3.54</v>
      </c>
      <c r="F220" s="103">
        <f t="shared" si="29"/>
        <v>3.54</v>
      </c>
      <c r="G220" s="103">
        <f t="shared" si="29"/>
        <v>3.54</v>
      </c>
      <c r="H220" s="103">
        <f t="shared" si="29"/>
        <v>3.54</v>
      </c>
      <c r="I220" s="103">
        <f t="shared" si="29"/>
        <v>3.54</v>
      </c>
      <c r="J220" s="103">
        <f t="shared" si="29"/>
        <v>3.54</v>
      </c>
      <c r="K220" s="103">
        <f t="shared" si="29"/>
        <v>3.54</v>
      </c>
      <c r="L220" s="103">
        <f t="shared" si="29"/>
        <v>3.54</v>
      </c>
      <c r="M220" s="103">
        <f>SUM(M214:M219)</f>
        <v>3.54</v>
      </c>
      <c r="N220" s="103">
        <f t="shared" ref="N220:S220" si="30">SUM(N214:N219)</f>
        <v>3.54</v>
      </c>
      <c r="O220" s="103">
        <f t="shared" si="30"/>
        <v>3.54</v>
      </c>
      <c r="P220" s="103">
        <f t="shared" si="30"/>
        <v>3.54</v>
      </c>
      <c r="Q220" s="103">
        <f t="shared" si="30"/>
        <v>0</v>
      </c>
      <c r="R220" s="103">
        <f t="shared" si="30"/>
        <v>0</v>
      </c>
      <c r="S220" s="103">
        <f t="shared" si="30"/>
        <v>0</v>
      </c>
      <c r="T220" s="103">
        <f>SUM(T214:T219)</f>
        <v>0</v>
      </c>
      <c r="U220" s="103">
        <f t="shared" ref="U220:AG220" si="31">SUM(U214:U219)</f>
        <v>0</v>
      </c>
      <c r="V220" s="103">
        <f t="shared" si="31"/>
        <v>0</v>
      </c>
      <c r="W220" s="103">
        <f t="shared" si="31"/>
        <v>0</v>
      </c>
      <c r="X220" s="103">
        <f t="shared" si="31"/>
        <v>0</v>
      </c>
      <c r="Y220" s="103">
        <f t="shared" si="31"/>
        <v>0</v>
      </c>
      <c r="Z220" s="103">
        <f t="shared" si="31"/>
        <v>0</v>
      </c>
      <c r="AA220" s="103">
        <f t="shared" si="31"/>
        <v>0</v>
      </c>
      <c r="AB220" s="103">
        <f t="shared" si="31"/>
        <v>0</v>
      </c>
      <c r="AC220" s="103">
        <f t="shared" si="31"/>
        <v>0</v>
      </c>
      <c r="AD220" s="103">
        <f t="shared" si="31"/>
        <v>0</v>
      </c>
      <c r="AE220" s="103">
        <f t="shared" si="31"/>
        <v>0</v>
      </c>
      <c r="AF220" s="103">
        <f t="shared" si="31"/>
        <v>0</v>
      </c>
      <c r="AG220" s="158">
        <f t="shared" si="31"/>
        <v>8.56</v>
      </c>
      <c r="AH220" s="54"/>
      <c r="AI220" s="55"/>
    </row>
    <row r="221" spans="1:37" ht="15.75" thickBot="1" x14ac:dyDescent="0.3"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  <c r="AC221" s="179"/>
      <c r="AD221" s="179"/>
      <c r="AE221" s="179"/>
      <c r="AF221" s="179"/>
      <c r="AG221" s="84"/>
      <c r="AH221" s="179"/>
    </row>
    <row r="222" spans="1:37" x14ac:dyDescent="0.25">
      <c r="A222" s="79" t="s">
        <v>89</v>
      </c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5"/>
      <c r="AG222" s="179"/>
      <c r="AH222" s="54"/>
      <c r="AI222" s="55"/>
    </row>
    <row r="223" spans="1:37" x14ac:dyDescent="0.25">
      <c r="A223" s="106" t="s">
        <v>90</v>
      </c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8"/>
      <c r="AG223" s="109"/>
      <c r="AH223" s="54"/>
      <c r="AI223" s="55"/>
    </row>
    <row r="224" spans="1:37" x14ac:dyDescent="0.25">
      <c r="A224" s="81" t="s">
        <v>91</v>
      </c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1"/>
      <c r="AG224" s="109"/>
      <c r="AH224" s="54"/>
      <c r="AI224" s="55"/>
    </row>
    <row r="225" spans="1:50" x14ac:dyDescent="0.25">
      <c r="A225" s="81" t="s">
        <v>92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ht="15.75" thickBot="1" x14ac:dyDescent="0.3">
      <c r="A226" s="112" t="s">
        <v>93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4"/>
      <c r="AG226" s="109"/>
      <c r="AH226" s="54"/>
      <c r="AI226" s="55"/>
    </row>
    <row r="227" spans="1:50" x14ac:dyDescent="0.25"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  <c r="AC227" s="179"/>
      <c r="AD227" s="179"/>
      <c r="AE227" s="179"/>
      <c r="AF227" s="179"/>
      <c r="AG227" s="179"/>
      <c r="AH227" s="179"/>
    </row>
    <row r="228" spans="1:50" x14ac:dyDescent="0.25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  <c r="AC228" s="179"/>
      <c r="AD228" s="179"/>
      <c r="AE228" s="179"/>
      <c r="AF228" s="179"/>
      <c r="AG228" s="179"/>
      <c r="AH228" s="179"/>
    </row>
    <row r="229" spans="1:50" x14ac:dyDescent="0.25">
      <c r="A229" s="115" t="s">
        <v>94</v>
      </c>
      <c r="B229" s="116">
        <f>MAX(G79:N79)</f>
        <v>1787.4399999999998</v>
      </c>
      <c r="C229" s="117">
        <f>INDEX(G9:N9,1,MATCH(MAX(G79:N79),G79:N79,0))</f>
        <v>0.33333333333333331</v>
      </c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  <c r="AC229" s="179"/>
      <c r="AD229" s="179"/>
      <c r="AE229" s="179"/>
      <c r="AF229" s="179"/>
      <c r="AG229" s="179"/>
      <c r="AH229" s="179"/>
    </row>
    <row r="230" spans="1:50" x14ac:dyDescent="0.25"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18" t="str">
        <f ca="1">MID(CELL("filename",C7),FIND("]",CELL("filename",C7))+1,600)</f>
        <v>18</v>
      </c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79"/>
      <c r="AH230" s="179"/>
    </row>
    <row r="231" spans="1:50" x14ac:dyDescent="0.25">
      <c r="A231" s="208" t="s">
        <v>95</v>
      </c>
      <c r="B231" s="208"/>
      <c r="C231" s="179"/>
      <c r="D231" s="118" t="str">
        <f ca="1">"Pie Chart of Daily Peak Demand(Inclusive of Export) of Nepal ("&amp;A4&amp;" "&amp;B4&amp;")"</f>
        <v>Pie Chart of Daily Peak Demand(Inclusive of Export) of Nepal (Nepali Date: 2079/02/18)</v>
      </c>
      <c r="E231" s="179"/>
      <c r="F231" s="179"/>
      <c r="G231" s="118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18" t="str">
        <f ca="1">"Daily Load Curve(Excluding of Export) of Nepal ("&amp;A4&amp;" "&amp;B4&amp;")"</f>
        <v>Daily Load Curve(Excluding of Export) of Nepal (Nepali Date: 2079/02/18)</v>
      </c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  <c r="AE231" s="179"/>
      <c r="AF231" s="179"/>
      <c r="AG231" s="179"/>
      <c r="AH231" s="179"/>
    </row>
    <row r="232" spans="1:50" ht="12.75" customHeight="1" thickBot="1" x14ac:dyDescent="0.3">
      <c r="A232" s="119" t="s">
        <v>7</v>
      </c>
      <c r="B232" s="120"/>
      <c r="C232" s="179"/>
      <c r="D232" s="121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  <c r="AC232" s="179"/>
      <c r="AD232" s="179"/>
      <c r="AE232" s="179"/>
      <c r="AF232" s="179"/>
      <c r="AG232" s="179"/>
      <c r="AH232" s="179"/>
    </row>
    <row r="233" spans="1:50" ht="15.75" thickTop="1" x14ac:dyDescent="0.25">
      <c r="A233" s="119" t="s">
        <v>96</v>
      </c>
      <c r="B233" s="120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22" t="s">
        <v>97</v>
      </c>
      <c r="T233" s="123">
        <v>0</v>
      </c>
      <c r="U233" s="124">
        <v>4.1666666666666664E-2</v>
      </c>
      <c r="V233" s="125">
        <v>8.3333333333333301E-2</v>
      </c>
      <c r="W233" s="125">
        <v>0.125</v>
      </c>
      <c r="X233" s="125">
        <v>0.16666666666666699</v>
      </c>
      <c r="Y233" s="125">
        <v>0.20833333333333301</v>
      </c>
      <c r="Z233" s="125">
        <v>0.22916666666666666</v>
      </c>
      <c r="AA233" s="125">
        <v>0.25</v>
      </c>
      <c r="AB233" s="125">
        <v>0.27083333333333331</v>
      </c>
      <c r="AC233" s="125">
        <v>0.29166666666666669</v>
      </c>
      <c r="AD233" s="125">
        <v>0.3125</v>
      </c>
      <c r="AE233" s="126">
        <v>0.33333333333333331</v>
      </c>
      <c r="AF233" s="126">
        <v>0.375</v>
      </c>
      <c r="AG233" s="126">
        <v>0.41666666666666702</v>
      </c>
      <c r="AH233" s="126">
        <v>0.45833333333333298</v>
      </c>
      <c r="AI233" s="126">
        <v>0.5</v>
      </c>
      <c r="AJ233" s="126">
        <v>0.54166666666666696</v>
      </c>
      <c r="AK233" s="126">
        <v>0.58333333333333304</v>
      </c>
      <c r="AL233" s="126">
        <v>0.625</v>
      </c>
      <c r="AM233" s="126">
        <v>0.66666666666666696</v>
      </c>
      <c r="AN233" s="126">
        <v>0.70833333333333304</v>
      </c>
      <c r="AO233" s="126">
        <v>0.72916666666666663</v>
      </c>
      <c r="AP233" s="126">
        <v>0.75</v>
      </c>
      <c r="AQ233" s="126">
        <v>0.77083333333333337</v>
      </c>
      <c r="AR233" s="126">
        <v>0.79166666666666663</v>
      </c>
      <c r="AS233" s="126">
        <v>0.8125</v>
      </c>
      <c r="AT233" s="125">
        <v>0.83333333333333337</v>
      </c>
      <c r="AU233" s="125">
        <v>0.85416666666666663</v>
      </c>
      <c r="AV233" s="125">
        <v>0.875</v>
      </c>
      <c r="AW233" s="125">
        <v>0.91666666666666696</v>
      </c>
      <c r="AX233" s="125">
        <v>0.95833333333333304</v>
      </c>
    </row>
    <row r="234" spans="1:50" x14ac:dyDescent="0.25">
      <c r="A234" s="119" t="s">
        <v>98</v>
      </c>
      <c r="B234" s="120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 t="s">
        <v>99</v>
      </c>
      <c r="T234" s="127">
        <f t="shared" ref="T234:AX234" si="32">B79</f>
        <v>3.54</v>
      </c>
      <c r="U234" s="127">
        <f t="shared" si="32"/>
        <v>1640.44</v>
      </c>
      <c r="V234" s="127">
        <f t="shared" si="32"/>
        <v>1626.44</v>
      </c>
      <c r="W234" s="127">
        <f t="shared" si="32"/>
        <v>1639.04</v>
      </c>
      <c r="X234" s="127">
        <f t="shared" si="32"/>
        <v>1616.54</v>
      </c>
      <c r="Y234" s="127">
        <f t="shared" si="32"/>
        <v>1633.8400000000001</v>
      </c>
      <c r="Z234" s="127">
        <f t="shared" si="32"/>
        <v>1651.8400000000001</v>
      </c>
      <c r="AA234" s="127">
        <f t="shared" si="32"/>
        <v>1664.3400000000001</v>
      </c>
      <c r="AB234" s="127">
        <f t="shared" si="32"/>
        <v>1661.8400000000001</v>
      </c>
      <c r="AC234" s="127">
        <f t="shared" si="32"/>
        <v>1696.9399999999998</v>
      </c>
      <c r="AD234" s="127">
        <f t="shared" si="32"/>
        <v>1696.9399999999998</v>
      </c>
      <c r="AE234" s="127">
        <f t="shared" si="32"/>
        <v>1787.4399999999998</v>
      </c>
      <c r="AF234" s="127">
        <f t="shared" si="32"/>
        <v>1717.14</v>
      </c>
      <c r="AG234" s="127">
        <f t="shared" si="32"/>
        <v>1701.24</v>
      </c>
      <c r="AH234" s="127">
        <f t="shared" si="32"/>
        <v>1762.54</v>
      </c>
      <c r="AI234" s="127">
        <f t="shared" si="32"/>
        <v>1753.64</v>
      </c>
      <c r="AJ234" s="127">
        <f t="shared" si="32"/>
        <v>1775.3399999999997</v>
      </c>
      <c r="AK234" s="127">
        <f t="shared" si="32"/>
        <v>1846.24</v>
      </c>
      <c r="AL234" s="127">
        <f t="shared" si="32"/>
        <v>1728.94</v>
      </c>
      <c r="AM234" s="127">
        <f t="shared" si="32"/>
        <v>1812.84</v>
      </c>
      <c r="AN234" s="127">
        <f t="shared" si="32"/>
        <v>1770.34</v>
      </c>
      <c r="AO234" s="127">
        <f t="shared" si="32"/>
        <v>1773.1399999999999</v>
      </c>
      <c r="AP234" s="127">
        <f t="shared" si="32"/>
        <v>1771.4399999999998</v>
      </c>
      <c r="AQ234" s="127">
        <f t="shared" si="32"/>
        <v>1783.24</v>
      </c>
      <c r="AR234" s="127">
        <f t="shared" si="32"/>
        <v>1856.24</v>
      </c>
      <c r="AS234" s="127">
        <f t="shared" si="32"/>
        <v>1881.54</v>
      </c>
      <c r="AT234" s="127">
        <f t="shared" si="32"/>
        <v>1886.44</v>
      </c>
      <c r="AU234" s="127">
        <f t="shared" si="32"/>
        <v>1885.44</v>
      </c>
      <c r="AV234" s="127">
        <f t="shared" si="32"/>
        <v>1889.0399999999997</v>
      </c>
      <c r="AW234" s="127">
        <f t="shared" si="32"/>
        <v>1844.7399999999998</v>
      </c>
      <c r="AX234" s="127">
        <f t="shared" si="32"/>
        <v>1782.74</v>
      </c>
    </row>
    <row r="235" spans="1:50" x14ac:dyDescent="0.25">
      <c r="A235" s="119" t="s">
        <v>100</v>
      </c>
      <c r="B235" s="120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  <c r="AC235" s="179"/>
      <c r="AD235" s="179"/>
      <c r="AE235" s="179"/>
      <c r="AF235" s="179"/>
      <c r="AG235" s="179"/>
      <c r="AH235" s="179"/>
    </row>
    <row r="236" spans="1:50" x14ac:dyDescent="0.25">
      <c r="A236" s="119" t="s">
        <v>101</v>
      </c>
      <c r="B236" s="120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79"/>
      <c r="AE236" s="179"/>
      <c r="AF236" s="179"/>
      <c r="AG236" s="179"/>
      <c r="AH236" s="179"/>
    </row>
    <row r="237" spans="1:50" x14ac:dyDescent="0.25">
      <c r="A237" s="119" t="s">
        <v>102</v>
      </c>
      <c r="B237" s="120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  <c r="AE237" s="179"/>
      <c r="AF237" s="179"/>
      <c r="AG237" s="179"/>
      <c r="AH237" s="179"/>
    </row>
    <row r="238" spans="1:50" x14ac:dyDescent="0.25">
      <c r="A238" s="119" t="s">
        <v>103</v>
      </c>
      <c r="B238" s="128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  <c r="AE238" s="179"/>
      <c r="AF238" s="179"/>
      <c r="AG238" s="179"/>
      <c r="AH238" s="179"/>
    </row>
    <row r="239" spans="1:50" x14ac:dyDescent="0.25">
      <c r="A239" s="119" t="s">
        <v>104</v>
      </c>
      <c r="B239" s="120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</row>
    <row r="240" spans="1:50" x14ac:dyDescent="0.25"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  <c r="AD240" s="179"/>
      <c r="AE240" s="179"/>
      <c r="AF240" s="179"/>
      <c r="AG240" s="179"/>
      <c r="AH240" s="179"/>
    </row>
    <row r="241" spans="1:36" x14ac:dyDescent="0.25"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  <c r="AC241" s="179"/>
      <c r="AD241" s="179"/>
      <c r="AE241" s="179"/>
      <c r="AF241" s="179"/>
      <c r="AG241" s="179"/>
      <c r="AH241" s="179"/>
    </row>
    <row r="242" spans="1:36" x14ac:dyDescent="0.25"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  <c r="AC242" s="179"/>
      <c r="AD242" s="179"/>
      <c r="AE242" s="179"/>
      <c r="AF242" s="179"/>
      <c r="AG242" s="179"/>
      <c r="AH242" s="179"/>
    </row>
    <row r="243" spans="1:36" x14ac:dyDescent="0.25"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  <c r="AC243" s="179"/>
      <c r="AD243" s="179"/>
      <c r="AE243" s="179"/>
      <c r="AF243" s="179"/>
      <c r="AG243" s="179"/>
      <c r="AH243" s="179"/>
    </row>
    <row r="244" spans="1:36" x14ac:dyDescent="0.25"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  <c r="AC244" s="179"/>
      <c r="AD244" s="179"/>
      <c r="AE244" s="179"/>
      <c r="AF244" s="179"/>
      <c r="AG244" s="179"/>
      <c r="AH244" s="179"/>
    </row>
    <row r="245" spans="1:36" x14ac:dyDescent="0.25"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  <c r="AG245" s="179"/>
      <c r="AH245" s="179"/>
    </row>
    <row r="246" spans="1:36" x14ac:dyDescent="0.25"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  <c r="AC246" s="179"/>
      <c r="AD246" s="179"/>
      <c r="AE246" s="179"/>
      <c r="AF246" s="179"/>
      <c r="AG246" s="179"/>
      <c r="AH246" s="179"/>
      <c r="AJ246"/>
    </row>
    <row r="247" spans="1:36" x14ac:dyDescent="0.25"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  <c r="AC247" s="179"/>
      <c r="AD247" s="179"/>
      <c r="AE247" s="179"/>
      <c r="AF247" s="179"/>
      <c r="AG247" s="179"/>
      <c r="AH247" s="179"/>
      <c r="AJ247"/>
    </row>
    <row r="248" spans="1:36" x14ac:dyDescent="0.25"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  <c r="AC248" s="179"/>
      <c r="AD248" s="179"/>
      <c r="AE248" s="179"/>
      <c r="AF248" s="179"/>
      <c r="AG248" s="179"/>
      <c r="AH248" s="179"/>
      <c r="AJ248"/>
    </row>
    <row r="249" spans="1:36" x14ac:dyDescent="0.25"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  <c r="AC249" s="179"/>
      <c r="AD249" s="179"/>
      <c r="AE249" s="179"/>
      <c r="AF249" s="179"/>
      <c r="AG249" s="179"/>
      <c r="AH249" s="179"/>
      <c r="AJ249"/>
    </row>
    <row r="250" spans="1:36" x14ac:dyDescent="0.25"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  <c r="AC250" s="179"/>
      <c r="AD250" s="179"/>
      <c r="AE250" s="179"/>
      <c r="AF250" s="179"/>
      <c r="AG250" s="179"/>
      <c r="AH250" s="179"/>
      <c r="AJ250"/>
    </row>
    <row r="251" spans="1:36" x14ac:dyDescent="0.25"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  <c r="AE251" s="179"/>
      <c r="AF251" s="179"/>
      <c r="AG251" s="179"/>
      <c r="AH251" s="179"/>
      <c r="AJ251"/>
    </row>
    <row r="252" spans="1:36" x14ac:dyDescent="0.25"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  <c r="AC252" s="179"/>
      <c r="AD252" s="179"/>
      <c r="AE252" s="179"/>
      <c r="AF252" s="179"/>
      <c r="AG252" s="179"/>
      <c r="AH252" s="179"/>
      <c r="AJ252"/>
    </row>
    <row r="253" spans="1:36" x14ac:dyDescent="0.25"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J253"/>
    </row>
    <row r="254" spans="1:36" x14ac:dyDescent="0.25"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  <c r="AE254" s="179"/>
      <c r="AF254" s="179"/>
      <c r="AG254" s="179"/>
      <c r="AH254" s="179"/>
      <c r="AJ254"/>
    </row>
    <row r="255" spans="1:36" x14ac:dyDescent="0.25">
      <c r="A255" s="129" t="s">
        <v>89</v>
      </c>
      <c r="B255" s="130">
        <f t="shared" ref="B255:AE255" si="33">C219</f>
        <v>0.64</v>
      </c>
      <c r="C255" s="130">
        <f t="shared" si="33"/>
        <v>0.64</v>
      </c>
      <c r="D255" s="130">
        <f t="shared" si="33"/>
        <v>0.64</v>
      </c>
      <c r="E255" s="130">
        <f t="shared" si="33"/>
        <v>0.64</v>
      </c>
      <c r="F255" s="130">
        <f t="shared" si="33"/>
        <v>0.64</v>
      </c>
      <c r="G255" s="130">
        <f t="shared" si="33"/>
        <v>0.64</v>
      </c>
      <c r="H255" s="130">
        <f t="shared" si="33"/>
        <v>0.64</v>
      </c>
      <c r="I255" s="130">
        <f t="shared" si="33"/>
        <v>0.64</v>
      </c>
      <c r="J255" s="130">
        <f t="shared" si="33"/>
        <v>0.64</v>
      </c>
      <c r="K255" s="130">
        <f t="shared" si="33"/>
        <v>0.64</v>
      </c>
      <c r="L255" s="130">
        <f t="shared" si="33"/>
        <v>0.64</v>
      </c>
      <c r="M255" s="130">
        <f t="shared" si="33"/>
        <v>0.64</v>
      </c>
      <c r="N255" s="130">
        <f t="shared" si="33"/>
        <v>0.64</v>
      </c>
      <c r="O255" s="130">
        <f t="shared" si="33"/>
        <v>0.64</v>
      </c>
      <c r="P255" s="130">
        <f t="shared" si="33"/>
        <v>0</v>
      </c>
      <c r="Q255" s="130">
        <f t="shared" si="33"/>
        <v>0</v>
      </c>
      <c r="R255" s="130">
        <f t="shared" si="33"/>
        <v>0</v>
      </c>
      <c r="S255" s="130">
        <f t="shared" si="33"/>
        <v>0</v>
      </c>
      <c r="T255" s="130">
        <f t="shared" si="33"/>
        <v>0</v>
      </c>
      <c r="U255" s="130">
        <f t="shared" si="33"/>
        <v>0</v>
      </c>
      <c r="V255" s="130">
        <f t="shared" si="33"/>
        <v>0</v>
      </c>
      <c r="W255" s="130">
        <f t="shared" si="33"/>
        <v>0</v>
      </c>
      <c r="X255" s="130">
        <f t="shared" si="33"/>
        <v>0</v>
      </c>
      <c r="Y255" s="130">
        <f t="shared" si="33"/>
        <v>0</v>
      </c>
      <c r="Z255" s="130">
        <f t="shared" si="33"/>
        <v>0</v>
      </c>
      <c r="AA255" s="130">
        <f t="shared" si="33"/>
        <v>0</v>
      </c>
      <c r="AB255" s="130">
        <f t="shared" si="33"/>
        <v>0</v>
      </c>
      <c r="AC255" s="130">
        <f t="shared" si="33"/>
        <v>0</v>
      </c>
      <c r="AD255" s="130">
        <f t="shared" si="33"/>
        <v>0</v>
      </c>
      <c r="AE255" s="130">
        <f t="shared" si="33"/>
        <v>0</v>
      </c>
      <c r="AF255" s="130">
        <f>B219</f>
        <v>0</v>
      </c>
      <c r="AG255" s="179"/>
      <c r="AH255" s="179"/>
      <c r="AJ255"/>
    </row>
    <row r="256" spans="1:36" x14ac:dyDescent="0.25">
      <c r="A256" s="88" t="str">
        <f>A223</f>
        <v>KGA</v>
      </c>
      <c r="B256" s="88" t="str">
        <f>IF(B223&lt;100,"",B223-520)</f>
        <v/>
      </c>
      <c r="C256" s="88" t="str">
        <f t="shared" ref="C256:AF256" si="34">IF(C223&lt;100,"",C223-520)</f>
        <v/>
      </c>
      <c r="D256" s="88" t="str">
        <f t="shared" si="34"/>
        <v/>
      </c>
      <c r="E256" s="88" t="str">
        <f t="shared" si="34"/>
        <v/>
      </c>
      <c r="F256" s="88" t="str">
        <f t="shared" si="34"/>
        <v/>
      </c>
      <c r="G256" s="88" t="str">
        <f t="shared" si="34"/>
        <v/>
      </c>
      <c r="H256" s="88" t="str">
        <f t="shared" si="34"/>
        <v/>
      </c>
      <c r="I256" s="88" t="str">
        <f t="shared" si="34"/>
        <v/>
      </c>
      <c r="J256" s="88" t="str">
        <f t="shared" si="34"/>
        <v/>
      </c>
      <c r="K256" s="88" t="str">
        <f t="shared" si="34"/>
        <v/>
      </c>
      <c r="L256" s="88" t="str">
        <f t="shared" si="34"/>
        <v/>
      </c>
      <c r="M256" s="88" t="str">
        <f t="shared" si="34"/>
        <v/>
      </c>
      <c r="N256" s="88" t="str">
        <f t="shared" si="34"/>
        <v/>
      </c>
      <c r="O256" s="88" t="str">
        <f t="shared" si="34"/>
        <v/>
      </c>
      <c r="P256" s="88" t="str">
        <f t="shared" si="34"/>
        <v/>
      </c>
      <c r="Q256" s="88" t="str">
        <f t="shared" si="34"/>
        <v/>
      </c>
      <c r="R256" s="88" t="str">
        <f t="shared" si="34"/>
        <v/>
      </c>
      <c r="S256" s="88" t="str">
        <f t="shared" si="34"/>
        <v/>
      </c>
      <c r="T256" s="88" t="str">
        <f t="shared" si="34"/>
        <v/>
      </c>
      <c r="U256" s="88" t="str">
        <f t="shared" si="34"/>
        <v/>
      </c>
      <c r="V256" s="88" t="str">
        <f t="shared" si="34"/>
        <v/>
      </c>
      <c r="W256" s="88" t="str">
        <f t="shared" si="34"/>
        <v/>
      </c>
      <c r="X256" s="88" t="str">
        <f t="shared" si="34"/>
        <v/>
      </c>
      <c r="Y256" s="88" t="str">
        <f t="shared" si="34"/>
        <v/>
      </c>
      <c r="Z256" s="88" t="str">
        <f t="shared" si="34"/>
        <v/>
      </c>
      <c r="AA256" s="88" t="str">
        <f t="shared" si="34"/>
        <v/>
      </c>
      <c r="AB256" s="88" t="str">
        <f t="shared" si="34"/>
        <v/>
      </c>
      <c r="AC256" s="88" t="str">
        <f t="shared" si="34"/>
        <v/>
      </c>
      <c r="AD256" s="88" t="str">
        <f t="shared" si="34"/>
        <v/>
      </c>
      <c r="AE256" s="88" t="str">
        <f t="shared" si="34"/>
        <v/>
      </c>
      <c r="AF256" s="88" t="str">
        <f t="shared" si="34"/>
        <v/>
      </c>
      <c r="AG256" s="179"/>
      <c r="AH256" s="179"/>
      <c r="AJ256"/>
    </row>
    <row r="257" spans="1:36" x14ac:dyDescent="0.25">
      <c r="A257" s="88" t="str">
        <f>A224</f>
        <v>MMRS</v>
      </c>
      <c r="B257" s="88" t="str">
        <f t="shared" ref="B257:AF257" si="35">IF(B224&lt;100,"",B224-620)</f>
        <v/>
      </c>
      <c r="C257" s="88" t="str">
        <f t="shared" si="35"/>
        <v/>
      </c>
      <c r="D257" s="88" t="str">
        <f t="shared" si="35"/>
        <v/>
      </c>
      <c r="E257" s="88" t="str">
        <f t="shared" si="35"/>
        <v/>
      </c>
      <c r="F257" s="88" t="str">
        <f t="shared" si="35"/>
        <v/>
      </c>
      <c r="G257" s="88" t="str">
        <f t="shared" si="35"/>
        <v/>
      </c>
      <c r="H257" s="88" t="str">
        <f t="shared" si="35"/>
        <v/>
      </c>
      <c r="I257" s="88" t="str">
        <f t="shared" si="35"/>
        <v/>
      </c>
      <c r="J257" s="88" t="str">
        <f t="shared" si="35"/>
        <v/>
      </c>
      <c r="K257" s="88" t="str">
        <f t="shared" si="35"/>
        <v/>
      </c>
      <c r="L257" s="88" t="str">
        <f t="shared" si="35"/>
        <v/>
      </c>
      <c r="M257" s="88" t="str">
        <f t="shared" si="35"/>
        <v/>
      </c>
      <c r="N257" s="88" t="str">
        <f t="shared" si="35"/>
        <v/>
      </c>
      <c r="O257" s="88" t="str">
        <f t="shared" si="35"/>
        <v/>
      </c>
      <c r="P257" s="88" t="str">
        <f t="shared" si="35"/>
        <v/>
      </c>
      <c r="Q257" s="88" t="str">
        <f t="shared" si="35"/>
        <v/>
      </c>
      <c r="R257" s="88" t="str">
        <f t="shared" si="35"/>
        <v/>
      </c>
      <c r="S257" s="88" t="str">
        <f t="shared" si="35"/>
        <v/>
      </c>
      <c r="T257" s="88" t="str">
        <f t="shared" si="35"/>
        <v/>
      </c>
      <c r="U257" s="88" t="str">
        <f t="shared" si="35"/>
        <v/>
      </c>
      <c r="V257" s="88" t="str">
        <f t="shared" si="35"/>
        <v/>
      </c>
      <c r="W257" s="88" t="str">
        <f t="shared" si="35"/>
        <v/>
      </c>
      <c r="X257" s="88" t="str">
        <f t="shared" si="35"/>
        <v/>
      </c>
      <c r="Y257" s="88" t="str">
        <f t="shared" si="35"/>
        <v/>
      </c>
      <c r="Z257" s="88" t="str">
        <f t="shared" si="35"/>
        <v/>
      </c>
      <c r="AA257" s="88" t="str">
        <f t="shared" si="35"/>
        <v/>
      </c>
      <c r="AB257" s="88" t="str">
        <f t="shared" si="35"/>
        <v/>
      </c>
      <c r="AC257" s="88" t="str">
        <f t="shared" si="35"/>
        <v/>
      </c>
      <c r="AD257" s="88" t="str">
        <f t="shared" si="35"/>
        <v/>
      </c>
      <c r="AE257" s="88" t="str">
        <f t="shared" si="35"/>
        <v/>
      </c>
      <c r="AF257" s="88" t="str">
        <f t="shared" si="35"/>
        <v/>
      </c>
      <c r="AG257" s="179"/>
      <c r="AH257" s="179"/>
      <c r="AJ257"/>
    </row>
    <row r="258" spans="1:36" x14ac:dyDescent="0.25">
      <c r="A258" s="88" t="str">
        <f>A225</f>
        <v>MRS</v>
      </c>
      <c r="B258" s="88" t="str">
        <f t="shared" ref="B258:AF258" si="36">IF(B225&lt;100,"",B225-330)</f>
        <v/>
      </c>
      <c r="C258" s="88" t="str">
        <f t="shared" si="36"/>
        <v/>
      </c>
      <c r="D258" s="88" t="str">
        <f t="shared" si="36"/>
        <v/>
      </c>
      <c r="E258" s="88" t="str">
        <f t="shared" si="36"/>
        <v/>
      </c>
      <c r="F258" s="88" t="str">
        <f t="shared" si="36"/>
        <v/>
      </c>
      <c r="G258" s="88" t="str">
        <f t="shared" si="36"/>
        <v/>
      </c>
      <c r="H258" s="88" t="str">
        <f t="shared" si="36"/>
        <v/>
      </c>
      <c r="I258" s="88" t="str">
        <f t="shared" si="36"/>
        <v/>
      </c>
      <c r="J258" s="88" t="str">
        <f t="shared" si="36"/>
        <v/>
      </c>
      <c r="K258" s="88" t="str">
        <f t="shared" si="36"/>
        <v/>
      </c>
      <c r="L258" s="88" t="str">
        <f t="shared" si="36"/>
        <v/>
      </c>
      <c r="M258" s="88" t="str">
        <f t="shared" si="36"/>
        <v/>
      </c>
      <c r="N258" s="88" t="str">
        <f t="shared" si="36"/>
        <v/>
      </c>
      <c r="O258" s="88" t="str">
        <f t="shared" si="36"/>
        <v/>
      </c>
      <c r="P258" s="88" t="str">
        <f t="shared" si="36"/>
        <v/>
      </c>
      <c r="Q258" s="88" t="str">
        <f t="shared" si="36"/>
        <v/>
      </c>
      <c r="R258" s="88" t="str">
        <f t="shared" si="36"/>
        <v/>
      </c>
      <c r="S258" s="88" t="str">
        <f t="shared" si="36"/>
        <v/>
      </c>
      <c r="T258" s="88" t="str">
        <f t="shared" si="36"/>
        <v/>
      </c>
      <c r="U258" s="88" t="str">
        <f t="shared" si="36"/>
        <v/>
      </c>
      <c r="V258" s="88" t="str">
        <f t="shared" si="36"/>
        <v/>
      </c>
      <c r="W258" s="88" t="str">
        <f t="shared" si="36"/>
        <v/>
      </c>
      <c r="X258" s="88" t="str">
        <f t="shared" si="36"/>
        <v/>
      </c>
      <c r="Y258" s="88" t="str">
        <f t="shared" si="36"/>
        <v/>
      </c>
      <c r="Z258" s="88" t="str">
        <f t="shared" si="36"/>
        <v/>
      </c>
      <c r="AA258" s="88" t="str">
        <f t="shared" si="36"/>
        <v/>
      </c>
      <c r="AB258" s="88" t="str">
        <f t="shared" si="36"/>
        <v/>
      </c>
      <c r="AC258" s="88" t="str">
        <f t="shared" si="36"/>
        <v/>
      </c>
      <c r="AD258" s="88" t="str">
        <f t="shared" si="36"/>
        <v/>
      </c>
      <c r="AE258" s="88" t="str">
        <f t="shared" si="36"/>
        <v/>
      </c>
      <c r="AF258" s="88" t="str">
        <f t="shared" si="36"/>
        <v/>
      </c>
      <c r="AG258" s="179"/>
      <c r="AH258" s="179"/>
      <c r="AJ258"/>
    </row>
    <row r="259" spans="1:36" x14ac:dyDescent="0.25">
      <c r="A259" s="88" t="str">
        <f>A226</f>
        <v>KL 1</v>
      </c>
      <c r="B259" s="88" t="str">
        <f>IF(B226&lt;100,"",B226-1500)</f>
        <v/>
      </c>
      <c r="C259" s="88" t="str">
        <f t="shared" ref="C259:AF259" si="37">IF(C226&lt;100,"",C226-1500)</f>
        <v/>
      </c>
      <c r="D259" s="88" t="str">
        <f t="shared" si="37"/>
        <v/>
      </c>
      <c r="E259" s="88" t="str">
        <f t="shared" si="37"/>
        <v/>
      </c>
      <c r="F259" s="88" t="str">
        <f t="shared" si="37"/>
        <v/>
      </c>
      <c r="G259" s="88" t="str">
        <f t="shared" si="37"/>
        <v/>
      </c>
      <c r="H259" s="88" t="str">
        <f t="shared" si="37"/>
        <v/>
      </c>
      <c r="I259" s="88" t="str">
        <f t="shared" si="37"/>
        <v/>
      </c>
      <c r="J259" s="88" t="str">
        <f t="shared" si="37"/>
        <v/>
      </c>
      <c r="K259" s="88" t="str">
        <f t="shared" si="37"/>
        <v/>
      </c>
      <c r="L259" s="88" t="str">
        <f t="shared" si="37"/>
        <v/>
      </c>
      <c r="M259" s="88" t="str">
        <f t="shared" si="37"/>
        <v/>
      </c>
      <c r="N259" s="88" t="str">
        <f t="shared" si="37"/>
        <v/>
      </c>
      <c r="O259" s="88" t="str">
        <f t="shared" si="37"/>
        <v/>
      </c>
      <c r="P259" s="88" t="str">
        <f t="shared" si="37"/>
        <v/>
      </c>
      <c r="Q259" s="88" t="str">
        <f t="shared" si="37"/>
        <v/>
      </c>
      <c r="R259" s="88" t="str">
        <f t="shared" si="37"/>
        <v/>
      </c>
      <c r="S259" s="88" t="str">
        <f t="shared" si="37"/>
        <v/>
      </c>
      <c r="T259" s="88" t="str">
        <f t="shared" si="37"/>
        <v/>
      </c>
      <c r="U259" s="88" t="str">
        <f t="shared" si="37"/>
        <v/>
      </c>
      <c r="V259" s="88" t="str">
        <f t="shared" si="37"/>
        <v/>
      </c>
      <c r="W259" s="88" t="str">
        <f t="shared" si="37"/>
        <v/>
      </c>
      <c r="X259" s="88" t="str">
        <f t="shared" si="37"/>
        <v/>
      </c>
      <c r="Y259" s="88" t="str">
        <f t="shared" si="37"/>
        <v/>
      </c>
      <c r="Z259" s="88" t="str">
        <f t="shared" si="37"/>
        <v/>
      </c>
      <c r="AA259" s="88" t="str">
        <f t="shared" si="37"/>
        <v/>
      </c>
      <c r="AB259" s="88" t="str">
        <f t="shared" si="37"/>
        <v/>
      </c>
      <c r="AC259" s="88" t="str">
        <f t="shared" si="37"/>
        <v/>
      </c>
      <c r="AD259" s="88" t="str">
        <f t="shared" si="37"/>
        <v/>
      </c>
      <c r="AE259" s="88" t="str">
        <f t="shared" si="37"/>
        <v/>
      </c>
      <c r="AF259" s="88" t="str">
        <f t="shared" si="37"/>
        <v/>
      </c>
      <c r="AG259" s="179"/>
      <c r="AH259" s="179"/>
      <c r="AJ259"/>
    </row>
    <row r="260" spans="1:36" x14ac:dyDescent="0.25"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  <c r="AC260" s="179"/>
      <c r="AD260" s="179"/>
      <c r="AE260" s="179"/>
      <c r="AF260" s="179"/>
      <c r="AG260" s="179"/>
      <c r="AH260" s="179"/>
      <c r="AJ260"/>
    </row>
    <row r="261" spans="1:36" x14ac:dyDescent="0.25"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  <c r="AJ261"/>
    </row>
    <row r="262" spans="1:36" x14ac:dyDescent="0.25"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  <c r="AE262" s="179"/>
      <c r="AF262" s="179"/>
      <c r="AG262" s="179"/>
      <c r="AH262" s="179"/>
      <c r="AJ262"/>
    </row>
    <row r="263" spans="1:36" x14ac:dyDescent="0.25"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  <c r="AC263" s="179"/>
      <c r="AD263" s="179"/>
      <c r="AE263" s="179"/>
      <c r="AF263" s="179"/>
      <c r="AG263" s="179"/>
      <c r="AH263" s="179"/>
      <c r="AJ263"/>
    </row>
    <row r="264" spans="1:36" x14ac:dyDescent="0.25"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  <c r="AC264" s="179"/>
      <c r="AD264" s="179"/>
      <c r="AE264" s="179"/>
      <c r="AF264" s="179"/>
      <c r="AG264" s="179"/>
      <c r="AH264" s="179"/>
      <c r="AJ264"/>
    </row>
    <row r="265" spans="1:36" x14ac:dyDescent="0.25"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  <c r="AC265" s="179"/>
      <c r="AD265" s="179"/>
      <c r="AE265" s="179"/>
      <c r="AF265" s="179"/>
      <c r="AG265" s="179"/>
      <c r="AH265" s="179"/>
      <c r="AJ265"/>
    </row>
    <row r="266" spans="1:36" x14ac:dyDescent="0.25"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  <c r="AC266" s="179"/>
      <c r="AD266" s="179"/>
      <c r="AE266" s="179"/>
      <c r="AF266" s="179"/>
      <c r="AJ266"/>
    </row>
    <row r="490" spans="36:38" x14ac:dyDescent="0.25">
      <c r="AK490" s="1"/>
    </row>
    <row r="491" spans="36:38" x14ac:dyDescent="0.25">
      <c r="AK491" s="1"/>
      <c r="AL491" s="1"/>
    </row>
    <row r="492" spans="36:38" x14ac:dyDescent="0.25">
      <c r="AJ49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1:B23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28">
      <iconSet iconSet="3TrafficLights2" reverse="1">
        <cfvo type="percent" val="0"/>
        <cfvo type="num" val="1"/>
        <cfvo type="num" val="1"/>
      </iconSet>
    </cfRule>
  </conditionalFormatting>
  <conditionalFormatting sqref="D214:AF220 B214:B220 B212:AF212 U233:AF233 B9:AF10 C99:AF105 AD11:AF11">
    <cfRule type="expression" dxfId="3353" priority="224">
      <formula>B$9&gt;=20/24</formula>
    </cfRule>
    <cfRule type="expression" dxfId="3352" priority="225">
      <formula>AND(B$9&gt;=14/24,B$9&lt;20/24)</formula>
    </cfRule>
    <cfRule type="expression" dxfId="3351" priority="226">
      <formula>AND(B$9&gt;=8/24,B$9&lt;14/24)</formula>
    </cfRule>
    <cfRule type="expression" dxfId="3350" priority="227">
      <formula>B$9&lt;8/24</formula>
    </cfRule>
  </conditionalFormatting>
  <conditionalFormatting sqref="AL4:AL6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T37:AF37">
    <cfRule type="expression" dxfId="3349" priority="219">
      <formula>T$9&gt;=20/24</formula>
    </cfRule>
    <cfRule type="expression" dxfId="3348" priority="220">
      <formula>AND(T$9&gt;=14/24,T$9&lt;20/24)</formula>
    </cfRule>
    <cfRule type="expression" dxfId="3347" priority="221">
      <formula>AND(T$9&gt;=8/24,T$9&lt;14/24)</formula>
    </cfRule>
    <cfRule type="expression" dxfId="3346" priority="222">
      <formula>T$9&lt;8/24</formula>
    </cfRule>
  </conditionalFormatting>
  <conditionalFormatting sqref="AG55 B12:B16 T37:AF37 C11:AF16 B35:AF35">
    <cfRule type="expression" dxfId="3345" priority="218">
      <formula>B11&gt;$AG11</formula>
    </cfRule>
  </conditionalFormatting>
  <conditionalFormatting sqref="A89:A102 A11:A14 A49:A76 A85:A87 A190:A220 A16:A30 A36:A47 A106:A177 A32:A33 A81:A83 A78:A79">
    <cfRule type="expression" dxfId="3344" priority="217">
      <formula>$AH11=0</formula>
    </cfRule>
  </conditionalFormatting>
  <conditionalFormatting sqref="A103">
    <cfRule type="expression" dxfId="3343" priority="216">
      <formula>$AH103=0</formula>
    </cfRule>
  </conditionalFormatting>
  <conditionalFormatting sqref="AL3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3342" priority="214">
      <formula>$AH35=0</formula>
    </cfRule>
  </conditionalFormatting>
  <conditionalFormatting sqref="A88">
    <cfRule type="expression" dxfId="3341" priority="213">
      <formula>$AH88=0</formula>
    </cfRule>
  </conditionalFormatting>
  <conditionalFormatting sqref="A15">
    <cfRule type="expression" dxfId="3340" priority="212">
      <formula>$AH15=0</formula>
    </cfRule>
  </conditionalFormatting>
  <conditionalFormatting sqref="A184:A189">
    <cfRule type="expression" dxfId="3339" priority="211">
      <formula>$AH184=0</formula>
    </cfRule>
  </conditionalFormatting>
  <conditionalFormatting sqref="A178:A183">
    <cfRule type="expression" dxfId="3338" priority="210">
      <formula>$AH178=0</formula>
    </cfRule>
  </conditionalFormatting>
  <conditionalFormatting sqref="A48">
    <cfRule type="expression" dxfId="3337" priority="209">
      <formula>$AH48=0</formula>
    </cfRule>
  </conditionalFormatting>
  <conditionalFormatting sqref="A84">
    <cfRule type="expression" dxfId="3336" priority="208">
      <formula>$AH84=0</formula>
    </cfRule>
  </conditionalFormatting>
  <conditionalFormatting sqref="C89:AF89">
    <cfRule type="expression" dxfId="3335" priority="204">
      <formula>C$9&gt;=20/24</formula>
    </cfRule>
    <cfRule type="expression" dxfId="3334" priority="205">
      <formula>AND(C$9&gt;=14/24,C$9&lt;20/24)</formula>
    </cfRule>
    <cfRule type="expression" dxfId="3333" priority="206">
      <formula>AND(C$9&gt;=8/24,C$9&lt;14/24)</formula>
    </cfRule>
    <cfRule type="expression" dxfId="3332" priority="207">
      <formula>C$9&lt;8/24</formula>
    </cfRule>
  </conditionalFormatting>
  <conditionalFormatting sqref="AL34">
    <cfRule type="iconSet" priority="20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331" priority="230">
      <formula>C$9&gt;=20/24</formula>
    </cfRule>
    <cfRule type="expression" dxfId="3330" priority="231">
      <formula>AND(C$9&gt;=14/24,C$9&lt;20/24)</formula>
    </cfRule>
    <cfRule type="expression" dxfId="3329" priority="232">
      <formula>AND(C$9&gt;=8/24,C$9&lt;14/24)</formula>
    </cfRule>
    <cfRule type="expression" dxfId="3328" priority="233">
      <formula>C$9&lt;8/24</formula>
    </cfRule>
  </conditionalFormatting>
  <conditionalFormatting sqref="A221">
    <cfRule type="expression" dxfId="3327" priority="234">
      <formula>$AH221=0</formula>
    </cfRule>
  </conditionalFormatting>
  <conditionalFormatting sqref="AG233">
    <cfRule type="expression" dxfId="3326" priority="235">
      <formula>B$9&gt;=20/24</formula>
    </cfRule>
    <cfRule type="expression" dxfId="3325" priority="236">
      <formula>AND(B$9&gt;=14/24,B$9&lt;20/24)</formula>
    </cfRule>
    <cfRule type="expression" dxfId="3324" priority="237">
      <formula>AND(B$9&gt;=8/24,B$9&lt;14/24)</formula>
    </cfRule>
    <cfRule type="expression" dxfId="3323" priority="238">
      <formula>B$9&lt;8/24</formula>
    </cfRule>
  </conditionalFormatting>
  <conditionalFormatting sqref="S8">
    <cfRule type="expression" dxfId="3322" priority="199">
      <formula>U$9&gt;=20/24</formula>
    </cfRule>
    <cfRule type="expression" dxfId="3321" priority="200">
      <formula>AND(U$9&gt;=14/24,U$9&lt;20/24)</formula>
    </cfRule>
    <cfRule type="expression" dxfId="3320" priority="201">
      <formula>AND(U$9&gt;=8/24,U$9&lt;14/24)</formula>
    </cfRule>
    <cfRule type="expression" dxfId="3319" priority="202">
      <formula>U$9&lt;8/24</formula>
    </cfRule>
  </conditionalFormatting>
  <conditionalFormatting sqref="AB8">
    <cfRule type="expression" dxfId="3318" priority="195">
      <formula>AD$9&gt;=20/24</formula>
    </cfRule>
    <cfRule type="expression" dxfId="3317" priority="196">
      <formula>AND(AD$9&gt;=14/24,AD$9&lt;20/24)</formula>
    </cfRule>
    <cfRule type="expression" dxfId="3316" priority="197">
      <formula>AND(AD$9&gt;=8/24,AD$9&lt;14/24)</formula>
    </cfRule>
    <cfRule type="expression" dxfId="3315" priority="198">
      <formula>AD$9&lt;8/24</formula>
    </cfRule>
  </conditionalFormatting>
  <conditionalFormatting sqref="AH233:AX233">
    <cfRule type="expression" dxfId="3314" priority="239">
      <formula>AG$9&gt;=20/24</formula>
    </cfRule>
    <cfRule type="expression" dxfId="3313" priority="240">
      <formula>AND(AG$9&gt;=14/24,AG$9&lt;20/24)</formula>
    </cfRule>
    <cfRule type="expression" dxfId="3312" priority="241">
      <formula>AND(AG$9&gt;=8/24,AG$9&lt;14/24)</formula>
    </cfRule>
    <cfRule type="expression" dxfId="3311" priority="242">
      <formula>AG$9&lt;8/24</formula>
    </cfRule>
  </conditionalFormatting>
  <conditionalFormatting sqref="T233">
    <cfRule type="expression" dxfId="3310" priority="243">
      <formula>AX$9&gt;=20/24</formula>
    </cfRule>
    <cfRule type="expression" dxfId="3309" priority="244">
      <formula>AND(AX$9&gt;=14/24,AX$9&lt;20/24)</formula>
    </cfRule>
    <cfRule type="expression" dxfId="3308" priority="245">
      <formula>AND(AX$9&gt;=8/24,AX$9&lt;14/24)</formula>
    </cfRule>
    <cfRule type="expression" dxfId="3307" priority="246">
      <formula>AX$9&lt;8/24</formula>
    </cfRule>
  </conditionalFormatting>
  <conditionalFormatting sqref="A104:A105">
    <cfRule type="expression" dxfId="3306" priority="194">
      <formula>$AH104=0</formula>
    </cfRule>
  </conditionalFormatting>
  <conditionalFormatting sqref="AE44:AF45 E44:M45 C61:AF61">
    <cfRule type="expression" dxfId="3305" priority="190">
      <formula>C$9&gt;=20/24</formula>
    </cfRule>
    <cfRule type="expression" dxfId="3304" priority="191">
      <formula>AND(C$9&gt;=14/24,C$9&lt;20/24)</formula>
    </cfRule>
    <cfRule type="expression" dxfId="3303" priority="192">
      <formula>AND(C$9&gt;=8/24,C$9&lt;14/24)</formula>
    </cfRule>
    <cfRule type="expression" dxfId="3302" priority="193">
      <formula>C$9&lt;8/24</formula>
    </cfRule>
  </conditionalFormatting>
  <conditionalFormatting sqref="E43:M43 AB43:AF43">
    <cfRule type="expression" dxfId="3301" priority="186">
      <formula>E$9&gt;=20/24</formula>
    </cfRule>
    <cfRule type="expression" dxfId="3300" priority="187">
      <formula>AND(E$9&gt;=14/24,E$9&lt;20/24)</formula>
    </cfRule>
    <cfRule type="expression" dxfId="3299" priority="188">
      <formula>AND(E$9&gt;=8/24,E$9&lt;14/24)</formula>
    </cfRule>
    <cfRule type="expression" dxfId="3298" priority="189">
      <formula>E$9&lt;8/24</formula>
    </cfRule>
  </conditionalFormatting>
  <conditionalFormatting sqref="E43:M45 AE43:AF45 AB43:AD43">
    <cfRule type="expression" dxfId="3297" priority="185">
      <formula>E43&gt;$AG43</formula>
    </cfRule>
  </conditionalFormatting>
  <conditionalFormatting sqref="C86:AF86 C57:AF59 C62:AF71 C90:AF96 AD12:AF14 AD16:AF16 T25:AF25 C36:AF36 C73:AF76">
    <cfRule type="expression" dxfId="3296" priority="181">
      <formula>C$9&gt;=20/24</formula>
    </cfRule>
    <cfRule type="expression" dxfId="3295" priority="182">
      <formula>AND(C$9&gt;=14/24,C$9&lt;20/24)</formula>
    </cfRule>
    <cfRule type="expression" dxfId="3294" priority="183">
      <formula>AND(C$9&gt;=8/24,C$9&lt;14/24)</formula>
    </cfRule>
    <cfRule type="expression" dxfId="3293" priority="184">
      <formula>C$9&lt;8/24</formula>
    </cfRule>
  </conditionalFormatting>
  <conditionalFormatting sqref="AE46:AF47 C55:AF55 C36:S37 C57:AF59 T25:AF25 T36:AF36">
    <cfRule type="expression" dxfId="3292" priority="176">
      <formula>C25&gt;$AG25</formula>
    </cfRule>
  </conditionalFormatting>
  <conditionalFormatting sqref="AD15:AF15">
    <cfRule type="expression" dxfId="3291" priority="168">
      <formula>AD$9&gt;=20/24</formula>
    </cfRule>
    <cfRule type="expression" dxfId="3290" priority="169">
      <formula>AND(AD$9&gt;=14/24,AD$9&lt;20/24)</formula>
    </cfRule>
    <cfRule type="expression" dxfId="3289" priority="170">
      <formula>AND(AD$9&gt;=8/24,AD$9&lt;14/24)</formula>
    </cfRule>
    <cfRule type="expression" dxfId="3288" priority="171">
      <formula>AD$9&lt;8/24</formula>
    </cfRule>
  </conditionalFormatting>
  <conditionalFormatting sqref="AE48:AF54">
    <cfRule type="expression" dxfId="3287" priority="155">
      <formula>AE$9&gt;=20/24</formula>
    </cfRule>
    <cfRule type="expression" dxfId="3286" priority="156">
      <formula>AND(AE$9&gt;=14/24,AE$9&lt;20/24)</formula>
    </cfRule>
    <cfRule type="expression" dxfId="3285" priority="157">
      <formula>AND(AE$9&gt;=8/24,AE$9&lt;14/24)</formula>
    </cfRule>
    <cfRule type="expression" dxfId="3284" priority="158">
      <formula>AE$9&lt;8/24</formula>
    </cfRule>
  </conditionalFormatting>
  <conditionalFormatting sqref="AE48:AF54">
    <cfRule type="expression" dxfId="3283" priority="154">
      <formula>AE48&gt;$AG48</formula>
    </cfRule>
  </conditionalFormatting>
  <conditionalFormatting sqref="N43:AA47 AB44:AD47">
    <cfRule type="expression" dxfId="3282" priority="150">
      <formula>N$9&gt;=20/24</formula>
    </cfRule>
    <cfRule type="expression" dxfId="3281" priority="151">
      <formula>AND(N$9&gt;=14/24,N$9&lt;20/24)</formula>
    </cfRule>
    <cfRule type="expression" dxfId="3280" priority="152">
      <formula>AND(N$9&gt;=8/24,N$9&lt;14/24)</formula>
    </cfRule>
    <cfRule type="expression" dxfId="3279" priority="153">
      <formula>N$9&lt;8/24</formula>
    </cfRule>
  </conditionalFormatting>
  <conditionalFormatting sqref="N43:AA47 AB44:AD47">
    <cfRule type="expression" dxfId="3278" priority="149">
      <formula>N43&gt;$AG43</formula>
    </cfRule>
  </conditionalFormatting>
  <conditionalFormatting sqref="C16:S30 C11:AF14 T16:AF24 C32:AF32 T26:AF30">
    <cfRule type="expression" dxfId="3277" priority="141">
      <formula>C$9&gt;=20/24</formula>
    </cfRule>
    <cfRule type="expression" dxfId="3276" priority="142">
      <formula>AND(C$9&gt;=14/24,C$9&lt;20/24)</formula>
    </cfRule>
    <cfRule type="expression" dxfId="3275" priority="143">
      <formula>AND(C$9&gt;=8/24,C$9&lt;14/24)</formula>
    </cfRule>
    <cfRule type="expression" dxfId="3274" priority="144">
      <formula>C$9&lt;8/24</formula>
    </cfRule>
  </conditionalFormatting>
  <conditionalFormatting sqref="C60 C33:AF33">
    <cfRule type="expression" dxfId="3273" priority="137">
      <formula>C$9&gt;=20/24</formula>
    </cfRule>
    <cfRule type="expression" dxfId="3272" priority="138">
      <formula>AND(C$9&gt;=14/24,C$9&lt;20/24)</formula>
    </cfRule>
    <cfRule type="expression" dxfId="3271" priority="139">
      <formula>AND(C$9&gt;=8/24,C$9&lt;14/24)</formula>
    </cfRule>
    <cfRule type="expression" dxfId="3270" priority="140">
      <formula>C$9&lt;8/24</formula>
    </cfRule>
  </conditionalFormatting>
  <conditionalFormatting sqref="C17:S30 T17:AF24 C32:AF33 T26:AF30">
    <cfRule type="expression" dxfId="3269" priority="136">
      <formula>C17&gt;$AG17</formula>
    </cfRule>
  </conditionalFormatting>
  <conditionalFormatting sqref="C35:AF35">
    <cfRule type="expression" dxfId="3268" priority="132">
      <formula>C$9&gt;=20/24</formula>
    </cfRule>
    <cfRule type="expression" dxfId="3267" priority="133">
      <formula>AND(C$9&gt;=14/24,C$9&lt;20/24)</formula>
    </cfRule>
    <cfRule type="expression" dxfId="3266" priority="134">
      <formula>AND(C$9&gt;=8/24,C$9&lt;14/24)</formula>
    </cfRule>
    <cfRule type="expression" dxfId="3265" priority="135">
      <formula>C$9&lt;8/24</formula>
    </cfRule>
  </conditionalFormatting>
  <conditionalFormatting sqref="C42 C69:N69 C15:AF15">
    <cfRule type="expression" dxfId="3264" priority="128">
      <formula>C$9&gt;=20/24</formula>
    </cfRule>
    <cfRule type="expression" dxfId="3263" priority="129">
      <formula>AND(C$9&gt;=14/24,C$9&lt;20/24)</formula>
    </cfRule>
    <cfRule type="expression" dxfId="3262" priority="130">
      <formula>AND(C$9&gt;=8/24,C$9&lt;14/24)</formula>
    </cfRule>
    <cfRule type="expression" dxfId="3261" priority="131">
      <formula>C$9&lt;8/24</formula>
    </cfRule>
  </conditionalFormatting>
  <conditionalFormatting sqref="C61 C34:AF34">
    <cfRule type="expression" dxfId="3260" priority="124">
      <formula>C$9&gt;=20/24</formula>
    </cfRule>
    <cfRule type="expression" dxfId="3259" priority="125">
      <formula>AND(C$9&gt;=14/24,C$9&lt;20/24)</formula>
    </cfRule>
    <cfRule type="expression" dxfId="3258" priority="126">
      <formula>AND(C$9&gt;=8/24,C$9&lt;14/24)</formula>
    </cfRule>
    <cfRule type="expression" dxfId="3257" priority="127">
      <formula>C$9&lt;8/24</formula>
    </cfRule>
  </conditionalFormatting>
  <conditionalFormatting sqref="C34:AF34">
    <cfRule type="expression" dxfId="3256" priority="123">
      <formula>C34&gt;$AG34</formula>
    </cfRule>
  </conditionalFormatting>
  <conditionalFormatting sqref="C44:D45">
    <cfRule type="expression" dxfId="3255" priority="119">
      <formula>C$9&gt;=20/24</formula>
    </cfRule>
    <cfRule type="expression" dxfId="3254" priority="120">
      <formula>AND(C$9&gt;=14/24,C$9&lt;20/24)</formula>
    </cfRule>
    <cfRule type="expression" dxfId="3253" priority="121">
      <formula>AND(C$9&gt;=8/24,C$9&lt;14/24)</formula>
    </cfRule>
    <cfRule type="expression" dxfId="3252" priority="122">
      <formula>C$9&lt;8/24</formula>
    </cfRule>
  </conditionalFormatting>
  <conditionalFormatting sqref="C43:D43">
    <cfRule type="expression" dxfId="3251" priority="115">
      <formula>C$9&gt;=20/24</formula>
    </cfRule>
    <cfRule type="expression" dxfId="3250" priority="116">
      <formula>AND(C$9&gt;=14/24,C$9&lt;20/24)</formula>
    </cfRule>
    <cfRule type="expression" dxfId="3249" priority="117">
      <formula>AND(C$9&gt;=8/24,C$9&lt;14/24)</formula>
    </cfRule>
    <cfRule type="expression" dxfId="3248" priority="118">
      <formula>C$9&lt;8/24</formula>
    </cfRule>
  </conditionalFormatting>
  <conditionalFormatting sqref="C43:D45">
    <cfRule type="expression" dxfId="3247" priority="114">
      <formula>C43&gt;$AG43</formula>
    </cfRule>
  </conditionalFormatting>
  <conditionalFormatting sqref="C46:M47">
    <cfRule type="expression" dxfId="3246" priority="109">
      <formula>C46&gt;$AG46</formula>
    </cfRule>
  </conditionalFormatting>
  <conditionalFormatting sqref="C48:AD54">
    <cfRule type="expression" dxfId="3245" priority="105">
      <formula>C$9&gt;=20/24</formula>
    </cfRule>
    <cfRule type="expression" dxfId="3244" priority="106">
      <formula>AND(C$9&gt;=14/24,C$9&lt;20/24)</formula>
    </cfRule>
    <cfRule type="expression" dxfId="3243" priority="107">
      <formula>AND(C$9&gt;=8/24,C$9&lt;14/24)</formula>
    </cfRule>
    <cfRule type="expression" dxfId="3242" priority="108">
      <formula>C$9&lt;8/24</formula>
    </cfRule>
  </conditionalFormatting>
  <conditionalFormatting sqref="C48:AD54">
    <cfRule type="expression" dxfId="3241" priority="104">
      <formula>C48&gt;$AG48</formula>
    </cfRule>
  </conditionalFormatting>
  <conditionalFormatting sqref="B99:B105 B11 B78:AF78 B87:AF87">
    <cfRule type="expression" dxfId="3240" priority="91">
      <formula>B$9&gt;=20/24</formula>
    </cfRule>
    <cfRule type="expression" dxfId="3239" priority="92">
      <formula>AND(B$9&gt;=14/24,B$9&lt;20/24)</formula>
    </cfRule>
    <cfRule type="expression" dxfId="3238" priority="93">
      <formula>AND(B$9&gt;=8/24,B$9&lt;14/24)</formula>
    </cfRule>
    <cfRule type="expression" dxfId="3237" priority="94">
      <formula>B$9&lt;8/24</formula>
    </cfRule>
  </conditionalFormatting>
  <conditionalFormatting sqref="B37">
    <cfRule type="expression" dxfId="3236" priority="87">
      <formula>B$9&gt;=20/24</formula>
    </cfRule>
    <cfRule type="expression" dxfId="3235" priority="88">
      <formula>AND(B$9&gt;=14/24,B$9&lt;20/24)</formula>
    </cfRule>
    <cfRule type="expression" dxfId="3234" priority="89">
      <formula>AND(B$9&gt;=8/24,B$9&lt;14/24)</formula>
    </cfRule>
    <cfRule type="expression" dxfId="3233" priority="90">
      <formula>B$9&lt;8/24</formula>
    </cfRule>
  </conditionalFormatting>
  <conditionalFormatting sqref="B37 B11">
    <cfRule type="expression" dxfId="3232" priority="86">
      <formula>B11&gt;$AG11</formula>
    </cfRule>
  </conditionalFormatting>
  <conditionalFormatting sqref="B89">
    <cfRule type="expression" dxfId="3231" priority="82">
      <formula>B$9&gt;=20/24</formula>
    </cfRule>
    <cfRule type="expression" dxfId="3230" priority="83">
      <formula>AND(B$9&gt;=14/24,B$9&lt;20/24)</formula>
    </cfRule>
    <cfRule type="expression" dxfId="3229" priority="84">
      <formula>AND(B$9&gt;=8/24,B$9&lt;14/24)</formula>
    </cfRule>
    <cfRule type="expression" dxfId="3228" priority="85">
      <formula>B$9&lt;8/24</formula>
    </cfRule>
  </conditionalFormatting>
  <conditionalFormatting sqref="B44:B45 B36 B61">
    <cfRule type="expression" dxfId="3227" priority="78">
      <formula>B$9&gt;=20/24</formula>
    </cfRule>
    <cfRule type="expression" dxfId="3226" priority="79">
      <formula>AND(B$9&gt;=14/24,B$9&lt;20/24)</formula>
    </cfRule>
    <cfRule type="expression" dxfId="3225" priority="80">
      <formula>AND(B$9&gt;=8/24,B$9&lt;14/24)</formula>
    </cfRule>
    <cfRule type="expression" dxfId="3224" priority="81">
      <formula>B$9&lt;8/24</formula>
    </cfRule>
  </conditionalFormatting>
  <conditionalFormatting sqref="B43">
    <cfRule type="expression" dxfId="3223" priority="74">
      <formula>B$9&gt;=20/24</formula>
    </cfRule>
    <cfRule type="expression" dxfId="3222" priority="75">
      <formula>AND(B$9&gt;=14/24,B$9&lt;20/24)</formula>
    </cfRule>
    <cfRule type="expression" dxfId="3221" priority="76">
      <formula>AND(B$9&gt;=8/24,B$9&lt;14/24)</formula>
    </cfRule>
    <cfRule type="expression" dxfId="3220" priority="77">
      <formula>B$9&lt;8/24</formula>
    </cfRule>
  </conditionalFormatting>
  <conditionalFormatting sqref="B43:B45 B36">
    <cfRule type="expression" dxfId="3219" priority="73">
      <formula>B36&gt;$AG36</formula>
    </cfRule>
  </conditionalFormatting>
  <conditionalFormatting sqref="B90:B96 B12:B14 B16 B28:B30 B18:B22 B24:B26 B57:B60 B62:B71 B73:B77 B79:AF79 B86 C60:AG60 C77:AG77 B88:AF88 B32">
    <cfRule type="expression" dxfId="3218" priority="69">
      <formula>B$9&gt;=20/24</formula>
    </cfRule>
    <cfRule type="expression" dxfId="3217" priority="70">
      <formula>AND(B$9&gt;=14/24,B$9&lt;20/24)</formula>
    </cfRule>
    <cfRule type="expression" dxfId="3216" priority="71">
      <formula>AND(B$9&gt;=8/24,B$9&lt;14/24)</formula>
    </cfRule>
    <cfRule type="expression" dxfId="3215" priority="72">
      <formula>B$9&lt;8/24</formula>
    </cfRule>
  </conditionalFormatting>
  <conditionalFormatting sqref="B33">
    <cfRule type="expression" dxfId="3214" priority="65">
      <formula>B$9&gt;=20/24</formula>
    </cfRule>
    <cfRule type="expression" dxfId="3213" priority="66">
      <formula>AND(B$9&gt;=14/24,B$9&lt;20/24)</formula>
    </cfRule>
    <cfRule type="expression" dxfId="3212" priority="67">
      <formula>AND(B$9&gt;=8/24,B$9&lt;14/24)</formula>
    </cfRule>
    <cfRule type="expression" dxfId="3211" priority="68">
      <formula>B$9&lt;8/24</formula>
    </cfRule>
  </conditionalFormatting>
  <conditionalFormatting sqref="B46:B47 B18:B22 B24:B30 B55:B60 B38:AG38 C56:AG56 C60:AG60 B32:B33">
    <cfRule type="expression" dxfId="3210" priority="64">
      <formula>B18&gt;$AG18</formula>
    </cfRule>
  </conditionalFormatting>
  <conditionalFormatting sqref="B35">
    <cfRule type="expression" dxfId="3209" priority="60">
      <formula>B$9&gt;=20/24</formula>
    </cfRule>
    <cfRule type="expression" dxfId="3208" priority="61">
      <formula>AND(B$9&gt;=14/24,B$9&lt;20/24)</formula>
    </cfRule>
    <cfRule type="expression" dxfId="3207" priority="62">
      <formula>AND(B$9&gt;=8/24,B$9&lt;14/24)</formula>
    </cfRule>
    <cfRule type="expression" dxfId="3206" priority="63">
      <formula>B$9&lt;8/24</formula>
    </cfRule>
  </conditionalFormatting>
  <conditionalFormatting sqref="B15">
    <cfRule type="expression" dxfId="3205" priority="56">
      <formula>B$9&gt;=20/24</formula>
    </cfRule>
    <cfRule type="expression" dxfId="3204" priority="57">
      <formula>AND(B$9&gt;=14/24,B$9&lt;20/24)</formula>
    </cfRule>
    <cfRule type="expression" dxfId="3203" priority="58">
      <formula>AND(B$9&gt;=8/24,B$9&lt;14/24)</formula>
    </cfRule>
    <cfRule type="expression" dxfId="3202" priority="59">
      <formula>B$9&lt;8/24</formula>
    </cfRule>
  </conditionalFormatting>
  <conditionalFormatting sqref="B34">
    <cfRule type="expression" dxfId="3201" priority="52">
      <formula>B$9&gt;=20/24</formula>
    </cfRule>
    <cfRule type="expression" dxfId="3200" priority="53">
      <formula>AND(B$9&gt;=14/24,B$9&lt;20/24)</formula>
    </cfRule>
    <cfRule type="expression" dxfId="3199" priority="54">
      <formula>AND(B$9&gt;=8/24,B$9&lt;14/24)</formula>
    </cfRule>
    <cfRule type="expression" dxfId="3198" priority="55">
      <formula>B$9&lt;8/24</formula>
    </cfRule>
  </conditionalFormatting>
  <conditionalFormatting sqref="B34">
    <cfRule type="expression" dxfId="3197" priority="51">
      <formula>B34&gt;$AG34</formula>
    </cfRule>
  </conditionalFormatting>
  <conditionalFormatting sqref="B48:B54">
    <cfRule type="expression" dxfId="3196" priority="47">
      <formula>B$9&gt;=20/24</formula>
    </cfRule>
    <cfRule type="expression" dxfId="3195" priority="48">
      <formula>AND(B$9&gt;=14/24,B$9&lt;20/24)</formula>
    </cfRule>
    <cfRule type="expression" dxfId="3194" priority="49">
      <formula>AND(B$9&gt;=8/24,B$9&lt;14/24)</formula>
    </cfRule>
    <cfRule type="expression" dxfId="3193" priority="50">
      <formula>B$9&lt;8/24</formula>
    </cfRule>
  </conditionalFormatting>
  <conditionalFormatting sqref="B48:B54">
    <cfRule type="expression" dxfId="3192" priority="46">
      <formula>B48&gt;$AG48</formula>
    </cfRule>
  </conditionalFormatting>
  <conditionalFormatting sqref="B27">
    <cfRule type="expression" dxfId="3191" priority="42">
      <formula>B$9&gt;=20/24</formula>
    </cfRule>
    <cfRule type="expression" dxfId="3190" priority="43">
      <formula>AND(B$9&gt;=14/24,B$9&lt;20/24)</formula>
    </cfRule>
    <cfRule type="expression" dxfId="3189" priority="44">
      <formula>AND(B$9&gt;=8/24,B$9&lt;14/24)</formula>
    </cfRule>
    <cfRule type="expression" dxfId="3188" priority="45">
      <formula>B$9&lt;8/24</formula>
    </cfRule>
  </conditionalFormatting>
  <conditionalFormatting sqref="B17 B23">
    <cfRule type="expression" dxfId="3187" priority="38">
      <formula>B$9&gt;=20/24</formula>
    </cfRule>
    <cfRule type="expression" dxfId="3186" priority="39">
      <formula>AND(B$9&gt;=14/24,B$9&lt;20/24)</formula>
    </cfRule>
    <cfRule type="expression" dxfId="3185" priority="40">
      <formula>AND(B$9&gt;=8/24,B$9&lt;14/24)</formula>
    </cfRule>
    <cfRule type="expression" dxfId="3184" priority="41">
      <formula>B$9&lt;8/24</formula>
    </cfRule>
  </conditionalFormatting>
  <conditionalFormatting sqref="B17 B23">
    <cfRule type="expression" dxfId="3183" priority="37">
      <formula>B17&gt;$AG17</formula>
    </cfRule>
  </conditionalFormatting>
  <conditionalFormatting sqref="A34">
    <cfRule type="expression" dxfId="3182" priority="36">
      <formula>$AH34=0</formula>
    </cfRule>
  </conditionalFormatting>
  <conditionalFormatting sqref="B72:AF72">
    <cfRule type="expression" dxfId="3181" priority="32">
      <formula>B$9&gt;=20/24</formula>
    </cfRule>
    <cfRule type="expression" dxfId="3180" priority="33">
      <formula>AND(B$9&gt;=14/24,B$9&lt;20/24)</formula>
    </cfRule>
    <cfRule type="expression" dxfId="3179" priority="34">
      <formula>AND(B$9&gt;=8/24,B$9&lt;14/24)</formula>
    </cfRule>
    <cfRule type="expression" dxfId="3178" priority="35">
      <formula>B$9&lt;8/24</formula>
    </cfRule>
  </conditionalFormatting>
  <conditionalFormatting sqref="B81:AF85">
    <cfRule type="expression" dxfId="3177" priority="28">
      <formula>B$9&gt;=20/24</formula>
    </cfRule>
    <cfRule type="expression" dxfId="3176" priority="29">
      <formula>AND(B$9&gt;=14/24,B$9&lt;20/24)</formula>
    </cfRule>
    <cfRule type="expression" dxfId="3175" priority="30">
      <formula>AND(B$9&gt;=8/24,B$9&lt;14/24)</formula>
    </cfRule>
    <cfRule type="expression" dxfId="3174" priority="31">
      <formula>B$9&lt;8/24</formula>
    </cfRule>
  </conditionalFormatting>
  <conditionalFormatting sqref="AL35 AL7:AL30 AL32">
    <cfRule type="iconSet" priority="247">
      <iconSet iconSet="3TrafficLights2" reverse="1">
        <cfvo type="percent" val="0"/>
        <cfvo type="num" val="1"/>
        <cfvo type="num" val="1"/>
      </iconSet>
    </cfRule>
  </conditionalFormatting>
  <conditionalFormatting sqref="C39:AF41">
    <cfRule type="expression" dxfId="3173" priority="24">
      <formula>C$9&gt;=20/24</formula>
    </cfRule>
    <cfRule type="expression" dxfId="3172" priority="25">
      <formula>AND(C$9&gt;=14/24,C$9&lt;20/24)</formula>
    </cfRule>
    <cfRule type="expression" dxfId="3171" priority="26">
      <formula>AND(C$9&gt;=8/24,C$9&lt;14/24)</formula>
    </cfRule>
    <cfRule type="expression" dxfId="3170" priority="27">
      <formula>C$9&lt;8/24</formula>
    </cfRule>
  </conditionalFormatting>
  <conditionalFormatting sqref="C39:AF41">
    <cfRule type="expression" dxfId="3169" priority="23">
      <formula>C39&gt;$AG39</formula>
    </cfRule>
  </conditionalFormatting>
  <conditionalFormatting sqref="B39:B42 C42:AG42">
    <cfRule type="expression" dxfId="3168" priority="19">
      <formula>B$9&gt;=20/24</formula>
    </cfRule>
    <cfRule type="expression" dxfId="3167" priority="20">
      <formula>AND(B$9&gt;=14/24,B$9&lt;20/24)</formula>
    </cfRule>
    <cfRule type="expression" dxfId="3166" priority="21">
      <formula>AND(B$9&gt;=8/24,B$9&lt;14/24)</formula>
    </cfRule>
    <cfRule type="expression" dxfId="3165" priority="22">
      <formula>B$9&lt;8/24</formula>
    </cfRule>
  </conditionalFormatting>
  <conditionalFormatting sqref="B39:B42 C42:AG42">
    <cfRule type="expression" dxfId="3164" priority="18">
      <formula>B39&gt;$AG39</formula>
    </cfRule>
  </conditionalFormatting>
  <conditionalFormatting sqref="C97:AF97">
    <cfRule type="expression" dxfId="3163" priority="14">
      <formula>C$9&gt;=20/24</formula>
    </cfRule>
    <cfRule type="expression" dxfId="3162" priority="15">
      <formula>AND(C$9&gt;=14/24,C$9&lt;20/24)</formula>
    </cfRule>
    <cfRule type="expression" dxfId="3161" priority="16">
      <formula>AND(C$9&gt;=8/24,C$9&lt;14/24)</formula>
    </cfRule>
    <cfRule type="expression" dxfId="3160" priority="17">
      <formula>C$9&lt;8/24</formula>
    </cfRule>
  </conditionalFormatting>
  <conditionalFormatting sqref="B97">
    <cfRule type="expression" dxfId="3159" priority="10">
      <formula>B$9&gt;=20/24</formula>
    </cfRule>
    <cfRule type="expression" dxfId="3158" priority="11">
      <formula>AND(B$9&gt;=14/24,B$9&lt;20/24)</formula>
    </cfRule>
    <cfRule type="expression" dxfId="3157" priority="12">
      <formula>AND(B$9&gt;=8/24,B$9&lt;14/24)</formula>
    </cfRule>
    <cfRule type="expression" dxfId="3156" priority="13">
      <formula>B$9&lt;8/24</formula>
    </cfRule>
  </conditionalFormatting>
  <conditionalFormatting sqref="AL31">
    <cfRule type="iconSet" priority="9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3155" priority="3">
      <formula>$AH31=0</formula>
    </cfRule>
  </conditionalFormatting>
  <conditionalFormatting sqref="A80">
    <cfRule type="expression" dxfId="3154" priority="1">
      <formula>$AH80=0</formula>
    </cfRule>
  </conditionalFormatting>
  <conditionalFormatting sqref="A77">
    <cfRule type="expression" dxfId="3153" priority="2">
      <formula>$AH77=0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DCCF79CC-2886-4592-BCCD-0BF55B3BFBCD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" id="{CF0E210C-12E8-45C7-B845-A316BB98FA89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" id="{D45CCAB6-5741-4BEB-889A-9ECD7A30E41C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" id="{C8363F44-B8B5-40F2-8313-E7F7BAF5E537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4" id="{DAD85033-A6AD-42B1-A583-4821D003BFBD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2"/>
  <sheetViews>
    <sheetView zoomScale="90" zoomScaleNormal="9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N63" sqref="N63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2079/02/19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("&amp;ROUND(B237,0)&amp;" MW)"&amp;"    IPP   = "&amp;ROUND(B232,0)&amp;" MW     NEA RoR = "&amp;ROUND(B233,0)&amp;" MWImport   = "&amp;ROUND(B235,0)&amp;" MW      KL1+KL2+K3 = "&amp;ROUND(B234,0) &amp;" MW    EXPORT = "&amp;ROUND(B236,0)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5.6</v>
      </c>
      <c r="C5" s="32">
        <f t="shared" si="0"/>
        <v>4</v>
      </c>
      <c r="D5" s="32">
        <f t="shared" si="0"/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0</v>
      </c>
      <c r="O5" s="32">
        <f t="shared" si="0"/>
        <v>0</v>
      </c>
      <c r="P5" s="32">
        <f t="shared" si="0"/>
        <v>0</v>
      </c>
      <c r="Q5" s="32">
        <f t="shared" si="0"/>
        <v>27.1</v>
      </c>
      <c r="R5" s="32">
        <f t="shared" si="0"/>
        <v>335.4</v>
      </c>
      <c r="S5" s="32">
        <f t="shared" si="0"/>
        <v>330.4</v>
      </c>
      <c r="T5" s="32">
        <f t="shared" si="0"/>
        <v>327.7</v>
      </c>
      <c r="U5" s="32">
        <f t="shared" si="0"/>
        <v>27.6</v>
      </c>
      <c r="V5" s="32">
        <f t="shared" si="0"/>
        <v>27.6</v>
      </c>
      <c r="W5" s="32">
        <f t="shared" si="0"/>
        <v>27.6</v>
      </c>
      <c r="X5" s="32">
        <f t="shared" si="0"/>
        <v>27.6</v>
      </c>
      <c r="Y5" s="32">
        <f t="shared" si="0"/>
        <v>45</v>
      </c>
      <c r="Z5" s="32">
        <f t="shared" si="0"/>
        <v>58</v>
      </c>
      <c r="AA5" s="32">
        <f t="shared" si="0"/>
        <v>81.899999999999991</v>
      </c>
      <c r="AB5" s="32">
        <f t="shared" si="0"/>
        <v>81.899999999999991</v>
      </c>
      <c r="AC5" s="32">
        <f t="shared" si="0"/>
        <v>80.8</v>
      </c>
      <c r="AD5" s="32">
        <f t="shared" si="0"/>
        <v>78.8</v>
      </c>
      <c r="AE5" s="32">
        <f t="shared" si="0"/>
        <v>78.2</v>
      </c>
      <c r="AF5" s="32">
        <f>B72</f>
        <v>7.2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"&amp;ROUND(B237,0)&amp;"MW at "&amp;TRUNC(B238*24,0)&amp;":"&amp;ROUND((B238*24-TRUNC(B238*24,0))*60,0)&amp;"hr at "&amp;ROUND(B239,1)&amp;"Hz     "&amp;A229&amp;" "&amp;ROUND(B229,0)&amp;"MW at "&amp;TRUNC(C229*24,0)&amp;":"&amp;ROUND((C229*24-TRUNC(C229*24,0))*6,0)&amp;"0hr"</f>
        <v>Evening Peak 0MW at 0:0hr at 0Hz     Morning Peak 1728MW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Load=1597</v>
      </c>
      <c r="B7" s="37">
        <f>B79</f>
        <v>1735.7400000000002</v>
      </c>
      <c r="C7" s="37">
        <f t="shared" ref="C7:AF7" si="1">C79</f>
        <v>1730.5399999999997</v>
      </c>
      <c r="D7" s="37">
        <f t="shared" si="1"/>
        <v>1722.3400000000001</v>
      </c>
      <c r="E7" s="37">
        <f t="shared" si="1"/>
        <v>1694.04</v>
      </c>
      <c r="F7" s="37">
        <f t="shared" si="1"/>
        <v>1673.1399999999999</v>
      </c>
      <c r="G7" s="37">
        <f t="shared" si="1"/>
        <v>1671.84</v>
      </c>
      <c r="H7" s="37">
        <f t="shared" si="1"/>
        <v>1664.64</v>
      </c>
      <c r="I7" s="37">
        <f t="shared" si="1"/>
        <v>1665.5400000000002</v>
      </c>
      <c r="J7" s="37">
        <f t="shared" si="1"/>
        <v>1668.8400000000001</v>
      </c>
      <c r="K7" s="37">
        <f t="shared" si="1"/>
        <v>1675.64</v>
      </c>
      <c r="L7" s="37">
        <f t="shared" si="1"/>
        <v>1723.5400000000002</v>
      </c>
      <c r="M7" s="37">
        <f t="shared" si="1"/>
        <v>1727.94</v>
      </c>
      <c r="N7" s="37">
        <f t="shared" si="1"/>
        <v>1722.44</v>
      </c>
      <c r="O7" s="37">
        <f t="shared" si="1"/>
        <v>1649.2399999999998</v>
      </c>
      <c r="P7" s="37">
        <f t="shared" si="1"/>
        <v>1724.14</v>
      </c>
      <c r="Q7" s="37">
        <f t="shared" si="1"/>
        <v>1721.54</v>
      </c>
      <c r="R7" s="37">
        <f t="shared" si="1"/>
        <v>1726.54</v>
      </c>
      <c r="S7" s="37">
        <f t="shared" si="1"/>
        <v>2021.44</v>
      </c>
      <c r="T7" s="37">
        <f t="shared" si="1"/>
        <v>2016.44</v>
      </c>
      <c r="U7" s="37">
        <f t="shared" si="1"/>
        <v>1989.14</v>
      </c>
      <c r="V7" s="37">
        <f t="shared" si="1"/>
        <v>1685.84</v>
      </c>
      <c r="W7" s="37">
        <f t="shared" si="1"/>
        <v>1685.84</v>
      </c>
      <c r="X7" s="37">
        <f t="shared" si="1"/>
        <v>1753.54</v>
      </c>
      <c r="Y7" s="37">
        <f t="shared" si="1"/>
        <v>1753.54</v>
      </c>
      <c r="Z7" s="37">
        <f t="shared" si="1"/>
        <v>1699.94</v>
      </c>
      <c r="AA7" s="37">
        <f t="shared" si="1"/>
        <v>1737.94</v>
      </c>
      <c r="AB7" s="37">
        <f t="shared" si="1"/>
        <v>1818.04</v>
      </c>
      <c r="AC7" s="37">
        <f t="shared" si="1"/>
        <v>1805.54</v>
      </c>
      <c r="AD7" s="37">
        <f t="shared" si="1"/>
        <v>1804.4399999999998</v>
      </c>
      <c r="AE7" s="37">
        <f t="shared" si="1"/>
        <v>1719.9399999999998</v>
      </c>
      <c r="AF7" s="37">
        <f t="shared" si="1"/>
        <v>1597.14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179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49">
        <v>53.1</v>
      </c>
      <c r="C11" s="49">
        <v>53.1</v>
      </c>
      <c r="D11" s="49">
        <v>53.1</v>
      </c>
      <c r="E11" s="49">
        <v>53.1</v>
      </c>
      <c r="F11" s="49">
        <v>53.2</v>
      </c>
      <c r="G11" s="49">
        <v>53.1</v>
      </c>
      <c r="H11" s="49">
        <v>53.1</v>
      </c>
      <c r="I11" s="49">
        <v>53.1</v>
      </c>
      <c r="J11" s="49">
        <v>53.1</v>
      </c>
      <c r="K11" s="49">
        <v>53.1</v>
      </c>
      <c r="L11" s="49">
        <v>53.1</v>
      </c>
      <c r="M11" s="49">
        <v>53.1</v>
      </c>
      <c r="N11" s="49">
        <v>53.1</v>
      </c>
      <c r="O11" s="49">
        <v>53.1</v>
      </c>
      <c r="P11" s="49">
        <v>53.1</v>
      </c>
      <c r="Q11" s="50">
        <v>53</v>
      </c>
      <c r="R11" s="50">
        <v>53</v>
      </c>
      <c r="S11" s="52">
        <v>53</v>
      </c>
      <c r="T11" s="52">
        <v>53</v>
      </c>
      <c r="U11" s="52">
        <v>53</v>
      </c>
      <c r="V11" s="52">
        <v>53</v>
      </c>
      <c r="W11" s="52">
        <v>53</v>
      </c>
      <c r="X11" s="52">
        <v>53</v>
      </c>
      <c r="Y11" s="52">
        <v>53</v>
      </c>
      <c r="Z11" s="52">
        <v>53</v>
      </c>
      <c r="AA11" s="52">
        <v>53</v>
      </c>
      <c r="AB11" s="52">
        <v>53</v>
      </c>
      <c r="AC11" s="52">
        <v>53</v>
      </c>
      <c r="AD11" s="52">
        <v>53</v>
      </c>
      <c r="AE11" s="52">
        <v>53</v>
      </c>
      <c r="AF11" s="52">
        <v>53</v>
      </c>
      <c r="AG11" s="133">
        <v>52.4</v>
      </c>
      <c r="AH11" s="54">
        <f>MAX(B11:AF11)</f>
        <v>53.2</v>
      </c>
      <c r="AI11" s="55">
        <f>MIN(B11:AF11)</f>
        <v>53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50.3</v>
      </c>
      <c r="C12" s="50">
        <v>50.1</v>
      </c>
      <c r="D12" s="50">
        <v>50.3</v>
      </c>
      <c r="E12" s="50">
        <v>50.3</v>
      </c>
      <c r="F12" s="50">
        <v>50.7</v>
      </c>
      <c r="G12" s="50">
        <v>50.3</v>
      </c>
      <c r="H12" s="50">
        <v>50.3</v>
      </c>
      <c r="I12" s="50">
        <v>50.3</v>
      </c>
      <c r="J12" s="50">
        <v>50.3</v>
      </c>
      <c r="K12" s="50">
        <v>50.3</v>
      </c>
      <c r="L12" s="50">
        <v>50.3</v>
      </c>
      <c r="M12" s="50">
        <v>50.3</v>
      </c>
      <c r="N12" s="50">
        <v>50.3</v>
      </c>
      <c r="O12" s="50">
        <v>50.3</v>
      </c>
      <c r="P12" s="50">
        <v>50.3</v>
      </c>
      <c r="Q12" s="50">
        <v>50.3</v>
      </c>
      <c r="R12" s="50">
        <v>50.4</v>
      </c>
      <c r="S12" s="50">
        <v>50.4</v>
      </c>
      <c r="T12" s="50">
        <v>50.4</v>
      </c>
      <c r="U12" s="50">
        <v>50.4</v>
      </c>
      <c r="V12" s="50">
        <v>50.4</v>
      </c>
      <c r="W12" s="50">
        <v>50.4</v>
      </c>
      <c r="X12" s="50">
        <v>50.4</v>
      </c>
      <c r="Y12" s="50">
        <v>50.4</v>
      </c>
      <c r="Z12" s="50">
        <v>50.4</v>
      </c>
      <c r="AA12" s="50">
        <v>50.4</v>
      </c>
      <c r="AB12" s="50">
        <v>50.4</v>
      </c>
      <c r="AC12" s="50">
        <v>50.4</v>
      </c>
      <c r="AD12" s="50">
        <v>50.4</v>
      </c>
      <c r="AE12" s="50">
        <v>50.4</v>
      </c>
      <c r="AF12" s="50">
        <v>0</v>
      </c>
      <c r="AG12" s="134">
        <v>50</v>
      </c>
      <c r="AH12" s="54">
        <f t="shared" ref="AH12:AH79" si="2">MAX(B12:AF12)</f>
        <v>50.7</v>
      </c>
      <c r="AI12" s="55">
        <f t="shared" ref="AI12:AI79" si="3">MIN(B12:AF12)</f>
        <v>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46</v>
      </c>
      <c r="C13" s="50">
        <v>46</v>
      </c>
      <c r="D13" s="50">
        <v>46</v>
      </c>
      <c r="E13" s="50">
        <v>46</v>
      </c>
      <c r="F13" s="50">
        <v>46</v>
      </c>
      <c r="G13" s="50">
        <v>46</v>
      </c>
      <c r="H13" s="50">
        <v>46</v>
      </c>
      <c r="I13" s="50">
        <v>46</v>
      </c>
      <c r="J13" s="50">
        <v>46</v>
      </c>
      <c r="K13" s="50">
        <v>46</v>
      </c>
      <c r="L13" s="50">
        <v>46</v>
      </c>
      <c r="M13" s="50">
        <v>46</v>
      </c>
      <c r="N13" s="50">
        <v>46</v>
      </c>
      <c r="O13" s="50">
        <v>46</v>
      </c>
      <c r="P13" s="50">
        <v>46</v>
      </c>
      <c r="Q13" s="50">
        <v>45.8</v>
      </c>
      <c r="R13" s="50">
        <v>45.8</v>
      </c>
      <c r="S13" s="50">
        <v>45.8</v>
      </c>
      <c r="T13" s="50">
        <v>45.8</v>
      </c>
      <c r="U13" s="50">
        <v>45.8</v>
      </c>
      <c r="V13" s="50">
        <v>45.8</v>
      </c>
      <c r="W13" s="50">
        <v>45.8</v>
      </c>
      <c r="X13" s="50">
        <v>45.8</v>
      </c>
      <c r="Y13" s="50">
        <v>45.8</v>
      </c>
      <c r="Z13" s="50">
        <v>45.8</v>
      </c>
      <c r="AA13" s="50">
        <v>45.8</v>
      </c>
      <c r="AB13" s="50">
        <v>45.8</v>
      </c>
      <c r="AC13" s="50">
        <v>45.8</v>
      </c>
      <c r="AD13" s="50">
        <v>45.8</v>
      </c>
      <c r="AE13" s="50">
        <v>45.8</v>
      </c>
      <c r="AF13" s="50">
        <v>45.8</v>
      </c>
      <c r="AG13" s="134">
        <v>45</v>
      </c>
      <c r="AH13" s="54">
        <f t="shared" si="2"/>
        <v>46</v>
      </c>
      <c r="AI13" s="55">
        <f t="shared" si="3"/>
        <v>45.8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20</v>
      </c>
      <c r="C14" s="50">
        <v>0</v>
      </c>
      <c r="D14" s="50">
        <v>14</v>
      </c>
      <c r="E14" s="50">
        <v>28</v>
      </c>
      <c r="F14" s="50">
        <v>28</v>
      </c>
      <c r="G14" s="50">
        <v>28</v>
      </c>
      <c r="H14" s="50">
        <v>28</v>
      </c>
      <c r="I14" s="50">
        <v>28</v>
      </c>
      <c r="J14" s="50">
        <v>28</v>
      </c>
      <c r="K14" s="50">
        <v>28</v>
      </c>
      <c r="L14" s="50">
        <v>28</v>
      </c>
      <c r="M14" s="50">
        <v>28</v>
      </c>
      <c r="N14" s="50">
        <v>28</v>
      </c>
      <c r="O14" s="50">
        <v>28</v>
      </c>
      <c r="P14" s="50">
        <v>28</v>
      </c>
      <c r="Q14" s="50">
        <v>28</v>
      </c>
      <c r="R14" s="50">
        <v>28</v>
      </c>
      <c r="S14" s="50">
        <v>28</v>
      </c>
      <c r="T14" s="50">
        <v>28</v>
      </c>
      <c r="U14" s="50">
        <v>28</v>
      </c>
      <c r="V14" s="50">
        <v>28</v>
      </c>
      <c r="W14" s="50">
        <v>28</v>
      </c>
      <c r="X14" s="50">
        <v>28</v>
      </c>
      <c r="Y14" s="50">
        <v>28</v>
      </c>
      <c r="Z14" s="50">
        <v>28</v>
      </c>
      <c r="AA14" s="50">
        <v>28</v>
      </c>
      <c r="AB14" s="50">
        <v>36</v>
      </c>
      <c r="AC14" s="50">
        <v>36</v>
      </c>
      <c r="AD14" s="50">
        <v>36</v>
      </c>
      <c r="AE14" s="50">
        <v>36</v>
      </c>
      <c r="AF14" s="50">
        <v>36</v>
      </c>
      <c r="AG14" s="134">
        <v>42</v>
      </c>
      <c r="AH14" s="54">
        <f t="shared" si="2"/>
        <v>36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30</v>
      </c>
      <c r="C15" s="50">
        <v>30</v>
      </c>
      <c r="D15" s="50">
        <v>30</v>
      </c>
      <c r="E15" s="50">
        <v>20</v>
      </c>
      <c r="F15" s="50">
        <v>20</v>
      </c>
      <c r="G15" s="50">
        <v>20</v>
      </c>
      <c r="H15" s="50">
        <v>20</v>
      </c>
      <c r="I15" s="50">
        <v>30</v>
      </c>
      <c r="J15" s="50">
        <v>30</v>
      </c>
      <c r="K15" s="50">
        <v>30</v>
      </c>
      <c r="L15" s="50">
        <v>30</v>
      </c>
      <c r="M15" s="50">
        <v>30</v>
      </c>
      <c r="N15" s="50">
        <v>30</v>
      </c>
      <c r="O15" s="50">
        <v>30</v>
      </c>
      <c r="P15" s="50">
        <v>30</v>
      </c>
      <c r="Q15" s="50">
        <v>30</v>
      </c>
      <c r="R15" s="50">
        <v>30</v>
      </c>
      <c r="S15" s="50">
        <v>30</v>
      </c>
      <c r="T15" s="50">
        <v>30</v>
      </c>
      <c r="U15" s="50">
        <v>30</v>
      </c>
      <c r="V15" s="50">
        <v>30</v>
      </c>
      <c r="W15" s="50">
        <v>30</v>
      </c>
      <c r="X15" s="50">
        <v>30</v>
      </c>
      <c r="Y15" s="50">
        <v>30</v>
      </c>
      <c r="Z15" s="50">
        <v>30</v>
      </c>
      <c r="AA15" s="50">
        <v>30</v>
      </c>
      <c r="AB15" s="50">
        <v>30</v>
      </c>
      <c r="AC15" s="50">
        <v>30</v>
      </c>
      <c r="AD15" s="50">
        <v>30</v>
      </c>
      <c r="AE15" s="50">
        <v>30</v>
      </c>
      <c r="AF15" s="50">
        <v>0</v>
      </c>
      <c r="AG15" s="135">
        <v>30</v>
      </c>
      <c r="AH15" s="54">
        <f t="shared" si="2"/>
        <v>30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26.2</v>
      </c>
      <c r="C16" s="50">
        <v>26.2</v>
      </c>
      <c r="D16" s="50">
        <v>26.2</v>
      </c>
      <c r="E16" s="50">
        <v>26.2</v>
      </c>
      <c r="F16" s="50">
        <v>26</v>
      </c>
      <c r="G16" s="50">
        <v>26.2</v>
      </c>
      <c r="H16" s="50">
        <v>26.2</v>
      </c>
      <c r="I16" s="50">
        <v>26.2</v>
      </c>
      <c r="J16" s="50">
        <v>26.2</v>
      </c>
      <c r="K16" s="50">
        <v>26.2</v>
      </c>
      <c r="L16" s="50">
        <v>26.2</v>
      </c>
      <c r="M16" s="50">
        <v>26.2</v>
      </c>
      <c r="N16" s="50">
        <v>26.2</v>
      </c>
      <c r="O16" s="50">
        <v>0</v>
      </c>
      <c r="P16" s="50">
        <v>25.9</v>
      </c>
      <c r="Q16" s="50">
        <v>25.9</v>
      </c>
      <c r="R16" s="50">
        <v>26.1</v>
      </c>
      <c r="S16" s="50">
        <v>26.1</v>
      </c>
      <c r="T16" s="50">
        <v>26.1</v>
      </c>
      <c r="U16" s="50">
        <v>26.1</v>
      </c>
      <c r="V16" s="50">
        <v>26.1</v>
      </c>
      <c r="W16" s="50">
        <v>26.1</v>
      </c>
      <c r="X16" s="50">
        <v>26.1</v>
      </c>
      <c r="Y16" s="50">
        <v>26.1</v>
      </c>
      <c r="Z16" s="50">
        <v>26.1</v>
      </c>
      <c r="AA16" s="50">
        <v>26.1</v>
      </c>
      <c r="AB16" s="50">
        <v>26.1</v>
      </c>
      <c r="AC16" s="50">
        <v>26.1</v>
      </c>
      <c r="AD16" s="50">
        <v>26.1</v>
      </c>
      <c r="AE16" s="50">
        <v>26.1</v>
      </c>
      <c r="AF16" s="50">
        <v>26.1</v>
      </c>
      <c r="AG16" s="134">
        <v>25</v>
      </c>
      <c r="AH16" s="54">
        <f t="shared" si="2"/>
        <v>26.2</v>
      </c>
      <c r="AI16" s="55">
        <f t="shared" si="3"/>
        <v>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12.5</v>
      </c>
      <c r="AD17" s="50">
        <v>12.5</v>
      </c>
      <c r="AE17" s="50">
        <v>12.5</v>
      </c>
      <c r="AF17" s="50">
        <v>0</v>
      </c>
      <c r="AG17" s="134">
        <v>25</v>
      </c>
      <c r="AH17" s="54">
        <f t="shared" si="2"/>
        <v>25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25</v>
      </c>
      <c r="D18" s="50">
        <v>25</v>
      </c>
      <c r="E18" s="50">
        <v>25</v>
      </c>
      <c r="F18" s="50">
        <v>25</v>
      </c>
      <c r="G18" s="50">
        <v>25</v>
      </c>
      <c r="H18" s="50">
        <v>25</v>
      </c>
      <c r="I18" s="50">
        <v>25</v>
      </c>
      <c r="J18" s="50">
        <v>25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25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33.200000000000003</v>
      </c>
      <c r="C19" s="50">
        <v>33.200000000000003</v>
      </c>
      <c r="D19" s="50">
        <v>33.200000000000003</v>
      </c>
      <c r="E19" s="50">
        <v>33.200000000000003</v>
      </c>
      <c r="F19" s="50">
        <v>33.200000000000003</v>
      </c>
      <c r="G19" s="50">
        <v>33.200000000000003</v>
      </c>
      <c r="H19" s="50">
        <v>26</v>
      </c>
      <c r="I19" s="50">
        <v>26</v>
      </c>
      <c r="J19" s="50">
        <v>33.1</v>
      </c>
      <c r="K19" s="50">
        <v>33.200000000000003</v>
      </c>
      <c r="L19" s="50">
        <v>33.200000000000003</v>
      </c>
      <c r="M19" s="50">
        <v>33.200000000000003</v>
      </c>
      <c r="N19" s="50">
        <v>33.200000000000003</v>
      </c>
      <c r="O19" s="50">
        <v>33.200000000000003</v>
      </c>
      <c r="P19" s="50">
        <v>33.200000000000003</v>
      </c>
      <c r="Q19" s="50">
        <v>33.200000000000003</v>
      </c>
      <c r="R19" s="50">
        <v>33.200000000000003</v>
      </c>
      <c r="S19" s="50">
        <v>33.200000000000003</v>
      </c>
      <c r="T19" s="50">
        <v>33.200000000000003</v>
      </c>
      <c r="U19" s="50">
        <v>33.200000000000003</v>
      </c>
      <c r="V19" s="50">
        <v>33.200000000000003</v>
      </c>
      <c r="W19" s="50">
        <v>33.200000000000003</v>
      </c>
      <c r="X19" s="50">
        <v>33.200000000000003</v>
      </c>
      <c r="Y19" s="50">
        <v>33.200000000000003</v>
      </c>
      <c r="Z19" s="50">
        <v>33.200000000000003</v>
      </c>
      <c r="AA19" s="50">
        <v>33.200000000000003</v>
      </c>
      <c r="AB19" s="50">
        <v>33.200000000000003</v>
      </c>
      <c r="AC19" s="50">
        <v>33.200000000000003</v>
      </c>
      <c r="AD19" s="50">
        <v>33.200000000000003</v>
      </c>
      <c r="AE19" s="50">
        <v>33.200000000000003</v>
      </c>
      <c r="AF19" s="50">
        <v>33.200000000000003</v>
      </c>
      <c r="AG19" s="134">
        <v>24.2</v>
      </c>
      <c r="AH19" s="54">
        <f t="shared" si="2"/>
        <v>33.200000000000003</v>
      </c>
      <c r="AI19" s="55">
        <f t="shared" si="3"/>
        <v>26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24.1</v>
      </c>
      <c r="C20" s="50">
        <v>24.1</v>
      </c>
      <c r="D20" s="50">
        <v>24.1</v>
      </c>
      <c r="E20" s="50">
        <v>24.1</v>
      </c>
      <c r="F20" s="50">
        <v>24.1</v>
      </c>
      <c r="G20" s="50">
        <v>24.1</v>
      </c>
      <c r="H20" s="50">
        <v>24.1</v>
      </c>
      <c r="I20" s="50">
        <v>24.1</v>
      </c>
      <c r="J20" s="50">
        <v>24.1</v>
      </c>
      <c r="K20" s="50">
        <v>24.1</v>
      </c>
      <c r="L20" s="50">
        <v>24.1</v>
      </c>
      <c r="M20" s="50">
        <v>24.1</v>
      </c>
      <c r="N20" s="50">
        <v>24.1</v>
      </c>
      <c r="O20" s="50">
        <v>24.1</v>
      </c>
      <c r="P20" s="50">
        <v>24.1</v>
      </c>
      <c r="Q20" s="50">
        <v>23.7</v>
      </c>
      <c r="R20" s="50">
        <v>23.7</v>
      </c>
      <c r="S20" s="50">
        <v>23.7</v>
      </c>
      <c r="T20" s="50">
        <v>23.7</v>
      </c>
      <c r="U20" s="50">
        <v>23.7</v>
      </c>
      <c r="V20" s="50">
        <v>23.7</v>
      </c>
      <c r="W20" s="50">
        <v>23.7</v>
      </c>
      <c r="X20" s="50">
        <v>23.7</v>
      </c>
      <c r="Y20" s="50">
        <v>23.7</v>
      </c>
      <c r="Z20" s="50">
        <v>23.7</v>
      </c>
      <c r="AA20" s="50">
        <v>23.7</v>
      </c>
      <c r="AB20" s="50">
        <v>23.7</v>
      </c>
      <c r="AC20" s="50">
        <v>23.7</v>
      </c>
      <c r="AD20" s="50">
        <v>23.7</v>
      </c>
      <c r="AE20" s="50">
        <v>23.7</v>
      </c>
      <c r="AF20" s="50">
        <v>23.7</v>
      </c>
      <c r="AG20" s="134">
        <v>23.5</v>
      </c>
      <c r="AH20" s="54">
        <f t="shared" si="2"/>
        <v>24.1</v>
      </c>
      <c r="AI20" s="55">
        <f t="shared" si="3"/>
        <v>23.7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10</v>
      </c>
      <c r="C21" s="50">
        <v>10</v>
      </c>
      <c r="D21" s="50">
        <v>10</v>
      </c>
      <c r="E21" s="50">
        <v>10</v>
      </c>
      <c r="F21" s="50">
        <v>10</v>
      </c>
      <c r="G21" s="50">
        <v>10</v>
      </c>
      <c r="H21" s="50">
        <v>10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11</v>
      </c>
      <c r="O21" s="50">
        <v>11</v>
      </c>
      <c r="P21" s="50">
        <v>11</v>
      </c>
      <c r="Q21" s="50">
        <v>11</v>
      </c>
      <c r="R21" s="50">
        <v>11</v>
      </c>
      <c r="S21" s="50">
        <v>11</v>
      </c>
      <c r="T21" s="50">
        <v>11</v>
      </c>
      <c r="U21" s="50">
        <v>11</v>
      </c>
      <c r="V21" s="50">
        <v>11</v>
      </c>
      <c r="W21" s="50">
        <v>11</v>
      </c>
      <c r="X21" s="50">
        <v>11</v>
      </c>
      <c r="Y21" s="50">
        <v>11</v>
      </c>
      <c r="Z21" s="50">
        <v>11</v>
      </c>
      <c r="AA21" s="50">
        <v>11</v>
      </c>
      <c r="AB21" s="50">
        <v>11</v>
      </c>
      <c r="AC21" s="50">
        <v>11</v>
      </c>
      <c r="AD21" s="50">
        <v>11</v>
      </c>
      <c r="AE21" s="50">
        <v>11</v>
      </c>
      <c r="AF21" s="50">
        <v>11</v>
      </c>
      <c r="AG21" s="134">
        <v>22.2</v>
      </c>
      <c r="AH21" s="54">
        <f t="shared" si="2"/>
        <v>11</v>
      </c>
      <c r="AI21" s="55">
        <f t="shared" si="3"/>
        <v>0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134">
        <v>22.1</v>
      </c>
      <c r="AH22" s="54">
        <f t="shared" si="2"/>
        <v>22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22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22</v>
      </c>
      <c r="AI24" s="55">
        <f t="shared" si="3"/>
        <v>22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15</v>
      </c>
      <c r="C25" s="50">
        <v>20</v>
      </c>
      <c r="D25" s="50">
        <v>20</v>
      </c>
      <c r="E25" s="50">
        <v>10</v>
      </c>
      <c r="F25" s="50">
        <v>10</v>
      </c>
      <c r="G25" s="50">
        <v>20</v>
      </c>
      <c r="H25" s="50">
        <v>20</v>
      </c>
      <c r="I25" s="50">
        <v>20</v>
      </c>
      <c r="J25" s="50">
        <v>20</v>
      </c>
      <c r="K25" s="50">
        <v>20</v>
      </c>
      <c r="L25" s="50">
        <v>20</v>
      </c>
      <c r="M25" s="50">
        <v>20</v>
      </c>
      <c r="N25" s="50">
        <v>20</v>
      </c>
      <c r="O25" s="50">
        <v>20</v>
      </c>
      <c r="P25" s="50">
        <v>20</v>
      </c>
      <c r="Q25" s="50">
        <v>20</v>
      </c>
      <c r="R25" s="50">
        <v>20</v>
      </c>
      <c r="S25" s="50">
        <v>20</v>
      </c>
      <c r="T25" s="50">
        <v>20</v>
      </c>
      <c r="U25" s="50">
        <v>20</v>
      </c>
      <c r="V25" s="50">
        <v>20</v>
      </c>
      <c r="W25" s="50">
        <v>20</v>
      </c>
      <c r="X25" s="50">
        <v>20</v>
      </c>
      <c r="Y25" s="50">
        <v>20</v>
      </c>
      <c r="Z25" s="50">
        <v>20</v>
      </c>
      <c r="AA25" s="50">
        <v>20</v>
      </c>
      <c r="AB25" s="50">
        <v>20</v>
      </c>
      <c r="AC25" s="50">
        <v>20</v>
      </c>
      <c r="AD25" s="50">
        <v>20</v>
      </c>
      <c r="AE25" s="50">
        <v>20</v>
      </c>
      <c r="AF25" s="50">
        <v>20</v>
      </c>
      <c r="AG25" s="134">
        <v>20</v>
      </c>
      <c r="AH25" s="54">
        <f t="shared" si="2"/>
        <v>20</v>
      </c>
      <c r="AI25" s="55">
        <f t="shared" si="3"/>
        <v>10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7.8</v>
      </c>
      <c r="C26" s="50">
        <v>7.8</v>
      </c>
      <c r="D26" s="50">
        <v>7.8</v>
      </c>
      <c r="E26" s="50">
        <v>7.8</v>
      </c>
      <c r="F26" s="50">
        <v>7.8</v>
      </c>
      <c r="G26" s="50">
        <v>7.8</v>
      </c>
      <c r="H26" s="50">
        <v>7.8</v>
      </c>
      <c r="I26" s="50">
        <v>7.8</v>
      </c>
      <c r="J26" s="50">
        <v>7.8</v>
      </c>
      <c r="K26" s="50">
        <v>7.8</v>
      </c>
      <c r="L26" s="50">
        <v>7.8</v>
      </c>
      <c r="M26" s="50">
        <v>7.8</v>
      </c>
      <c r="N26" s="50">
        <v>7.8</v>
      </c>
      <c r="O26" s="50">
        <v>7.8</v>
      </c>
      <c r="P26" s="50">
        <v>7.8</v>
      </c>
      <c r="Q26" s="50">
        <v>7.8</v>
      </c>
      <c r="R26" s="50">
        <v>7.8</v>
      </c>
      <c r="S26" s="50">
        <v>7.8</v>
      </c>
      <c r="T26" s="50">
        <v>7.8</v>
      </c>
      <c r="U26" s="50">
        <v>7.8</v>
      </c>
      <c r="V26" s="50">
        <v>7.8</v>
      </c>
      <c r="W26" s="50">
        <v>7.8</v>
      </c>
      <c r="X26" s="50">
        <v>7.8</v>
      </c>
      <c r="Y26" s="50">
        <v>7.8</v>
      </c>
      <c r="Z26" s="50">
        <v>7.8</v>
      </c>
      <c r="AA26" s="50">
        <v>7.8</v>
      </c>
      <c r="AB26" s="50">
        <v>7.8</v>
      </c>
      <c r="AC26" s="50">
        <v>7.8</v>
      </c>
      <c r="AD26" s="50">
        <v>7.8</v>
      </c>
      <c r="AE26" s="50">
        <v>7.8</v>
      </c>
      <c r="AF26" s="50">
        <v>7.8</v>
      </c>
      <c r="AG26" s="134">
        <v>14.9</v>
      </c>
      <c r="AH26" s="54">
        <f t="shared" si="2"/>
        <v>7.8</v>
      </c>
      <c r="AI26" s="55">
        <f t="shared" si="3"/>
        <v>7.8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10</v>
      </c>
      <c r="C27" s="50">
        <v>10</v>
      </c>
      <c r="D27" s="50">
        <v>10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134">
        <v>13.6</v>
      </c>
      <c r="AH27" s="54">
        <f t="shared" si="2"/>
        <v>10</v>
      </c>
      <c r="AI27" s="55">
        <f t="shared" si="3"/>
        <v>0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12</v>
      </c>
      <c r="C28" s="50">
        <v>12</v>
      </c>
      <c r="D28" s="50">
        <v>12</v>
      </c>
      <c r="E28" s="50">
        <v>12</v>
      </c>
      <c r="F28" s="50">
        <v>12</v>
      </c>
      <c r="G28" s="50">
        <v>12</v>
      </c>
      <c r="H28" s="50">
        <v>12</v>
      </c>
      <c r="I28" s="50">
        <v>12</v>
      </c>
      <c r="J28" s="50">
        <v>12</v>
      </c>
      <c r="K28" s="50">
        <v>12</v>
      </c>
      <c r="L28" s="50">
        <v>12</v>
      </c>
      <c r="M28" s="50">
        <v>12</v>
      </c>
      <c r="N28" s="50">
        <v>12</v>
      </c>
      <c r="O28" s="50">
        <v>12</v>
      </c>
      <c r="P28" s="50">
        <v>12</v>
      </c>
      <c r="Q28" s="50">
        <v>12</v>
      </c>
      <c r="R28" s="50">
        <v>12</v>
      </c>
      <c r="S28" s="50">
        <v>12</v>
      </c>
      <c r="T28" s="50">
        <v>12</v>
      </c>
      <c r="U28" s="50">
        <v>12</v>
      </c>
      <c r="V28" s="50">
        <v>12</v>
      </c>
      <c r="W28" s="50">
        <v>12</v>
      </c>
      <c r="X28" s="50">
        <v>12</v>
      </c>
      <c r="Y28" s="50">
        <v>12</v>
      </c>
      <c r="Z28" s="50">
        <v>12</v>
      </c>
      <c r="AA28" s="50">
        <v>12</v>
      </c>
      <c r="AB28" s="50">
        <v>12</v>
      </c>
      <c r="AC28" s="50">
        <v>12</v>
      </c>
      <c r="AD28" s="50">
        <v>12</v>
      </c>
      <c r="AE28" s="50">
        <v>12</v>
      </c>
      <c r="AF28" s="50">
        <v>12</v>
      </c>
      <c r="AG28" s="134">
        <v>13</v>
      </c>
      <c r="AH28" s="54">
        <f t="shared" si="2"/>
        <v>12</v>
      </c>
      <c r="AI28" s="55">
        <f t="shared" si="3"/>
        <v>12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8</v>
      </c>
      <c r="AC29" s="50">
        <v>8</v>
      </c>
      <c r="AD29" s="50">
        <v>8</v>
      </c>
      <c r="AE29" s="50">
        <v>8</v>
      </c>
      <c r="AF29" s="50">
        <v>8</v>
      </c>
      <c r="AG29" s="134">
        <v>12</v>
      </c>
      <c r="AH29" s="54">
        <f t="shared" si="2"/>
        <v>8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7</v>
      </c>
      <c r="C30" s="50">
        <v>7</v>
      </c>
      <c r="D30" s="50">
        <v>7</v>
      </c>
      <c r="E30" s="50">
        <v>7</v>
      </c>
      <c r="F30" s="50">
        <v>7</v>
      </c>
      <c r="G30" s="50">
        <v>7</v>
      </c>
      <c r="H30" s="50">
        <v>7</v>
      </c>
      <c r="I30" s="50">
        <v>7</v>
      </c>
      <c r="J30" s="50">
        <v>7</v>
      </c>
      <c r="K30" s="50">
        <v>7</v>
      </c>
      <c r="L30" s="50">
        <v>7</v>
      </c>
      <c r="M30" s="50">
        <v>7</v>
      </c>
      <c r="N30" s="50">
        <v>7</v>
      </c>
      <c r="O30" s="50">
        <v>7</v>
      </c>
      <c r="P30" s="50">
        <v>7</v>
      </c>
      <c r="Q30" s="50">
        <v>7</v>
      </c>
      <c r="R30" s="50">
        <v>7</v>
      </c>
      <c r="S30" s="50">
        <v>7</v>
      </c>
      <c r="T30" s="50">
        <v>7</v>
      </c>
      <c r="U30" s="50">
        <v>7</v>
      </c>
      <c r="V30" s="50">
        <v>7</v>
      </c>
      <c r="W30" s="50">
        <v>7</v>
      </c>
      <c r="X30" s="50">
        <v>7</v>
      </c>
      <c r="Y30" s="50">
        <v>7</v>
      </c>
      <c r="Z30" s="50">
        <v>7</v>
      </c>
      <c r="AA30" s="50">
        <v>7</v>
      </c>
      <c r="AB30" s="50">
        <v>7</v>
      </c>
      <c r="AC30" s="50">
        <v>7</v>
      </c>
      <c r="AD30" s="50">
        <v>7</v>
      </c>
      <c r="AE30" s="50">
        <v>7</v>
      </c>
      <c r="AF30" s="50">
        <v>7</v>
      </c>
      <c r="AG30" s="134">
        <v>12</v>
      </c>
      <c r="AH30" s="54">
        <f t="shared" si="2"/>
        <v>7</v>
      </c>
      <c r="AI30" s="55">
        <f t="shared" si="3"/>
        <v>7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8.5</v>
      </c>
      <c r="C31" s="50">
        <v>8.5</v>
      </c>
      <c r="D31" s="50">
        <v>8.5</v>
      </c>
      <c r="E31" s="50">
        <v>8.5</v>
      </c>
      <c r="F31" s="50">
        <v>8.5</v>
      </c>
      <c r="G31" s="50">
        <v>8.5</v>
      </c>
      <c r="H31" s="50">
        <v>8.5</v>
      </c>
      <c r="I31" s="50">
        <v>8.5</v>
      </c>
      <c r="J31" s="50">
        <v>8.5</v>
      </c>
      <c r="K31" s="50">
        <v>8.5</v>
      </c>
      <c r="L31" s="50">
        <v>8.5</v>
      </c>
      <c r="M31" s="50">
        <v>8.5</v>
      </c>
      <c r="N31" s="50">
        <v>8.5</v>
      </c>
      <c r="O31" s="50">
        <v>8.5</v>
      </c>
      <c r="P31" s="50">
        <v>8.5</v>
      </c>
      <c r="Q31" s="50">
        <v>8.5</v>
      </c>
      <c r="R31" s="50">
        <v>8.5</v>
      </c>
      <c r="S31" s="50">
        <v>8.5</v>
      </c>
      <c r="T31" s="50">
        <v>8.5</v>
      </c>
      <c r="U31" s="50">
        <v>8.5</v>
      </c>
      <c r="V31" s="50">
        <v>8.5</v>
      </c>
      <c r="W31" s="50">
        <v>8.5</v>
      </c>
      <c r="X31" s="50">
        <v>8.5</v>
      </c>
      <c r="Y31" s="50">
        <v>8.5</v>
      </c>
      <c r="Z31" s="50">
        <v>8.5</v>
      </c>
      <c r="AA31" s="50">
        <v>8.5</v>
      </c>
      <c r="AB31" s="50">
        <v>8.5</v>
      </c>
      <c r="AC31" s="50">
        <v>8.5</v>
      </c>
      <c r="AD31" s="50">
        <v>8.5</v>
      </c>
      <c r="AE31" s="50">
        <v>8.5</v>
      </c>
      <c r="AF31" s="50">
        <v>8.5</v>
      </c>
      <c r="AG31" s="178">
        <v>22</v>
      </c>
      <c r="AH31" s="54">
        <f>MAX(B31:AF31)</f>
        <v>8.5</v>
      </c>
      <c r="AI31" s="55">
        <f>MIN(B31:AF31)</f>
        <v>8.5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11</v>
      </c>
      <c r="C32" s="50">
        <v>11</v>
      </c>
      <c r="D32" s="50">
        <v>11</v>
      </c>
      <c r="E32" s="50">
        <v>11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11.8</v>
      </c>
      <c r="AC32" s="50">
        <v>11.8</v>
      </c>
      <c r="AD32" s="50">
        <v>11.8</v>
      </c>
      <c r="AE32" s="50">
        <v>11.8</v>
      </c>
      <c r="AF32" s="50">
        <v>11.8</v>
      </c>
      <c r="AG32" s="135">
        <v>11.88</v>
      </c>
      <c r="AH32" s="54">
        <f t="shared" si="2"/>
        <v>11.8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11</v>
      </c>
      <c r="D33" s="50">
        <v>11</v>
      </c>
      <c r="E33" s="50">
        <v>11</v>
      </c>
      <c r="F33" s="50">
        <v>11</v>
      </c>
      <c r="G33" s="50">
        <v>11</v>
      </c>
      <c r="H33" s="50">
        <v>11</v>
      </c>
      <c r="I33" s="50">
        <v>11</v>
      </c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11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8.3000000000000007</v>
      </c>
      <c r="C34" s="50">
        <v>8.3000000000000007</v>
      </c>
      <c r="D34" s="50">
        <v>8.3000000000000007</v>
      </c>
      <c r="E34" s="50">
        <v>8.3000000000000007</v>
      </c>
      <c r="F34" s="50">
        <v>8.3000000000000007</v>
      </c>
      <c r="G34" s="50">
        <v>8.3000000000000007</v>
      </c>
      <c r="H34" s="50">
        <v>8.3000000000000007</v>
      </c>
      <c r="I34" s="50">
        <v>8.3000000000000007</v>
      </c>
      <c r="J34" s="50">
        <v>8.3000000000000007</v>
      </c>
      <c r="K34" s="50">
        <v>8.3000000000000007</v>
      </c>
      <c r="L34" s="50">
        <v>8.3000000000000007</v>
      </c>
      <c r="M34" s="50">
        <v>8.3000000000000007</v>
      </c>
      <c r="N34" s="50">
        <v>8.3000000000000007</v>
      </c>
      <c r="O34" s="50">
        <v>8.3000000000000007</v>
      </c>
      <c r="P34" s="50">
        <v>8.3000000000000007</v>
      </c>
      <c r="Q34" s="50">
        <v>8.3000000000000007</v>
      </c>
      <c r="R34" s="50">
        <v>8.3000000000000007</v>
      </c>
      <c r="S34" s="50">
        <v>8.3000000000000007</v>
      </c>
      <c r="T34" s="50">
        <v>8.3000000000000007</v>
      </c>
      <c r="U34" s="50">
        <v>8.3000000000000007</v>
      </c>
      <c r="V34" s="50">
        <v>8.3000000000000007</v>
      </c>
      <c r="W34" s="50">
        <v>8.3000000000000007</v>
      </c>
      <c r="X34" s="50">
        <v>8.3000000000000007</v>
      </c>
      <c r="Y34" s="50">
        <v>8.3000000000000007</v>
      </c>
      <c r="Z34" s="50">
        <v>8.3000000000000007</v>
      </c>
      <c r="AA34" s="50">
        <v>8.3000000000000007</v>
      </c>
      <c r="AB34" s="50">
        <v>8.3000000000000007</v>
      </c>
      <c r="AC34" s="50">
        <v>8.3000000000000007</v>
      </c>
      <c r="AD34" s="50">
        <v>8.3000000000000007</v>
      </c>
      <c r="AE34" s="50">
        <v>8.3000000000000007</v>
      </c>
      <c r="AF34" s="50">
        <v>8.3000000000000007</v>
      </c>
      <c r="AG34" s="136">
        <v>10</v>
      </c>
      <c r="AH34" s="54">
        <f t="shared" si="2"/>
        <v>8.3000000000000007</v>
      </c>
      <c r="AI34" s="55">
        <f t="shared" si="3"/>
        <v>8.3000000000000007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136">
        <v>10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300</v>
      </c>
      <c r="C36" s="62">
        <v>300</v>
      </c>
      <c r="D36" s="62">
        <v>300</v>
      </c>
      <c r="E36" s="62">
        <v>300</v>
      </c>
      <c r="F36" s="62">
        <v>300</v>
      </c>
      <c r="G36" s="62">
        <v>300</v>
      </c>
      <c r="H36" s="62">
        <v>300</v>
      </c>
      <c r="I36" s="62">
        <v>300</v>
      </c>
      <c r="J36" s="62">
        <v>300</v>
      </c>
      <c r="K36" s="62">
        <v>300</v>
      </c>
      <c r="L36" s="62">
        <v>300</v>
      </c>
      <c r="M36" s="62">
        <v>300</v>
      </c>
      <c r="N36" s="62">
        <v>300</v>
      </c>
      <c r="O36" s="62">
        <v>300</v>
      </c>
      <c r="P36" s="62">
        <v>300</v>
      </c>
      <c r="Q36" s="62">
        <v>300</v>
      </c>
      <c r="R36" s="62">
        <v>300</v>
      </c>
      <c r="S36" s="62">
        <v>300</v>
      </c>
      <c r="T36" s="62">
        <v>300</v>
      </c>
      <c r="U36" s="62">
        <v>300</v>
      </c>
      <c r="V36" s="62">
        <v>300</v>
      </c>
      <c r="W36" s="62">
        <v>300</v>
      </c>
      <c r="X36" s="62">
        <v>300</v>
      </c>
      <c r="Y36" s="62">
        <v>300</v>
      </c>
      <c r="Z36" s="62">
        <v>300</v>
      </c>
      <c r="AA36" s="62">
        <v>300</v>
      </c>
      <c r="AB36" s="62">
        <v>300</v>
      </c>
      <c r="AC36" s="62">
        <v>300</v>
      </c>
      <c r="AD36" s="62">
        <v>300</v>
      </c>
      <c r="AE36" s="62">
        <v>300</v>
      </c>
      <c r="AF36" s="62">
        <v>300</v>
      </c>
      <c r="AG36" s="136">
        <v>85</v>
      </c>
      <c r="AH36" s="54">
        <f t="shared" si="2"/>
        <v>300</v>
      </c>
      <c r="AI36" s="55">
        <f t="shared" si="3"/>
        <v>300</v>
      </c>
      <c r="AK36" s="56"/>
    </row>
    <row r="37" spans="1:88" ht="15.75" thickBot="1" x14ac:dyDescent="0.3">
      <c r="A37" s="63" t="s">
        <v>21</v>
      </c>
      <c r="B37" s="64">
        <f>66+98.9</f>
        <v>164.9</v>
      </c>
      <c r="C37" s="64">
        <f>65.9+98.9</f>
        <v>164.8</v>
      </c>
      <c r="D37" s="64">
        <f>65.9+98.9</f>
        <v>164.8</v>
      </c>
      <c r="E37" s="62">
        <f>66+99</f>
        <v>165</v>
      </c>
      <c r="F37" s="62">
        <f>66+99.2</f>
        <v>165.2</v>
      </c>
      <c r="G37" s="62">
        <f>66.8+98.8</f>
        <v>165.6</v>
      </c>
      <c r="H37" s="62">
        <v>164</v>
      </c>
      <c r="I37" s="62">
        <f>66.7+97.7</f>
        <v>164.4</v>
      </c>
      <c r="J37" s="62">
        <f>66.7+97.3</f>
        <v>164</v>
      </c>
      <c r="K37" s="62">
        <f>66+96.8</f>
        <v>162.80000000000001</v>
      </c>
      <c r="L37" s="62">
        <f>63.7+97.2</f>
        <v>160.9</v>
      </c>
      <c r="M37" s="62">
        <f>63.7+97.2</f>
        <v>160.9</v>
      </c>
      <c r="N37" s="62">
        <f>63.7+97.2</f>
        <v>160.9</v>
      </c>
      <c r="O37" s="62">
        <f>63.7+97.2</f>
        <v>160.9</v>
      </c>
      <c r="P37" s="62">
        <f>66+97.2</f>
        <v>163.19999999999999</v>
      </c>
      <c r="Q37" s="62">
        <f>98+66.2</f>
        <v>164.2</v>
      </c>
      <c r="R37" s="62">
        <f>66.2+98.2</f>
        <v>164.4</v>
      </c>
      <c r="S37" s="64">
        <v>164.4</v>
      </c>
      <c r="T37" s="64">
        <v>164.4</v>
      </c>
      <c r="U37" s="64">
        <f>65.4+98.4</f>
        <v>163.80000000000001</v>
      </c>
      <c r="V37" s="64">
        <f>65.8+98</f>
        <v>163.80000000000001</v>
      </c>
      <c r="W37" s="64">
        <f t="shared" ref="W37:Y37" si="4">65.8+98</f>
        <v>163.80000000000001</v>
      </c>
      <c r="X37" s="64">
        <f t="shared" si="4"/>
        <v>163.80000000000001</v>
      </c>
      <c r="Y37" s="64">
        <f t="shared" si="4"/>
        <v>163.80000000000001</v>
      </c>
      <c r="Z37" s="64">
        <f>64.1+94.3</f>
        <v>158.39999999999998</v>
      </c>
      <c r="AA37" s="64">
        <f>65.1+95.4</f>
        <v>160.5</v>
      </c>
      <c r="AB37" s="64">
        <f>49+96</f>
        <v>145</v>
      </c>
      <c r="AC37" s="64">
        <f>96+48.4</f>
        <v>144.4</v>
      </c>
      <c r="AD37" s="64">
        <f>96.7+47.9</f>
        <v>144.6</v>
      </c>
      <c r="AE37" s="64">
        <f>96.7+60.8</f>
        <v>157.5</v>
      </c>
      <c r="AF37" s="64">
        <f>98.3+58.6</f>
        <v>156.9</v>
      </c>
      <c r="AG37" s="136">
        <v>240</v>
      </c>
      <c r="AH37" s="54">
        <f t="shared" si="2"/>
        <v>165.6</v>
      </c>
      <c r="AI37" s="55">
        <f t="shared" si="3"/>
        <v>144.4</v>
      </c>
      <c r="AK37" s="56"/>
    </row>
    <row r="38" spans="1:88" ht="15.75" thickBot="1" x14ac:dyDescent="0.3">
      <c r="A38" s="131" t="s">
        <v>22</v>
      </c>
      <c r="B38" s="66">
        <f t="shared" ref="B38" si="5">SUM(B11:B36)</f>
        <v>799.5</v>
      </c>
      <c r="C38" s="66">
        <f t="shared" ref="C38:AG38" si="6">SUM(C11:C36)</f>
        <v>784.3</v>
      </c>
      <c r="D38" s="66">
        <f t="shared" si="6"/>
        <v>798.5</v>
      </c>
      <c r="E38" s="66">
        <f t="shared" si="6"/>
        <v>782.5</v>
      </c>
      <c r="F38" s="66">
        <f t="shared" si="6"/>
        <v>771.8</v>
      </c>
      <c r="G38" s="66">
        <f t="shared" si="6"/>
        <v>781.5</v>
      </c>
      <c r="H38" s="66">
        <f t="shared" si="6"/>
        <v>774.30000000000007</v>
      </c>
      <c r="I38" s="66">
        <f t="shared" si="6"/>
        <v>774.30000000000007</v>
      </c>
      <c r="J38" s="66">
        <f t="shared" si="6"/>
        <v>781.40000000000009</v>
      </c>
      <c r="K38" s="66">
        <f t="shared" si="6"/>
        <v>781.5</v>
      </c>
      <c r="L38" s="66">
        <f t="shared" si="6"/>
        <v>781.5</v>
      </c>
      <c r="M38" s="66">
        <f t="shared" si="6"/>
        <v>781.5</v>
      </c>
      <c r="N38" s="66">
        <f t="shared" si="6"/>
        <v>792.5</v>
      </c>
      <c r="O38" s="66">
        <f t="shared" si="6"/>
        <v>766.3</v>
      </c>
      <c r="P38" s="66">
        <f t="shared" si="6"/>
        <v>796.2</v>
      </c>
      <c r="Q38" s="66">
        <f t="shared" si="6"/>
        <v>795.5</v>
      </c>
      <c r="R38" s="66">
        <f t="shared" si="6"/>
        <v>795.8</v>
      </c>
      <c r="S38" s="66">
        <f t="shared" si="6"/>
        <v>795.8</v>
      </c>
      <c r="T38" s="66">
        <f t="shared" si="6"/>
        <v>795.8</v>
      </c>
      <c r="U38" s="66">
        <f t="shared" si="6"/>
        <v>795.8</v>
      </c>
      <c r="V38" s="66">
        <f t="shared" si="6"/>
        <v>795.8</v>
      </c>
      <c r="W38" s="66">
        <f t="shared" si="6"/>
        <v>795.8</v>
      </c>
      <c r="X38" s="66">
        <f t="shared" si="6"/>
        <v>795.8</v>
      </c>
      <c r="Y38" s="66">
        <f t="shared" si="6"/>
        <v>795.8</v>
      </c>
      <c r="Z38" s="66">
        <f t="shared" si="6"/>
        <v>795.8</v>
      </c>
      <c r="AA38" s="66">
        <f t="shared" si="6"/>
        <v>795.8</v>
      </c>
      <c r="AB38" s="66">
        <f t="shared" si="6"/>
        <v>819.59999999999991</v>
      </c>
      <c r="AC38" s="66">
        <f t="shared" si="6"/>
        <v>807.09999999999991</v>
      </c>
      <c r="AD38" s="66">
        <f t="shared" si="6"/>
        <v>807.09999999999991</v>
      </c>
      <c r="AE38" s="66">
        <f t="shared" si="6"/>
        <v>807.09999999999991</v>
      </c>
      <c r="AF38" s="66">
        <f t="shared" si="6"/>
        <v>714.2</v>
      </c>
      <c r="AG38" s="143">
        <f t="shared" si="6"/>
        <v>665.78</v>
      </c>
      <c r="AH38" s="54">
        <f t="shared" si="2"/>
        <v>819.59999999999991</v>
      </c>
      <c r="AI38" s="55">
        <f t="shared" si="3"/>
        <v>714.2</v>
      </c>
      <c r="AK38" s="56"/>
    </row>
    <row r="39" spans="1:88" x14ac:dyDescent="0.25">
      <c r="A39" s="159" t="s">
        <v>130</v>
      </c>
      <c r="B39" s="50">
        <v>456</v>
      </c>
      <c r="C39" s="50">
        <v>456</v>
      </c>
      <c r="D39" s="50">
        <v>456</v>
      </c>
      <c r="E39" s="50">
        <v>456</v>
      </c>
      <c r="F39" s="50">
        <v>456</v>
      </c>
      <c r="G39" s="50">
        <v>456</v>
      </c>
      <c r="H39" s="50">
        <v>456</v>
      </c>
      <c r="I39" s="50">
        <v>456</v>
      </c>
      <c r="J39" s="50">
        <v>456</v>
      </c>
      <c r="K39" s="50">
        <v>456</v>
      </c>
      <c r="L39" s="50">
        <v>456</v>
      </c>
      <c r="M39" s="50">
        <v>456</v>
      </c>
      <c r="N39" s="50">
        <v>456</v>
      </c>
      <c r="O39" s="50">
        <v>381</v>
      </c>
      <c r="P39" s="50">
        <v>381</v>
      </c>
      <c r="Q39" s="50">
        <v>381</v>
      </c>
      <c r="R39" s="50">
        <v>381</v>
      </c>
      <c r="S39" s="50">
        <v>381</v>
      </c>
      <c r="T39" s="50">
        <v>381</v>
      </c>
      <c r="U39" s="50">
        <v>380</v>
      </c>
      <c r="V39" s="50">
        <v>380</v>
      </c>
      <c r="W39" s="50">
        <v>380</v>
      </c>
      <c r="X39" s="50">
        <v>380</v>
      </c>
      <c r="Y39" s="50">
        <v>380</v>
      </c>
      <c r="Z39" s="50">
        <v>380</v>
      </c>
      <c r="AA39" s="50">
        <v>380</v>
      </c>
      <c r="AB39" s="50">
        <v>380</v>
      </c>
      <c r="AC39" s="50">
        <v>380</v>
      </c>
      <c r="AD39" s="50">
        <v>380</v>
      </c>
      <c r="AE39" s="50">
        <v>380</v>
      </c>
      <c r="AF39" s="50">
        <v>380</v>
      </c>
      <c r="AG39" s="135">
        <v>456</v>
      </c>
      <c r="AH39" s="54">
        <f t="shared" si="2"/>
        <v>456</v>
      </c>
      <c r="AI39" s="55">
        <f t="shared" si="3"/>
        <v>380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f t="shared" ref="B42" si="7">SUM(B39:B41)</f>
        <v>538</v>
      </c>
      <c r="C42" s="66">
        <f t="shared" ref="C42:AG42" si="8">SUM(C39:C41)</f>
        <v>538</v>
      </c>
      <c r="D42" s="66">
        <f t="shared" si="8"/>
        <v>538</v>
      </c>
      <c r="E42" s="66">
        <f t="shared" si="8"/>
        <v>538</v>
      </c>
      <c r="F42" s="66">
        <f t="shared" si="8"/>
        <v>538</v>
      </c>
      <c r="G42" s="66">
        <f t="shared" si="8"/>
        <v>538</v>
      </c>
      <c r="H42" s="66">
        <f t="shared" si="8"/>
        <v>538</v>
      </c>
      <c r="I42" s="66">
        <f t="shared" si="8"/>
        <v>538</v>
      </c>
      <c r="J42" s="66">
        <f t="shared" si="8"/>
        <v>538</v>
      </c>
      <c r="K42" s="66">
        <f t="shared" si="8"/>
        <v>538</v>
      </c>
      <c r="L42" s="66">
        <f t="shared" si="8"/>
        <v>538</v>
      </c>
      <c r="M42" s="66">
        <f t="shared" si="8"/>
        <v>538</v>
      </c>
      <c r="N42" s="66">
        <f t="shared" si="8"/>
        <v>538</v>
      </c>
      <c r="O42" s="66">
        <f t="shared" si="8"/>
        <v>463</v>
      </c>
      <c r="P42" s="66">
        <f t="shared" si="8"/>
        <v>463</v>
      </c>
      <c r="Q42" s="66">
        <f t="shared" si="8"/>
        <v>463</v>
      </c>
      <c r="R42" s="66">
        <f t="shared" si="8"/>
        <v>463</v>
      </c>
      <c r="S42" s="66">
        <f t="shared" si="8"/>
        <v>463</v>
      </c>
      <c r="T42" s="66">
        <f t="shared" si="8"/>
        <v>463</v>
      </c>
      <c r="U42" s="66">
        <f t="shared" si="8"/>
        <v>462</v>
      </c>
      <c r="V42" s="66">
        <f t="shared" si="8"/>
        <v>462</v>
      </c>
      <c r="W42" s="66">
        <f t="shared" si="8"/>
        <v>462</v>
      </c>
      <c r="X42" s="66">
        <f t="shared" si="8"/>
        <v>462</v>
      </c>
      <c r="Y42" s="66">
        <f t="shared" si="8"/>
        <v>462</v>
      </c>
      <c r="Z42" s="66">
        <f t="shared" si="8"/>
        <v>462</v>
      </c>
      <c r="AA42" s="66">
        <f t="shared" si="8"/>
        <v>462</v>
      </c>
      <c r="AB42" s="66">
        <f t="shared" si="8"/>
        <v>462</v>
      </c>
      <c r="AC42" s="66">
        <f t="shared" si="8"/>
        <v>462</v>
      </c>
      <c r="AD42" s="66">
        <f t="shared" si="8"/>
        <v>462</v>
      </c>
      <c r="AE42" s="66">
        <f t="shared" si="8"/>
        <v>462</v>
      </c>
      <c r="AF42" s="66">
        <f t="shared" si="8"/>
        <v>462</v>
      </c>
      <c r="AG42" s="143">
        <f t="shared" si="8"/>
        <v>538.1</v>
      </c>
      <c r="AH42" s="54">
        <f t="shared" si="2"/>
        <v>538</v>
      </c>
      <c r="AI42" s="55">
        <f t="shared" si="3"/>
        <v>462</v>
      </c>
      <c r="AK42" s="56"/>
    </row>
    <row r="43" spans="1:88" x14ac:dyDescent="0.25">
      <c r="A43" s="57" t="s">
        <v>23</v>
      </c>
      <c r="B43" s="50">
        <v>135.9</v>
      </c>
      <c r="C43" s="50">
        <v>136.80000000000001</v>
      </c>
      <c r="D43" s="50">
        <v>136.80000000000001</v>
      </c>
      <c r="E43" s="50">
        <v>136.69999999999999</v>
      </c>
      <c r="F43" s="50">
        <v>137.1</v>
      </c>
      <c r="G43" s="50">
        <v>137.1</v>
      </c>
      <c r="H43" s="50">
        <v>137.1</v>
      </c>
      <c r="I43" s="50">
        <v>136</v>
      </c>
      <c r="J43" s="50">
        <v>137</v>
      </c>
      <c r="K43" s="50">
        <v>137</v>
      </c>
      <c r="L43" s="50">
        <v>136</v>
      </c>
      <c r="M43" s="50">
        <v>134</v>
      </c>
      <c r="N43" s="50">
        <v>134</v>
      </c>
      <c r="O43" s="50">
        <v>90.6</v>
      </c>
      <c r="P43" s="50">
        <v>133.19999999999999</v>
      </c>
      <c r="Q43" s="50">
        <v>136</v>
      </c>
      <c r="R43" s="50">
        <v>133.6</v>
      </c>
      <c r="S43" s="50">
        <v>135</v>
      </c>
      <c r="T43" s="50">
        <v>135</v>
      </c>
      <c r="U43" s="50">
        <v>135</v>
      </c>
      <c r="V43" s="50">
        <v>135</v>
      </c>
      <c r="W43" s="50">
        <v>135</v>
      </c>
      <c r="X43" s="50">
        <v>135</v>
      </c>
      <c r="Y43" s="50">
        <v>135</v>
      </c>
      <c r="Z43" s="50">
        <v>135</v>
      </c>
      <c r="AA43" s="50">
        <v>135</v>
      </c>
      <c r="AB43" s="50">
        <v>138</v>
      </c>
      <c r="AC43" s="50">
        <v>138</v>
      </c>
      <c r="AD43" s="50">
        <v>138</v>
      </c>
      <c r="AE43" s="50">
        <v>138</v>
      </c>
      <c r="AF43" s="50">
        <v>138</v>
      </c>
      <c r="AG43" s="135">
        <v>144</v>
      </c>
      <c r="AH43" s="54">
        <f t="shared" si="2"/>
        <v>138</v>
      </c>
      <c r="AI43" s="55">
        <f t="shared" si="3"/>
        <v>90.6</v>
      </c>
      <c r="AK43" s="56"/>
    </row>
    <row r="44" spans="1:88" x14ac:dyDescent="0.25">
      <c r="A44" s="60" t="s">
        <v>24</v>
      </c>
      <c r="B44" s="48">
        <v>69.599999999999994</v>
      </c>
      <c r="C44" s="48">
        <v>70.5</v>
      </c>
      <c r="D44" s="48">
        <v>71</v>
      </c>
      <c r="E44" s="48">
        <v>70.900000000000006</v>
      </c>
      <c r="F44" s="48">
        <v>69</v>
      </c>
      <c r="G44" s="48">
        <v>69</v>
      </c>
      <c r="H44" s="48">
        <v>69</v>
      </c>
      <c r="I44" s="48">
        <v>70.900000000000006</v>
      </c>
      <c r="J44" s="48">
        <v>72.5</v>
      </c>
      <c r="K44" s="48">
        <v>72.5</v>
      </c>
      <c r="L44" s="48">
        <v>71.099999999999994</v>
      </c>
      <c r="M44" s="48">
        <v>71.099999999999994</v>
      </c>
      <c r="N44" s="48">
        <v>71.099999999999994</v>
      </c>
      <c r="O44" s="48">
        <v>72</v>
      </c>
      <c r="P44" s="48">
        <v>72</v>
      </c>
      <c r="Q44" s="48">
        <v>72</v>
      </c>
      <c r="R44" s="48">
        <v>71.7</v>
      </c>
      <c r="S44" s="48">
        <v>71</v>
      </c>
      <c r="T44" s="48">
        <v>71</v>
      </c>
      <c r="U44" s="48">
        <v>71</v>
      </c>
      <c r="V44" s="48">
        <v>71</v>
      </c>
      <c r="W44" s="48">
        <v>71</v>
      </c>
      <c r="X44" s="48">
        <v>71</v>
      </c>
      <c r="Y44" s="48">
        <v>71</v>
      </c>
      <c r="Z44" s="48">
        <v>0</v>
      </c>
      <c r="AA44" s="48">
        <v>0</v>
      </c>
      <c r="AB44" s="48">
        <v>35.299999999999997</v>
      </c>
      <c r="AC44" s="48">
        <v>35.299999999999997</v>
      </c>
      <c r="AD44" s="48">
        <v>35.299999999999997</v>
      </c>
      <c r="AE44" s="48">
        <v>35.299999999999997</v>
      </c>
      <c r="AF44" s="48">
        <v>0</v>
      </c>
      <c r="AG44" s="136">
        <v>70</v>
      </c>
      <c r="AH44" s="54">
        <f t="shared" si="2"/>
        <v>72.5</v>
      </c>
      <c r="AI44" s="55">
        <f t="shared" si="3"/>
        <v>0</v>
      </c>
      <c r="AK44" s="56"/>
    </row>
    <row r="45" spans="1:88" x14ac:dyDescent="0.25">
      <c r="A45" s="60" t="s">
        <v>25</v>
      </c>
      <c r="B45" s="48">
        <v>61.1</v>
      </c>
      <c r="C45" s="48">
        <v>61.4</v>
      </c>
      <c r="D45" s="48">
        <v>60.8</v>
      </c>
      <c r="E45" s="48">
        <v>60.5</v>
      </c>
      <c r="F45" s="48">
        <v>55.1</v>
      </c>
      <c r="G45" s="48">
        <v>60.3</v>
      </c>
      <c r="H45" s="48">
        <v>60.3</v>
      </c>
      <c r="I45" s="48">
        <v>60.4</v>
      </c>
      <c r="J45" s="48">
        <v>60.8</v>
      </c>
      <c r="K45" s="48">
        <v>60.8</v>
      </c>
      <c r="L45" s="48">
        <v>61.2</v>
      </c>
      <c r="M45" s="48">
        <v>61.2</v>
      </c>
      <c r="N45" s="48">
        <v>61.2</v>
      </c>
      <c r="O45" s="48">
        <v>61.2</v>
      </c>
      <c r="P45" s="48">
        <v>61.2</v>
      </c>
      <c r="Q45" s="48">
        <v>61.2</v>
      </c>
      <c r="R45" s="48">
        <v>61.2</v>
      </c>
      <c r="S45" s="48">
        <v>62</v>
      </c>
      <c r="T45" s="48">
        <v>62</v>
      </c>
      <c r="U45" s="48">
        <v>62</v>
      </c>
      <c r="V45" s="48">
        <v>62</v>
      </c>
      <c r="W45" s="48">
        <v>62</v>
      </c>
      <c r="X45" s="48">
        <v>62</v>
      </c>
      <c r="Y45" s="48">
        <v>62</v>
      </c>
      <c r="Z45" s="48">
        <v>62</v>
      </c>
      <c r="AA45" s="48">
        <v>62</v>
      </c>
      <c r="AB45" s="48">
        <v>62</v>
      </c>
      <c r="AC45" s="48">
        <v>62</v>
      </c>
      <c r="AD45" s="48">
        <v>62</v>
      </c>
      <c r="AE45" s="48">
        <v>62</v>
      </c>
      <c r="AF45" s="48">
        <v>62</v>
      </c>
      <c r="AG45" s="136">
        <v>69</v>
      </c>
      <c r="AH45" s="54">
        <f t="shared" si="2"/>
        <v>62</v>
      </c>
      <c r="AI45" s="55">
        <f t="shared" si="3"/>
        <v>55.1</v>
      </c>
      <c r="AK45" s="56"/>
    </row>
    <row r="46" spans="1:88" x14ac:dyDescent="0.25">
      <c r="A46" s="60" t="s">
        <v>26</v>
      </c>
      <c r="B46" s="62">
        <v>30</v>
      </c>
      <c r="C46" s="62">
        <v>30</v>
      </c>
      <c r="D46" s="62">
        <v>30</v>
      </c>
      <c r="E46" s="62">
        <v>30</v>
      </c>
      <c r="F46" s="62">
        <v>30</v>
      </c>
      <c r="G46" s="62">
        <v>30</v>
      </c>
      <c r="H46" s="62">
        <v>30</v>
      </c>
      <c r="I46" s="62">
        <v>30</v>
      </c>
      <c r="J46" s="62">
        <v>30</v>
      </c>
      <c r="K46" s="62">
        <v>30</v>
      </c>
      <c r="L46" s="62">
        <v>30</v>
      </c>
      <c r="M46" s="62">
        <v>30</v>
      </c>
      <c r="N46" s="62">
        <v>30</v>
      </c>
      <c r="O46" s="62">
        <v>30</v>
      </c>
      <c r="P46" s="62">
        <v>30</v>
      </c>
      <c r="Q46" s="62">
        <v>30</v>
      </c>
      <c r="R46" s="62">
        <v>30</v>
      </c>
      <c r="S46" s="50">
        <v>30.5</v>
      </c>
      <c r="T46" s="50">
        <v>30.5</v>
      </c>
      <c r="U46" s="50">
        <v>30.5</v>
      </c>
      <c r="V46" s="50">
        <v>30.5</v>
      </c>
      <c r="W46" s="50">
        <v>30.5</v>
      </c>
      <c r="X46" s="50">
        <v>30.5</v>
      </c>
      <c r="Y46" s="50">
        <v>30.5</v>
      </c>
      <c r="Z46" s="50">
        <v>30.5</v>
      </c>
      <c r="AA46" s="50">
        <v>30.5</v>
      </c>
      <c r="AB46" s="50">
        <v>30.5</v>
      </c>
      <c r="AC46" s="50">
        <v>30.5</v>
      </c>
      <c r="AD46" s="50">
        <v>30.5</v>
      </c>
      <c r="AE46" s="50">
        <v>30.5</v>
      </c>
      <c r="AF46" s="50">
        <v>56.4</v>
      </c>
      <c r="AG46" s="136">
        <v>60</v>
      </c>
      <c r="AH46" s="54">
        <f t="shared" si="2"/>
        <v>56.4</v>
      </c>
      <c r="AI46" s="55">
        <f t="shared" si="3"/>
        <v>30</v>
      </c>
      <c r="AK46" s="56"/>
    </row>
    <row r="47" spans="1:88" x14ac:dyDescent="0.25">
      <c r="A47" s="60" t="s">
        <v>27</v>
      </c>
      <c r="B47" s="62">
        <v>28.8</v>
      </c>
      <c r="C47" s="62">
        <v>28.8</v>
      </c>
      <c r="D47" s="62">
        <v>28.7</v>
      </c>
      <c r="E47" s="62">
        <v>28.4</v>
      </c>
      <c r="F47" s="62">
        <v>28</v>
      </c>
      <c r="G47" s="62">
        <v>0</v>
      </c>
      <c r="H47" s="62">
        <v>0</v>
      </c>
      <c r="I47" s="62">
        <v>0</v>
      </c>
      <c r="J47" s="62">
        <v>0</v>
      </c>
      <c r="K47" s="62">
        <v>0</v>
      </c>
      <c r="L47" s="62">
        <v>0</v>
      </c>
      <c r="M47" s="62">
        <v>0</v>
      </c>
      <c r="N47" s="62">
        <v>0</v>
      </c>
      <c r="O47" s="62">
        <v>0</v>
      </c>
      <c r="P47" s="62">
        <v>0</v>
      </c>
      <c r="Q47" s="62">
        <v>15</v>
      </c>
      <c r="R47" s="62">
        <v>0</v>
      </c>
      <c r="S47" s="50">
        <v>0</v>
      </c>
      <c r="T47" s="50">
        <v>0</v>
      </c>
      <c r="U47" s="50">
        <v>0</v>
      </c>
      <c r="V47" s="50">
        <v>0</v>
      </c>
      <c r="W47" s="50">
        <v>0</v>
      </c>
      <c r="X47" s="50">
        <v>0</v>
      </c>
      <c r="Y47" s="50">
        <v>0</v>
      </c>
      <c r="Z47" s="50">
        <v>0</v>
      </c>
      <c r="AA47" s="50">
        <v>0</v>
      </c>
      <c r="AB47" s="50">
        <v>28.2</v>
      </c>
      <c r="AC47" s="50">
        <v>28.2</v>
      </c>
      <c r="AD47" s="50">
        <v>28.2</v>
      </c>
      <c r="AE47" s="50">
        <v>28.2</v>
      </c>
      <c r="AF47" s="50">
        <v>28.2</v>
      </c>
      <c r="AG47" s="136">
        <v>30</v>
      </c>
      <c r="AH47" s="54">
        <f t="shared" si="2"/>
        <v>28.8</v>
      </c>
      <c r="AI47" s="55">
        <f t="shared" si="3"/>
        <v>0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62">
        <v>0</v>
      </c>
      <c r="G48" s="62">
        <v>0</v>
      </c>
      <c r="H48" s="62">
        <v>0</v>
      </c>
      <c r="I48" s="62">
        <v>0</v>
      </c>
      <c r="J48" s="62">
        <v>0</v>
      </c>
      <c r="K48" s="62">
        <v>0</v>
      </c>
      <c r="L48" s="62">
        <v>0</v>
      </c>
      <c r="M48" s="62">
        <v>8</v>
      </c>
      <c r="N48" s="62">
        <v>8</v>
      </c>
      <c r="O48" s="62">
        <v>8</v>
      </c>
      <c r="P48" s="62">
        <v>8</v>
      </c>
      <c r="Q48" s="62">
        <v>8</v>
      </c>
      <c r="R48" s="62">
        <v>8</v>
      </c>
      <c r="S48" s="50">
        <v>8</v>
      </c>
      <c r="T48" s="50">
        <v>8</v>
      </c>
      <c r="U48" s="50">
        <v>8</v>
      </c>
      <c r="V48" s="50">
        <v>8</v>
      </c>
      <c r="W48" s="50">
        <v>8</v>
      </c>
      <c r="X48" s="50">
        <v>8</v>
      </c>
      <c r="Y48" s="50">
        <v>8</v>
      </c>
      <c r="Z48" s="50">
        <v>8</v>
      </c>
      <c r="AA48" s="50">
        <v>8</v>
      </c>
      <c r="AB48" s="50">
        <v>0</v>
      </c>
      <c r="AC48" s="50">
        <v>0</v>
      </c>
      <c r="AD48" s="50">
        <v>0</v>
      </c>
      <c r="AE48" s="50">
        <v>0</v>
      </c>
      <c r="AF48" s="50">
        <v>0</v>
      </c>
      <c r="AG48" s="136">
        <v>25</v>
      </c>
      <c r="AH48" s="54">
        <f t="shared" si="2"/>
        <v>8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14.1</v>
      </c>
      <c r="C49" s="48">
        <v>14.1</v>
      </c>
      <c r="D49" s="48">
        <v>14.1</v>
      </c>
      <c r="E49" s="48">
        <v>14.1</v>
      </c>
      <c r="F49" s="48">
        <v>14.2</v>
      </c>
      <c r="G49" s="48">
        <v>14.2</v>
      </c>
      <c r="H49" s="48">
        <v>14.2</v>
      </c>
      <c r="I49" s="48">
        <v>14.2</v>
      </c>
      <c r="J49" s="48">
        <v>14</v>
      </c>
      <c r="K49" s="48">
        <v>14</v>
      </c>
      <c r="L49" s="48">
        <v>14</v>
      </c>
      <c r="M49" s="48">
        <v>14</v>
      </c>
      <c r="N49" s="48">
        <v>14</v>
      </c>
      <c r="O49" s="48">
        <v>16.3</v>
      </c>
      <c r="P49" s="48">
        <v>16.3</v>
      </c>
      <c r="Q49" s="48">
        <v>16.3</v>
      </c>
      <c r="R49" s="48">
        <v>15.9</v>
      </c>
      <c r="S49" s="50">
        <v>16</v>
      </c>
      <c r="T49" s="50">
        <v>16</v>
      </c>
      <c r="U49" s="50">
        <v>16</v>
      </c>
      <c r="V49" s="50">
        <v>16</v>
      </c>
      <c r="W49" s="50">
        <v>16</v>
      </c>
      <c r="X49" s="50">
        <v>16</v>
      </c>
      <c r="Y49" s="50">
        <v>16</v>
      </c>
      <c r="Z49" s="50">
        <v>16</v>
      </c>
      <c r="AA49" s="50">
        <v>16</v>
      </c>
      <c r="AB49" s="50">
        <v>16.8</v>
      </c>
      <c r="AC49" s="50">
        <v>16.8</v>
      </c>
      <c r="AD49" s="50">
        <v>16.8</v>
      </c>
      <c r="AE49" s="50">
        <v>16.8</v>
      </c>
      <c r="AF49" s="50">
        <v>16.8</v>
      </c>
      <c r="AG49" s="136">
        <v>24</v>
      </c>
      <c r="AH49" s="54">
        <f t="shared" si="2"/>
        <v>16.8</v>
      </c>
      <c r="AI49" s="55">
        <f t="shared" si="3"/>
        <v>14</v>
      </c>
      <c r="AK49" s="56"/>
    </row>
    <row r="50" spans="1:41" x14ac:dyDescent="0.25">
      <c r="A50" s="60" t="s">
        <v>30</v>
      </c>
      <c r="B50" s="48">
        <v>0</v>
      </c>
      <c r="C50" s="48">
        <v>0</v>
      </c>
      <c r="D50" s="48">
        <v>0</v>
      </c>
      <c r="E50" s="48">
        <v>0</v>
      </c>
      <c r="F50" s="48">
        <v>0</v>
      </c>
      <c r="G50" s="48">
        <v>0</v>
      </c>
      <c r="H50" s="48">
        <v>0</v>
      </c>
      <c r="I50" s="48">
        <v>0</v>
      </c>
      <c r="J50" s="48">
        <v>0</v>
      </c>
      <c r="K50" s="48">
        <v>0</v>
      </c>
      <c r="L50" s="48">
        <v>0</v>
      </c>
      <c r="M50" s="48">
        <v>0</v>
      </c>
      <c r="N50" s="48">
        <v>0</v>
      </c>
      <c r="O50" s="48">
        <v>0</v>
      </c>
      <c r="P50" s="48">
        <v>0</v>
      </c>
      <c r="Q50" s="48">
        <v>0</v>
      </c>
      <c r="R50" s="48">
        <v>0</v>
      </c>
      <c r="S50" s="50">
        <v>0</v>
      </c>
      <c r="T50" s="50">
        <v>0</v>
      </c>
      <c r="U50" s="50">
        <v>0</v>
      </c>
      <c r="V50" s="50">
        <v>0</v>
      </c>
      <c r="W50" s="50">
        <v>0</v>
      </c>
      <c r="X50" s="50">
        <v>0</v>
      </c>
      <c r="Y50" s="50">
        <v>0</v>
      </c>
      <c r="Z50" s="50">
        <v>0</v>
      </c>
      <c r="AA50" s="50">
        <v>0</v>
      </c>
      <c r="AB50" s="50">
        <v>0</v>
      </c>
      <c r="AC50" s="50">
        <v>0</v>
      </c>
      <c r="AD50" s="50">
        <v>0</v>
      </c>
      <c r="AE50" s="50">
        <v>0</v>
      </c>
      <c r="AF50" s="50">
        <v>0</v>
      </c>
      <c r="AG50" s="136">
        <v>15</v>
      </c>
      <c r="AH50" s="54">
        <f t="shared" si="2"/>
        <v>0</v>
      </c>
      <c r="AI50" s="55">
        <f t="shared" si="3"/>
        <v>0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9.8000000000000007</v>
      </c>
      <c r="C51" s="48">
        <v>10.3</v>
      </c>
      <c r="D51" s="48">
        <v>10</v>
      </c>
      <c r="E51" s="48">
        <v>10.5</v>
      </c>
      <c r="F51" s="48">
        <v>10.5</v>
      </c>
      <c r="G51" s="48">
        <v>10.5</v>
      </c>
      <c r="H51" s="48">
        <v>10.5</v>
      </c>
      <c r="I51" s="48">
        <v>10.5</v>
      </c>
      <c r="J51" s="48">
        <v>10.5</v>
      </c>
      <c r="K51" s="48">
        <v>10.5</v>
      </c>
      <c r="L51" s="48">
        <v>10.5</v>
      </c>
      <c r="M51" s="48">
        <v>10.5</v>
      </c>
      <c r="N51" s="48">
        <v>10.5</v>
      </c>
      <c r="O51" s="48">
        <v>12.2</v>
      </c>
      <c r="P51" s="48">
        <v>12.2</v>
      </c>
      <c r="Q51" s="48">
        <v>12.2</v>
      </c>
      <c r="R51" s="48">
        <v>13</v>
      </c>
      <c r="S51" s="50">
        <v>13</v>
      </c>
      <c r="T51" s="50">
        <v>13</v>
      </c>
      <c r="U51" s="50">
        <v>13</v>
      </c>
      <c r="V51" s="50">
        <v>13</v>
      </c>
      <c r="W51" s="50">
        <v>13</v>
      </c>
      <c r="X51" s="50">
        <v>13</v>
      </c>
      <c r="Y51" s="50">
        <v>13</v>
      </c>
      <c r="Z51" s="50">
        <v>13</v>
      </c>
      <c r="AA51" s="50">
        <v>13</v>
      </c>
      <c r="AB51" s="50">
        <v>13</v>
      </c>
      <c r="AC51" s="50">
        <v>13</v>
      </c>
      <c r="AD51" s="50">
        <v>13</v>
      </c>
      <c r="AE51" s="50">
        <v>13</v>
      </c>
      <c r="AF51" s="50">
        <v>13</v>
      </c>
      <c r="AG51" s="136">
        <v>14.1</v>
      </c>
      <c r="AH51" s="54">
        <f t="shared" si="2"/>
        <v>13</v>
      </c>
      <c r="AI51" s="55">
        <f t="shared" si="3"/>
        <v>9.8000000000000007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6.6</v>
      </c>
      <c r="C52" s="48">
        <v>9.9</v>
      </c>
      <c r="D52" s="48">
        <v>11.7</v>
      </c>
      <c r="E52" s="48">
        <v>4</v>
      </c>
      <c r="F52" s="48">
        <v>1.7</v>
      </c>
      <c r="G52" s="48">
        <v>13.5</v>
      </c>
      <c r="H52" s="48">
        <v>13.5</v>
      </c>
      <c r="I52" s="48">
        <v>13.5</v>
      </c>
      <c r="J52" s="48">
        <v>6.9</v>
      </c>
      <c r="K52" s="48">
        <v>13.6</v>
      </c>
      <c r="L52" s="48">
        <v>13.6</v>
      </c>
      <c r="M52" s="48">
        <v>12</v>
      </c>
      <c r="N52" s="48">
        <v>4.2</v>
      </c>
      <c r="O52" s="48">
        <v>13.8</v>
      </c>
      <c r="P52" s="48">
        <v>13.8</v>
      </c>
      <c r="Q52" s="48">
        <v>13.8</v>
      </c>
      <c r="R52" s="48">
        <v>13.8</v>
      </c>
      <c r="S52" s="50">
        <v>13.7</v>
      </c>
      <c r="T52" s="50">
        <v>13.7</v>
      </c>
      <c r="U52" s="50">
        <v>13.7</v>
      </c>
      <c r="V52" s="50">
        <v>13.7</v>
      </c>
      <c r="W52" s="50">
        <v>13.7</v>
      </c>
      <c r="X52" s="50">
        <v>13.7</v>
      </c>
      <c r="Y52" s="50">
        <v>13.7</v>
      </c>
      <c r="Z52" s="50">
        <v>13.7</v>
      </c>
      <c r="AA52" s="50">
        <v>13.7</v>
      </c>
      <c r="AB52" s="50">
        <v>13.7</v>
      </c>
      <c r="AC52" s="50">
        <v>13.7</v>
      </c>
      <c r="AD52" s="50">
        <v>13.7</v>
      </c>
      <c r="AE52" s="50">
        <v>13.7</v>
      </c>
      <c r="AF52" s="50">
        <v>10.6</v>
      </c>
      <c r="AG52" s="136">
        <v>14</v>
      </c>
      <c r="AH52" s="54">
        <f t="shared" si="2"/>
        <v>13.8</v>
      </c>
      <c r="AI52" s="55">
        <f t="shared" si="3"/>
        <v>1.7</v>
      </c>
      <c r="AK52" s="56"/>
    </row>
    <row r="53" spans="1:41" x14ac:dyDescent="0.25">
      <c r="A53" s="60" t="s">
        <v>33</v>
      </c>
      <c r="B53" s="48">
        <v>9</v>
      </c>
      <c r="C53" s="48">
        <v>9</v>
      </c>
      <c r="D53" s="48">
        <v>9</v>
      </c>
      <c r="E53" s="48">
        <v>8.6999999999999993</v>
      </c>
      <c r="F53" s="48">
        <v>8</v>
      </c>
      <c r="G53" s="48">
        <v>8</v>
      </c>
      <c r="H53" s="48">
        <v>8</v>
      </c>
      <c r="I53" s="48">
        <v>8</v>
      </c>
      <c r="J53" s="48">
        <v>8</v>
      </c>
      <c r="K53" s="48">
        <v>8</v>
      </c>
      <c r="L53" s="48">
        <v>8</v>
      </c>
      <c r="M53" s="48">
        <v>8</v>
      </c>
      <c r="N53" s="48">
        <v>8</v>
      </c>
      <c r="O53" s="48">
        <v>8</v>
      </c>
      <c r="P53" s="48">
        <v>8</v>
      </c>
      <c r="Q53" s="48">
        <v>8</v>
      </c>
      <c r="R53" s="48">
        <v>8</v>
      </c>
      <c r="S53" s="50">
        <v>8</v>
      </c>
      <c r="T53" s="50">
        <v>8</v>
      </c>
      <c r="U53" s="50">
        <v>8</v>
      </c>
      <c r="V53" s="50">
        <v>8</v>
      </c>
      <c r="W53" s="50">
        <v>8</v>
      </c>
      <c r="X53" s="50">
        <v>8</v>
      </c>
      <c r="Y53" s="50">
        <v>8</v>
      </c>
      <c r="Z53" s="50">
        <v>8</v>
      </c>
      <c r="AA53" s="50">
        <v>8</v>
      </c>
      <c r="AB53" s="50">
        <v>8</v>
      </c>
      <c r="AC53" s="50">
        <v>8</v>
      </c>
      <c r="AD53" s="50">
        <v>8</v>
      </c>
      <c r="AE53" s="50">
        <v>8</v>
      </c>
      <c r="AF53" s="50">
        <v>8</v>
      </c>
      <c r="AG53" s="136">
        <v>10.050000000000001</v>
      </c>
      <c r="AH53" s="54">
        <f t="shared" si="2"/>
        <v>9</v>
      </c>
      <c r="AI53" s="55">
        <f t="shared" si="3"/>
        <v>8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48">
        <v>6.2</v>
      </c>
      <c r="N54" s="48">
        <v>6.2</v>
      </c>
      <c r="O54" s="48">
        <v>6.2</v>
      </c>
      <c r="P54" s="48">
        <v>6.2</v>
      </c>
      <c r="Q54" s="48">
        <v>6.2</v>
      </c>
      <c r="R54" s="48">
        <v>6.2</v>
      </c>
      <c r="S54" s="50">
        <v>6.2</v>
      </c>
      <c r="T54" s="50">
        <v>6.2</v>
      </c>
      <c r="U54" s="50">
        <v>6.2</v>
      </c>
      <c r="V54" s="50">
        <v>6.2</v>
      </c>
      <c r="W54" s="50">
        <v>6.2</v>
      </c>
      <c r="X54" s="50">
        <v>6.2</v>
      </c>
      <c r="Y54" s="50">
        <v>6.2</v>
      </c>
      <c r="Z54" s="50">
        <v>6.2</v>
      </c>
      <c r="AA54" s="50">
        <v>6.2</v>
      </c>
      <c r="AB54" s="50">
        <v>6.2</v>
      </c>
      <c r="AC54" s="50">
        <v>6.2</v>
      </c>
      <c r="AD54" s="50">
        <v>6.2</v>
      </c>
      <c r="AE54" s="50">
        <v>6.2</v>
      </c>
      <c r="AF54" s="50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9">AG220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 t="shared" ref="B56" si="10">SUM(B43:B55)</f>
        <v>374.6400000000001</v>
      </c>
      <c r="C56" s="66">
        <f t="shared" ref="C56:AG56" si="11">SUM(C43:C55)</f>
        <v>380.54</v>
      </c>
      <c r="D56" s="66">
        <f t="shared" si="11"/>
        <v>381.84000000000003</v>
      </c>
      <c r="E56" s="66">
        <f t="shared" si="11"/>
        <v>373.54</v>
      </c>
      <c r="F56" s="66">
        <f t="shared" si="11"/>
        <v>363.34</v>
      </c>
      <c r="G56" s="66">
        <f t="shared" si="11"/>
        <v>352.34</v>
      </c>
      <c r="H56" s="66">
        <f t="shared" si="11"/>
        <v>352.34</v>
      </c>
      <c r="I56" s="66">
        <f t="shared" si="11"/>
        <v>353.24</v>
      </c>
      <c r="J56" s="66">
        <f t="shared" si="11"/>
        <v>349.44</v>
      </c>
      <c r="K56" s="66">
        <f t="shared" si="11"/>
        <v>356.14000000000004</v>
      </c>
      <c r="L56" s="66">
        <f t="shared" si="11"/>
        <v>354.14000000000004</v>
      </c>
      <c r="M56" s="66">
        <f t="shared" si="11"/>
        <v>358.54</v>
      </c>
      <c r="N56" s="66">
        <f t="shared" si="11"/>
        <v>350.74</v>
      </c>
      <c r="O56" s="66">
        <f t="shared" si="11"/>
        <v>321.84000000000003</v>
      </c>
      <c r="P56" s="66">
        <f t="shared" si="11"/>
        <v>364.44</v>
      </c>
      <c r="Q56" s="66">
        <f t="shared" si="11"/>
        <v>382.24</v>
      </c>
      <c r="R56" s="66">
        <f t="shared" si="11"/>
        <v>364.94</v>
      </c>
      <c r="S56" s="66">
        <f t="shared" si="11"/>
        <v>366.94</v>
      </c>
      <c r="T56" s="66">
        <f t="shared" si="11"/>
        <v>366.94</v>
      </c>
      <c r="U56" s="66">
        <f t="shared" si="11"/>
        <v>366.94</v>
      </c>
      <c r="V56" s="66">
        <f t="shared" si="11"/>
        <v>366.94</v>
      </c>
      <c r="W56" s="66">
        <f t="shared" si="11"/>
        <v>366.94</v>
      </c>
      <c r="X56" s="66">
        <f t="shared" si="11"/>
        <v>366.94</v>
      </c>
      <c r="Y56" s="66">
        <f t="shared" si="11"/>
        <v>366.94</v>
      </c>
      <c r="Z56" s="66">
        <f t="shared" si="11"/>
        <v>295.94</v>
      </c>
      <c r="AA56" s="66">
        <f t="shared" si="11"/>
        <v>295.94</v>
      </c>
      <c r="AB56" s="66">
        <f t="shared" si="11"/>
        <v>355.24</v>
      </c>
      <c r="AC56" s="66">
        <f t="shared" si="11"/>
        <v>355.24</v>
      </c>
      <c r="AD56" s="66">
        <f t="shared" si="11"/>
        <v>355.24</v>
      </c>
      <c r="AE56" s="66">
        <f t="shared" si="11"/>
        <v>355.24</v>
      </c>
      <c r="AF56" s="66">
        <f t="shared" si="11"/>
        <v>342.74</v>
      </c>
      <c r="AG56" s="143">
        <f t="shared" si="11"/>
        <v>489.91</v>
      </c>
      <c r="AH56" s="54">
        <f t="shared" si="2"/>
        <v>382.24</v>
      </c>
      <c r="AI56" s="55">
        <f t="shared" si="3"/>
        <v>295.94</v>
      </c>
      <c r="AK56" s="56"/>
    </row>
    <row r="57" spans="1:41" x14ac:dyDescent="0.25">
      <c r="A57" s="57" t="s">
        <v>37</v>
      </c>
      <c r="B57" s="50">
        <v>9.6999999999999993</v>
      </c>
      <c r="C57" s="50">
        <v>13.5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29.8</v>
      </c>
      <c r="M57" s="50">
        <v>29.8</v>
      </c>
      <c r="N57" s="50">
        <v>24.1</v>
      </c>
      <c r="O57" s="50">
        <v>59.3</v>
      </c>
      <c r="P57" s="50">
        <v>59.3</v>
      </c>
      <c r="Q57" s="50">
        <v>50</v>
      </c>
      <c r="R57" s="50">
        <v>40</v>
      </c>
      <c r="S57" s="50">
        <v>39</v>
      </c>
      <c r="T57" s="50">
        <v>39</v>
      </c>
      <c r="U57" s="50">
        <v>25.2</v>
      </c>
      <c r="V57" s="50">
        <v>13.4</v>
      </c>
      <c r="W57" s="50">
        <v>13.4</v>
      </c>
      <c r="X57" s="50">
        <v>59.8</v>
      </c>
      <c r="Y57" s="50">
        <v>59.8</v>
      </c>
      <c r="Z57" s="50">
        <v>59.8</v>
      </c>
      <c r="AA57" s="50">
        <v>59.8</v>
      </c>
      <c r="AB57" s="50">
        <v>59.3</v>
      </c>
      <c r="AC57" s="50">
        <v>59.3</v>
      </c>
      <c r="AD57" s="50">
        <v>59.3</v>
      </c>
      <c r="AE57" s="50">
        <v>10</v>
      </c>
      <c r="AF57" s="50">
        <v>0</v>
      </c>
      <c r="AG57" s="135">
        <v>60</v>
      </c>
      <c r="AH57" s="54">
        <f t="shared" si="2"/>
        <v>59.8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4.9000000000000004</v>
      </c>
      <c r="C58" s="48">
        <v>6.3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14.7</v>
      </c>
      <c r="M58" s="48">
        <v>14.7</v>
      </c>
      <c r="N58" s="48">
        <v>12.5</v>
      </c>
      <c r="O58" s="48">
        <v>28.4</v>
      </c>
      <c r="P58" s="48">
        <v>30.2</v>
      </c>
      <c r="Q58" s="48">
        <v>22.6</v>
      </c>
      <c r="R58" s="48">
        <v>26</v>
      </c>
      <c r="S58" s="48">
        <v>16</v>
      </c>
      <c r="T58" s="48">
        <v>16</v>
      </c>
      <c r="U58" s="48">
        <v>8.5</v>
      </c>
      <c r="V58" s="48">
        <v>14.7</v>
      </c>
      <c r="W58" s="48">
        <v>14.7</v>
      </c>
      <c r="X58" s="48">
        <v>30.3</v>
      </c>
      <c r="Y58" s="48">
        <v>30.3</v>
      </c>
      <c r="Z58" s="48">
        <v>30.3</v>
      </c>
      <c r="AA58" s="48">
        <v>30.3</v>
      </c>
      <c r="AB58" s="48">
        <v>29.3</v>
      </c>
      <c r="AC58" s="48">
        <v>29.3</v>
      </c>
      <c r="AD58" s="48">
        <v>29.3</v>
      </c>
      <c r="AE58" s="48">
        <v>5</v>
      </c>
      <c r="AF58" s="48">
        <v>0</v>
      </c>
      <c r="AG58" s="136">
        <v>32</v>
      </c>
      <c r="AH58" s="54">
        <f t="shared" si="2"/>
        <v>30.3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1.8</v>
      </c>
      <c r="C59" s="70">
        <v>2.2999999999999998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5.4</v>
      </c>
      <c r="M59" s="70">
        <v>5.4</v>
      </c>
      <c r="N59" s="70">
        <v>4.5999999999999996</v>
      </c>
      <c r="O59" s="70">
        <v>10.4</v>
      </c>
      <c r="P59" s="70">
        <v>11</v>
      </c>
      <c r="Q59" s="70">
        <v>8.1999999999999993</v>
      </c>
      <c r="R59" s="70">
        <v>9.6999999999999993</v>
      </c>
      <c r="S59" s="70">
        <v>5.3</v>
      </c>
      <c r="T59" s="70">
        <v>5.3</v>
      </c>
      <c r="U59" s="70">
        <v>3</v>
      </c>
      <c r="V59" s="70">
        <v>5.4</v>
      </c>
      <c r="W59" s="70">
        <v>5.4</v>
      </c>
      <c r="X59" s="70">
        <v>11.1</v>
      </c>
      <c r="Y59" s="70">
        <v>11.1</v>
      </c>
      <c r="Z59" s="70">
        <v>11.1</v>
      </c>
      <c r="AA59" s="70">
        <v>11.1</v>
      </c>
      <c r="AB59" s="70">
        <v>10.7</v>
      </c>
      <c r="AC59" s="70">
        <v>10.7</v>
      </c>
      <c r="AD59" s="70">
        <v>10.7</v>
      </c>
      <c r="AE59" s="70">
        <v>1.8</v>
      </c>
      <c r="AF59" s="70">
        <v>0</v>
      </c>
      <c r="AG59" s="137">
        <v>14</v>
      </c>
      <c r="AH59" s="54">
        <f t="shared" si="2"/>
        <v>11.1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 t="shared" ref="B60" si="12">SUM(B57:B59)</f>
        <v>16.399999999999999</v>
      </c>
      <c r="C60" s="66">
        <f t="shared" ref="C60:AG60" si="13">SUM(C57:C59)</f>
        <v>22.1</v>
      </c>
      <c r="D60" s="66">
        <f t="shared" si="13"/>
        <v>0</v>
      </c>
      <c r="E60" s="66">
        <f t="shared" si="13"/>
        <v>0</v>
      </c>
      <c r="F60" s="66">
        <f t="shared" si="13"/>
        <v>0</v>
      </c>
      <c r="G60" s="66">
        <f t="shared" si="13"/>
        <v>0</v>
      </c>
      <c r="H60" s="66">
        <f t="shared" si="13"/>
        <v>0</v>
      </c>
      <c r="I60" s="66">
        <f t="shared" si="13"/>
        <v>0</v>
      </c>
      <c r="J60" s="66">
        <f t="shared" si="13"/>
        <v>0</v>
      </c>
      <c r="K60" s="66">
        <f t="shared" si="13"/>
        <v>0</v>
      </c>
      <c r="L60" s="66">
        <f t="shared" si="13"/>
        <v>49.9</v>
      </c>
      <c r="M60" s="66">
        <f t="shared" si="13"/>
        <v>49.9</v>
      </c>
      <c r="N60" s="66">
        <f t="shared" si="13"/>
        <v>41.2</v>
      </c>
      <c r="O60" s="66">
        <f t="shared" si="13"/>
        <v>98.1</v>
      </c>
      <c r="P60" s="66">
        <f t="shared" si="13"/>
        <v>100.5</v>
      </c>
      <c r="Q60" s="66">
        <f t="shared" si="13"/>
        <v>80.8</v>
      </c>
      <c r="R60" s="66">
        <f t="shared" si="13"/>
        <v>75.7</v>
      </c>
      <c r="S60" s="66">
        <f t="shared" si="13"/>
        <v>60.3</v>
      </c>
      <c r="T60" s="66">
        <f t="shared" si="13"/>
        <v>60.3</v>
      </c>
      <c r="U60" s="66">
        <f t="shared" si="13"/>
        <v>36.700000000000003</v>
      </c>
      <c r="V60" s="66">
        <f t="shared" si="13"/>
        <v>33.5</v>
      </c>
      <c r="W60" s="66">
        <f t="shared" si="13"/>
        <v>33.5</v>
      </c>
      <c r="X60" s="66">
        <f t="shared" si="13"/>
        <v>101.19999999999999</v>
      </c>
      <c r="Y60" s="66">
        <f t="shared" si="13"/>
        <v>101.19999999999999</v>
      </c>
      <c r="Z60" s="66">
        <f t="shared" si="13"/>
        <v>101.19999999999999</v>
      </c>
      <c r="AA60" s="66">
        <f t="shared" si="13"/>
        <v>101.19999999999999</v>
      </c>
      <c r="AB60" s="66">
        <f t="shared" si="13"/>
        <v>99.3</v>
      </c>
      <c r="AC60" s="66">
        <f t="shared" si="13"/>
        <v>99.3</v>
      </c>
      <c r="AD60" s="66">
        <f t="shared" si="13"/>
        <v>99.3</v>
      </c>
      <c r="AE60" s="66">
        <f t="shared" si="13"/>
        <v>16.8</v>
      </c>
      <c r="AF60" s="66">
        <f t="shared" si="13"/>
        <v>0</v>
      </c>
      <c r="AG60" s="143">
        <f t="shared" si="13"/>
        <v>106</v>
      </c>
      <c r="AH60" s="54">
        <f t="shared" si="2"/>
        <v>101.19999999999999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3.2</v>
      </c>
      <c r="C61" s="50">
        <v>1.6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50">
        <v>0</v>
      </c>
      <c r="P61" s="50">
        <v>0</v>
      </c>
      <c r="Q61" s="50">
        <v>0</v>
      </c>
      <c r="R61" s="50">
        <v>27.1</v>
      </c>
      <c r="S61" s="50">
        <v>35.4</v>
      </c>
      <c r="T61" s="50">
        <v>35.4</v>
      </c>
      <c r="U61" s="50">
        <v>24.7</v>
      </c>
      <c r="V61" s="50">
        <v>27.6</v>
      </c>
      <c r="W61" s="50">
        <v>27.6</v>
      </c>
      <c r="X61" s="50">
        <v>27.6</v>
      </c>
      <c r="Y61" s="50">
        <v>27.6</v>
      </c>
      <c r="Z61" s="50">
        <v>45</v>
      </c>
      <c r="AA61" s="50">
        <v>58</v>
      </c>
      <c r="AB61" s="50">
        <v>64.599999999999994</v>
      </c>
      <c r="AC61" s="50">
        <v>64.599999999999994</v>
      </c>
      <c r="AD61" s="50">
        <v>63.3</v>
      </c>
      <c r="AE61" s="50">
        <v>61.3</v>
      </c>
      <c r="AF61" s="50">
        <v>61.7</v>
      </c>
      <c r="AG61" s="135"/>
      <c r="AH61" s="54">
        <f t="shared" si="2"/>
        <v>64.599999999999994</v>
      </c>
      <c r="AI61" s="55">
        <f t="shared" si="3"/>
        <v>0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-365</v>
      </c>
      <c r="C63" s="48">
        <v>-362</v>
      </c>
      <c r="D63" s="48">
        <v>-397</v>
      </c>
      <c r="E63" s="48">
        <v>-398.1</v>
      </c>
      <c r="F63" s="48">
        <v>-410</v>
      </c>
      <c r="G63" s="48">
        <v>-373.9</v>
      </c>
      <c r="H63" s="48">
        <v>-368</v>
      </c>
      <c r="I63" s="48">
        <v>-377.7</v>
      </c>
      <c r="J63" s="48">
        <v>-381</v>
      </c>
      <c r="K63" s="48">
        <v>-318</v>
      </c>
      <c r="L63" s="48">
        <v>-355.2</v>
      </c>
      <c r="M63" s="48">
        <v>-354</v>
      </c>
      <c r="N63" s="48">
        <v>-340.5</v>
      </c>
      <c r="O63" s="48">
        <v>-232</v>
      </c>
      <c r="P63" s="48">
        <v>-286</v>
      </c>
      <c r="Q63" s="48">
        <v>-290</v>
      </c>
      <c r="R63" s="48">
        <v>-294</v>
      </c>
      <c r="S63" s="48">
        <v>300</v>
      </c>
      <c r="T63" s="48">
        <v>295</v>
      </c>
      <c r="U63" s="48">
        <v>303</v>
      </c>
      <c r="V63" s="48">
        <v>-312</v>
      </c>
      <c r="W63" s="48">
        <v>-370</v>
      </c>
      <c r="X63" s="48">
        <v>-365</v>
      </c>
      <c r="Y63" s="48">
        <v>-290</v>
      </c>
      <c r="Z63" s="48">
        <v>-256</v>
      </c>
      <c r="AA63" s="48">
        <v>-176</v>
      </c>
      <c r="AB63" s="48">
        <v>-213</v>
      </c>
      <c r="AC63" s="48">
        <v>-229</v>
      </c>
      <c r="AD63" s="48">
        <v>-239</v>
      </c>
      <c r="AE63" s="48">
        <v>-239</v>
      </c>
      <c r="AF63" s="48">
        <v>-205</v>
      </c>
      <c r="AG63" s="140"/>
      <c r="AH63" s="54">
        <f t="shared" si="2"/>
        <v>303</v>
      </c>
      <c r="AI63" s="55">
        <f t="shared" si="3"/>
        <v>-410</v>
      </c>
      <c r="AK63" s="56"/>
    </row>
    <row r="64" spans="1:41" x14ac:dyDescent="0.25">
      <c r="A64" s="60" t="s">
        <v>44</v>
      </c>
      <c r="B64" s="71">
        <v>0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17.3</v>
      </c>
      <c r="AC64" s="71">
        <v>17.3</v>
      </c>
      <c r="AD64" s="71">
        <v>17.5</v>
      </c>
      <c r="AE64" s="71">
        <v>17.5</v>
      </c>
      <c r="AF64" s="71">
        <v>16.5</v>
      </c>
      <c r="AG64" s="140"/>
      <c r="AH64" s="54">
        <f t="shared" si="2"/>
        <v>17.5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4</v>
      </c>
      <c r="C66" s="72">
        <v>4</v>
      </c>
      <c r="D66" s="72">
        <v>4</v>
      </c>
      <c r="E66" s="72">
        <v>0</v>
      </c>
      <c r="F66" s="72">
        <v>0</v>
      </c>
      <c r="G66" s="72">
        <v>0</v>
      </c>
      <c r="H66" s="72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0</v>
      </c>
      <c r="AD66" s="72">
        <v>0</v>
      </c>
      <c r="AE66" s="72">
        <v>0</v>
      </c>
      <c r="AF66" s="72">
        <v>0</v>
      </c>
      <c r="AG66" s="140"/>
      <c r="AH66" s="54">
        <f t="shared" si="2"/>
        <v>4</v>
      </c>
      <c r="AI66" s="55">
        <f t="shared" si="3"/>
        <v>0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1">
        <v>0</v>
      </c>
      <c r="D68" s="71">
        <v>0</v>
      </c>
      <c r="E68" s="71">
        <v>0</v>
      </c>
      <c r="F68" s="71">
        <v>0</v>
      </c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1">
        <v>0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4">
        <v>0</v>
      </c>
      <c r="C70" s="74">
        <v>0</v>
      </c>
      <c r="D70" s="74">
        <v>0</v>
      </c>
      <c r="E70" s="74">
        <v>0</v>
      </c>
      <c r="F70" s="74">
        <v>0</v>
      </c>
      <c r="G70" s="74">
        <v>0</v>
      </c>
      <c r="H70" s="74">
        <v>0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4">
        <v>0</v>
      </c>
      <c r="C71" s="74">
        <v>0</v>
      </c>
      <c r="D71" s="74">
        <v>0</v>
      </c>
      <c r="E71" s="74">
        <v>0</v>
      </c>
      <c r="F71" s="74">
        <v>0</v>
      </c>
      <c r="G71" s="74">
        <v>0</v>
      </c>
      <c r="H71" s="74">
        <v>0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 t="shared" ref="B72" si="14">SUMIF(B61:B71,"&gt;0")</f>
        <v>7.2</v>
      </c>
      <c r="C72" s="66">
        <f t="shared" ref="C72:L72" si="15">SUMIF(C61:C71,"&gt;0")</f>
        <v>5.6</v>
      </c>
      <c r="D72" s="66">
        <f t="shared" si="15"/>
        <v>4</v>
      </c>
      <c r="E72" s="66">
        <f t="shared" si="15"/>
        <v>0</v>
      </c>
      <c r="F72" s="66">
        <f t="shared" si="15"/>
        <v>0</v>
      </c>
      <c r="G72" s="66">
        <f t="shared" si="15"/>
        <v>0</v>
      </c>
      <c r="H72" s="66">
        <f t="shared" si="15"/>
        <v>0</v>
      </c>
      <c r="I72" s="66">
        <f t="shared" si="15"/>
        <v>0</v>
      </c>
      <c r="J72" s="66">
        <f t="shared" si="15"/>
        <v>0</v>
      </c>
      <c r="K72" s="66">
        <f t="shared" si="15"/>
        <v>0</v>
      </c>
      <c r="L72" s="66">
        <f t="shared" si="15"/>
        <v>0</v>
      </c>
      <c r="M72" s="66">
        <f>SUMIF(M61:M71,"&gt;0")</f>
        <v>0</v>
      </c>
      <c r="N72" s="66">
        <f t="shared" ref="N72:AF72" si="16">SUMIF(N61:N71,"&gt;0")</f>
        <v>0</v>
      </c>
      <c r="O72" s="66">
        <f t="shared" si="16"/>
        <v>0</v>
      </c>
      <c r="P72" s="66">
        <f t="shared" si="16"/>
        <v>0</v>
      </c>
      <c r="Q72" s="66">
        <f t="shared" si="16"/>
        <v>0</v>
      </c>
      <c r="R72" s="66">
        <f t="shared" si="16"/>
        <v>27.1</v>
      </c>
      <c r="S72" s="66">
        <f t="shared" si="16"/>
        <v>335.4</v>
      </c>
      <c r="T72" s="66">
        <f t="shared" si="16"/>
        <v>330.4</v>
      </c>
      <c r="U72" s="66">
        <f t="shared" si="16"/>
        <v>327.7</v>
      </c>
      <c r="V72" s="66">
        <f t="shared" si="16"/>
        <v>27.6</v>
      </c>
      <c r="W72" s="66">
        <f t="shared" si="16"/>
        <v>27.6</v>
      </c>
      <c r="X72" s="66">
        <f t="shared" si="16"/>
        <v>27.6</v>
      </c>
      <c r="Y72" s="66">
        <f t="shared" si="16"/>
        <v>27.6</v>
      </c>
      <c r="Z72" s="66">
        <f t="shared" si="16"/>
        <v>45</v>
      </c>
      <c r="AA72" s="66">
        <f t="shared" si="16"/>
        <v>58</v>
      </c>
      <c r="AB72" s="66">
        <f t="shared" si="16"/>
        <v>81.899999999999991</v>
      </c>
      <c r="AC72" s="66">
        <f t="shared" si="16"/>
        <v>81.899999999999991</v>
      </c>
      <c r="AD72" s="66">
        <f t="shared" si="16"/>
        <v>80.8</v>
      </c>
      <c r="AE72" s="66">
        <f t="shared" si="16"/>
        <v>78.8</v>
      </c>
      <c r="AF72" s="66">
        <f t="shared" si="16"/>
        <v>78.2</v>
      </c>
      <c r="AG72" s="138">
        <f>SUM(AG61:AG71)</f>
        <v>0</v>
      </c>
      <c r="AH72" s="54">
        <f t="shared" si="2"/>
        <v>335.4</v>
      </c>
      <c r="AI72" s="55">
        <f t="shared" si="3"/>
        <v>0</v>
      </c>
      <c r="AK72" s="56"/>
    </row>
    <row r="73" spans="1:88" x14ac:dyDescent="0.25">
      <c r="A73" s="57" t="s">
        <v>53</v>
      </c>
      <c r="B73" s="71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>
        <v>0</v>
      </c>
      <c r="C75" s="74">
        <v>0</v>
      </c>
      <c r="D75" s="74">
        <v>0</v>
      </c>
      <c r="E75" s="74">
        <v>0</v>
      </c>
      <c r="F75" s="74">
        <v>0</v>
      </c>
      <c r="G75" s="74">
        <v>0</v>
      </c>
      <c r="H75" s="74">
        <v>0</v>
      </c>
      <c r="I75" s="74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 t="shared" ref="B77" si="17">B38+B42+B60+B56+B72+B76</f>
        <v>1735.7400000000002</v>
      </c>
      <c r="C77" s="75">
        <f t="shared" ref="C77:AF77" si="18">C38+C42+C60+C56+C72+C76</f>
        <v>1730.5399999999997</v>
      </c>
      <c r="D77" s="75">
        <f t="shared" si="18"/>
        <v>1722.3400000000001</v>
      </c>
      <c r="E77" s="75">
        <f t="shared" si="18"/>
        <v>1694.04</v>
      </c>
      <c r="F77" s="75">
        <f t="shared" si="18"/>
        <v>1673.1399999999999</v>
      </c>
      <c r="G77" s="75">
        <f t="shared" si="18"/>
        <v>1671.84</v>
      </c>
      <c r="H77" s="75">
        <f t="shared" si="18"/>
        <v>1664.64</v>
      </c>
      <c r="I77" s="75">
        <f t="shared" si="18"/>
        <v>1665.5400000000002</v>
      </c>
      <c r="J77" s="75">
        <f t="shared" si="18"/>
        <v>1668.8400000000001</v>
      </c>
      <c r="K77" s="75">
        <f t="shared" si="18"/>
        <v>1675.64</v>
      </c>
      <c r="L77" s="75">
        <f t="shared" si="18"/>
        <v>1723.5400000000002</v>
      </c>
      <c r="M77" s="75">
        <f t="shared" si="18"/>
        <v>1727.94</v>
      </c>
      <c r="N77" s="75">
        <f t="shared" si="18"/>
        <v>1722.44</v>
      </c>
      <c r="O77" s="75">
        <f t="shared" si="18"/>
        <v>1649.2399999999998</v>
      </c>
      <c r="P77" s="75">
        <f t="shared" si="18"/>
        <v>1724.14</v>
      </c>
      <c r="Q77" s="75">
        <f t="shared" si="18"/>
        <v>1721.54</v>
      </c>
      <c r="R77" s="75">
        <f t="shared" si="18"/>
        <v>1726.54</v>
      </c>
      <c r="S77" s="75">
        <f t="shared" si="18"/>
        <v>2021.44</v>
      </c>
      <c r="T77" s="75">
        <f t="shared" si="18"/>
        <v>2016.44</v>
      </c>
      <c r="U77" s="75">
        <f t="shared" si="18"/>
        <v>1989.14</v>
      </c>
      <c r="V77" s="75">
        <f t="shared" si="18"/>
        <v>1685.84</v>
      </c>
      <c r="W77" s="75">
        <f t="shared" si="18"/>
        <v>1685.84</v>
      </c>
      <c r="X77" s="75">
        <f t="shared" si="18"/>
        <v>1753.54</v>
      </c>
      <c r="Y77" s="75">
        <f t="shared" si="18"/>
        <v>1753.54</v>
      </c>
      <c r="Z77" s="75">
        <f t="shared" si="18"/>
        <v>1699.94</v>
      </c>
      <c r="AA77" s="75">
        <f t="shared" si="18"/>
        <v>1712.94</v>
      </c>
      <c r="AB77" s="75">
        <f t="shared" si="18"/>
        <v>1818.04</v>
      </c>
      <c r="AC77" s="75">
        <f t="shared" si="18"/>
        <v>1805.54</v>
      </c>
      <c r="AD77" s="75">
        <f t="shared" si="18"/>
        <v>1804.4399999999998</v>
      </c>
      <c r="AE77" s="75">
        <f t="shared" si="18"/>
        <v>1719.9399999999998</v>
      </c>
      <c r="AF77" s="75">
        <f t="shared" si="18"/>
        <v>1597.14</v>
      </c>
      <c r="AG77" s="143">
        <f>AG38+AG42+AG60+AG56+AG72+AG76</f>
        <v>1855.1900000000003</v>
      </c>
      <c r="AH77" s="54">
        <f t="shared" si="2"/>
        <v>2021.44</v>
      </c>
      <c r="AI77" s="55">
        <f t="shared" si="3"/>
        <v>1597.14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>
        <v>25</v>
      </c>
      <c r="AB78" s="77"/>
      <c r="AC78" s="77"/>
      <c r="AD78" s="77"/>
      <c r="AE78" s="77"/>
      <c r="AF78" s="77"/>
      <c r="AG78" s="138"/>
      <c r="AH78" s="54">
        <f t="shared" si="2"/>
        <v>25</v>
      </c>
      <c r="AI78" s="55">
        <f t="shared" si="3"/>
        <v>25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 t="shared" ref="B79" si="19">B77+B78</f>
        <v>1735.7400000000002</v>
      </c>
      <c r="C79" s="75">
        <f t="shared" ref="C79:AF79" si="20">C77+C78</f>
        <v>1730.5399999999997</v>
      </c>
      <c r="D79" s="75">
        <f t="shared" si="20"/>
        <v>1722.3400000000001</v>
      </c>
      <c r="E79" s="75">
        <f t="shared" si="20"/>
        <v>1694.04</v>
      </c>
      <c r="F79" s="75">
        <f t="shared" si="20"/>
        <v>1673.1399999999999</v>
      </c>
      <c r="G79" s="75">
        <f t="shared" si="20"/>
        <v>1671.84</v>
      </c>
      <c r="H79" s="75">
        <f t="shared" si="20"/>
        <v>1664.64</v>
      </c>
      <c r="I79" s="75">
        <f t="shared" si="20"/>
        <v>1665.5400000000002</v>
      </c>
      <c r="J79" s="75">
        <f t="shared" si="20"/>
        <v>1668.8400000000001</v>
      </c>
      <c r="K79" s="75">
        <f t="shared" si="20"/>
        <v>1675.64</v>
      </c>
      <c r="L79" s="75">
        <f t="shared" si="20"/>
        <v>1723.5400000000002</v>
      </c>
      <c r="M79" s="75">
        <f t="shared" si="20"/>
        <v>1727.94</v>
      </c>
      <c r="N79" s="75">
        <f t="shared" si="20"/>
        <v>1722.44</v>
      </c>
      <c r="O79" s="75">
        <f t="shared" si="20"/>
        <v>1649.2399999999998</v>
      </c>
      <c r="P79" s="75">
        <f t="shared" si="20"/>
        <v>1724.14</v>
      </c>
      <c r="Q79" s="75">
        <f t="shared" si="20"/>
        <v>1721.54</v>
      </c>
      <c r="R79" s="75">
        <f t="shared" si="20"/>
        <v>1726.54</v>
      </c>
      <c r="S79" s="75">
        <f t="shared" si="20"/>
        <v>2021.44</v>
      </c>
      <c r="T79" s="75">
        <f t="shared" si="20"/>
        <v>2016.44</v>
      </c>
      <c r="U79" s="75">
        <f t="shared" si="20"/>
        <v>1989.14</v>
      </c>
      <c r="V79" s="75">
        <f t="shared" si="20"/>
        <v>1685.84</v>
      </c>
      <c r="W79" s="75">
        <f t="shared" si="20"/>
        <v>1685.84</v>
      </c>
      <c r="X79" s="75">
        <f t="shared" si="20"/>
        <v>1753.54</v>
      </c>
      <c r="Y79" s="75">
        <f t="shared" si="20"/>
        <v>1753.54</v>
      </c>
      <c r="Z79" s="75">
        <f t="shared" si="20"/>
        <v>1699.94</v>
      </c>
      <c r="AA79" s="75">
        <f t="shared" si="20"/>
        <v>1737.94</v>
      </c>
      <c r="AB79" s="75">
        <f t="shared" si="20"/>
        <v>1818.04</v>
      </c>
      <c r="AC79" s="75">
        <f t="shared" si="20"/>
        <v>1805.54</v>
      </c>
      <c r="AD79" s="75">
        <f t="shared" si="20"/>
        <v>1804.4399999999998</v>
      </c>
      <c r="AE79" s="75">
        <f t="shared" si="20"/>
        <v>1719.9399999999998</v>
      </c>
      <c r="AF79" s="75">
        <f t="shared" si="20"/>
        <v>1597.14</v>
      </c>
      <c r="AG79" s="138">
        <f>AG76+AG72+AG60+AG56+AG38+AG78</f>
        <v>1317.0900000000001</v>
      </c>
      <c r="AH79" s="54">
        <f t="shared" si="2"/>
        <v>2021.44</v>
      </c>
      <c r="AI79" s="55">
        <f t="shared" si="3"/>
        <v>1597.14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" si="21">B79-B87</f>
        <v>1370.7400000000002</v>
      </c>
      <c r="C80" s="75">
        <f t="shared" ref="C80:AF80" si="22">C79-C87</f>
        <v>1368.5399999999997</v>
      </c>
      <c r="D80" s="75">
        <f t="shared" si="22"/>
        <v>1325.3400000000001</v>
      </c>
      <c r="E80" s="75">
        <f t="shared" si="22"/>
        <v>1295.94</v>
      </c>
      <c r="F80" s="75">
        <f t="shared" si="22"/>
        <v>1263.1399999999999</v>
      </c>
      <c r="G80" s="75">
        <f t="shared" si="22"/>
        <v>1297.94</v>
      </c>
      <c r="H80" s="75">
        <f t="shared" si="22"/>
        <v>1296.6400000000001</v>
      </c>
      <c r="I80" s="75">
        <f t="shared" si="22"/>
        <v>1287.8400000000001</v>
      </c>
      <c r="J80" s="75">
        <f t="shared" si="22"/>
        <v>1287.8400000000001</v>
      </c>
      <c r="K80" s="75">
        <f t="shared" si="22"/>
        <v>1357.64</v>
      </c>
      <c r="L80" s="75">
        <f t="shared" si="22"/>
        <v>1368.3400000000001</v>
      </c>
      <c r="M80" s="75">
        <f t="shared" si="22"/>
        <v>1373.94</v>
      </c>
      <c r="N80" s="75">
        <f t="shared" si="22"/>
        <v>1381.94</v>
      </c>
      <c r="O80" s="75">
        <f t="shared" si="22"/>
        <v>1417.2399999999998</v>
      </c>
      <c r="P80" s="75">
        <f t="shared" si="22"/>
        <v>1438.14</v>
      </c>
      <c r="Q80" s="75">
        <f t="shared" si="22"/>
        <v>1431.54</v>
      </c>
      <c r="R80" s="75">
        <f t="shared" si="22"/>
        <v>1432.54</v>
      </c>
      <c r="S80" s="75">
        <f t="shared" si="22"/>
        <v>2021.44</v>
      </c>
      <c r="T80" s="75">
        <f t="shared" si="22"/>
        <v>2016.44</v>
      </c>
      <c r="U80" s="75">
        <f t="shared" si="22"/>
        <v>1989.14</v>
      </c>
      <c r="V80" s="75">
        <f t="shared" si="22"/>
        <v>1373.84</v>
      </c>
      <c r="W80" s="75">
        <f t="shared" si="22"/>
        <v>1315.84</v>
      </c>
      <c r="X80" s="75">
        <f t="shared" si="22"/>
        <v>1388.54</v>
      </c>
      <c r="Y80" s="75">
        <f t="shared" si="22"/>
        <v>1463.54</v>
      </c>
      <c r="Z80" s="75">
        <f t="shared" si="22"/>
        <v>1443.94</v>
      </c>
      <c r="AA80" s="75">
        <f t="shared" si="22"/>
        <v>1544.44</v>
      </c>
      <c r="AB80" s="75">
        <f t="shared" si="22"/>
        <v>1605.04</v>
      </c>
      <c r="AC80" s="75">
        <f t="shared" si="22"/>
        <v>1576.54</v>
      </c>
      <c r="AD80" s="75">
        <f t="shared" si="22"/>
        <v>1565.4399999999998</v>
      </c>
      <c r="AE80" s="75">
        <f t="shared" si="22"/>
        <v>1480.9399999999998</v>
      </c>
      <c r="AF80" s="75">
        <f t="shared" si="22"/>
        <v>1392.14</v>
      </c>
      <c r="AG80" s="138"/>
      <c r="AH80" s="54">
        <f t="shared" ref="AH80:AH97" si="23">MAX(B80:AF80)</f>
        <v>2021.44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 t="shared" ref="B81" si="24">IF(B64&lt;0,B64*-1,0)</f>
        <v>0</v>
      </c>
      <c r="C81" s="71">
        <f t="shared" ref="C81:AF81" si="25">IF(C64&lt;0,C64*-1,0)</f>
        <v>0</v>
      </c>
      <c r="D81" s="71">
        <f t="shared" si="25"/>
        <v>0</v>
      </c>
      <c r="E81" s="71">
        <f t="shared" si="25"/>
        <v>0</v>
      </c>
      <c r="F81" s="71">
        <f t="shared" si="25"/>
        <v>0</v>
      </c>
      <c r="G81" s="71">
        <f t="shared" si="25"/>
        <v>0</v>
      </c>
      <c r="H81" s="71">
        <f t="shared" si="25"/>
        <v>0</v>
      </c>
      <c r="I81" s="71">
        <f t="shared" si="25"/>
        <v>0</v>
      </c>
      <c r="J81" s="71">
        <f t="shared" si="25"/>
        <v>0</v>
      </c>
      <c r="K81" s="71">
        <f t="shared" si="25"/>
        <v>0</v>
      </c>
      <c r="L81" s="71">
        <f t="shared" si="25"/>
        <v>0</v>
      </c>
      <c r="M81" s="71">
        <f t="shared" si="25"/>
        <v>0</v>
      </c>
      <c r="N81" s="71">
        <f t="shared" si="25"/>
        <v>0</v>
      </c>
      <c r="O81" s="71">
        <f t="shared" si="25"/>
        <v>0</v>
      </c>
      <c r="P81" s="71">
        <f t="shared" si="25"/>
        <v>0</v>
      </c>
      <c r="Q81" s="71">
        <f t="shared" si="25"/>
        <v>0</v>
      </c>
      <c r="R81" s="71">
        <f t="shared" si="25"/>
        <v>0</v>
      </c>
      <c r="S81" s="71">
        <f t="shared" si="25"/>
        <v>0</v>
      </c>
      <c r="T81" s="71">
        <f t="shared" si="25"/>
        <v>0</v>
      </c>
      <c r="U81" s="71">
        <f t="shared" si="25"/>
        <v>0</v>
      </c>
      <c r="V81" s="71">
        <f t="shared" si="25"/>
        <v>0</v>
      </c>
      <c r="W81" s="71">
        <f t="shared" si="25"/>
        <v>0</v>
      </c>
      <c r="X81" s="71">
        <f t="shared" si="25"/>
        <v>0</v>
      </c>
      <c r="Y81" s="71">
        <f t="shared" si="25"/>
        <v>0</v>
      </c>
      <c r="Z81" s="71">
        <f t="shared" si="25"/>
        <v>0</v>
      </c>
      <c r="AA81" s="71">
        <v>17.5</v>
      </c>
      <c r="AB81" s="71">
        <f t="shared" si="25"/>
        <v>0</v>
      </c>
      <c r="AC81" s="71">
        <f t="shared" si="25"/>
        <v>0</v>
      </c>
      <c r="AD81" s="71">
        <f t="shared" si="25"/>
        <v>0</v>
      </c>
      <c r="AE81" s="71">
        <f t="shared" si="25"/>
        <v>0</v>
      </c>
      <c r="AF81" s="71">
        <f t="shared" si="25"/>
        <v>0</v>
      </c>
      <c r="AG81" s="135"/>
      <c r="AH81" s="54">
        <f t="shared" si="23"/>
        <v>17.5</v>
      </c>
      <c r="AI81" s="55">
        <f t="shared" ref="AI81:AI97" si="26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 t="shared" ref="B82" si="27">IF(B62&lt;0,B62*-1,0)</f>
        <v>0</v>
      </c>
      <c r="C82" s="71">
        <f t="shared" ref="C82:AF82" si="28">IF(C62&lt;0,C62*-1,0)</f>
        <v>0</v>
      </c>
      <c r="D82" s="71">
        <f t="shared" si="28"/>
        <v>0</v>
      </c>
      <c r="E82" s="71">
        <f t="shared" si="28"/>
        <v>0</v>
      </c>
      <c r="F82" s="71">
        <f t="shared" si="28"/>
        <v>0</v>
      </c>
      <c r="G82" s="71">
        <f t="shared" si="28"/>
        <v>0</v>
      </c>
      <c r="H82" s="71">
        <f t="shared" si="28"/>
        <v>0</v>
      </c>
      <c r="I82" s="71">
        <f t="shared" si="28"/>
        <v>0</v>
      </c>
      <c r="J82" s="71">
        <f t="shared" si="28"/>
        <v>0</v>
      </c>
      <c r="K82" s="71">
        <f t="shared" si="28"/>
        <v>0</v>
      </c>
      <c r="L82" s="71">
        <f t="shared" si="28"/>
        <v>0</v>
      </c>
      <c r="M82" s="71">
        <f t="shared" si="28"/>
        <v>0</v>
      </c>
      <c r="N82" s="71">
        <f t="shared" si="28"/>
        <v>0</v>
      </c>
      <c r="O82" s="71">
        <f t="shared" si="28"/>
        <v>0</v>
      </c>
      <c r="P82" s="71">
        <f t="shared" si="28"/>
        <v>0</v>
      </c>
      <c r="Q82" s="71">
        <f t="shared" si="28"/>
        <v>0</v>
      </c>
      <c r="R82" s="71">
        <f t="shared" si="28"/>
        <v>0</v>
      </c>
      <c r="S82" s="71">
        <f t="shared" si="28"/>
        <v>0</v>
      </c>
      <c r="T82" s="71">
        <f t="shared" si="28"/>
        <v>0</v>
      </c>
      <c r="U82" s="71">
        <f t="shared" si="28"/>
        <v>0</v>
      </c>
      <c r="V82" s="71">
        <f t="shared" si="28"/>
        <v>0</v>
      </c>
      <c r="W82" s="71">
        <f t="shared" si="28"/>
        <v>0</v>
      </c>
      <c r="X82" s="71">
        <f t="shared" si="28"/>
        <v>0</v>
      </c>
      <c r="Y82" s="71">
        <f t="shared" si="28"/>
        <v>0</v>
      </c>
      <c r="Z82" s="71">
        <f t="shared" si="28"/>
        <v>0</v>
      </c>
      <c r="AA82" s="71">
        <f t="shared" si="28"/>
        <v>0</v>
      </c>
      <c r="AB82" s="71">
        <f t="shared" si="28"/>
        <v>0</v>
      </c>
      <c r="AC82" s="71">
        <f t="shared" si="28"/>
        <v>0</v>
      </c>
      <c r="AD82" s="71">
        <f t="shared" si="28"/>
        <v>0</v>
      </c>
      <c r="AE82" s="71">
        <f t="shared" si="28"/>
        <v>0</v>
      </c>
      <c r="AF82" s="71">
        <f t="shared" si="28"/>
        <v>0</v>
      </c>
      <c r="AG82" s="136"/>
      <c r="AH82" s="54">
        <f t="shared" si="23"/>
        <v>0</v>
      </c>
      <c r="AI82" s="55">
        <f t="shared" si="26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 t="shared" ref="B83" si="29">IF(B65&lt;0,B65*-1,0)</f>
        <v>0</v>
      </c>
      <c r="C83" s="71">
        <f t="shared" ref="C83:AF83" si="30">IF(C65&lt;0,C65*-1,0)</f>
        <v>0</v>
      </c>
      <c r="D83" s="71">
        <f t="shared" si="30"/>
        <v>0</v>
      </c>
      <c r="E83" s="71">
        <f t="shared" si="30"/>
        <v>0</v>
      </c>
      <c r="F83" s="71">
        <f t="shared" si="30"/>
        <v>0</v>
      </c>
      <c r="G83" s="71">
        <f t="shared" si="30"/>
        <v>0</v>
      </c>
      <c r="H83" s="71">
        <f t="shared" si="30"/>
        <v>0</v>
      </c>
      <c r="I83" s="71">
        <f t="shared" si="30"/>
        <v>0</v>
      </c>
      <c r="J83" s="71">
        <f t="shared" si="30"/>
        <v>0</v>
      </c>
      <c r="K83" s="71">
        <f t="shared" si="30"/>
        <v>0</v>
      </c>
      <c r="L83" s="71">
        <f t="shared" si="30"/>
        <v>0</v>
      </c>
      <c r="M83" s="71">
        <f t="shared" si="30"/>
        <v>0</v>
      </c>
      <c r="N83" s="71">
        <f t="shared" si="30"/>
        <v>0</v>
      </c>
      <c r="O83" s="71">
        <f t="shared" si="30"/>
        <v>0</v>
      </c>
      <c r="P83" s="71">
        <f t="shared" si="30"/>
        <v>0</v>
      </c>
      <c r="Q83" s="71">
        <f t="shared" si="30"/>
        <v>0</v>
      </c>
      <c r="R83" s="71">
        <f t="shared" si="30"/>
        <v>0</v>
      </c>
      <c r="S83" s="71">
        <f t="shared" si="30"/>
        <v>0</v>
      </c>
      <c r="T83" s="71">
        <f t="shared" si="30"/>
        <v>0</v>
      </c>
      <c r="U83" s="71">
        <f t="shared" si="30"/>
        <v>0</v>
      </c>
      <c r="V83" s="71">
        <f t="shared" si="30"/>
        <v>0</v>
      </c>
      <c r="W83" s="71">
        <f t="shared" si="30"/>
        <v>0</v>
      </c>
      <c r="X83" s="71">
        <f t="shared" si="30"/>
        <v>0</v>
      </c>
      <c r="Y83" s="71">
        <f t="shared" si="30"/>
        <v>0</v>
      </c>
      <c r="Z83" s="71">
        <f t="shared" si="30"/>
        <v>0</v>
      </c>
      <c r="AA83" s="71">
        <f t="shared" si="30"/>
        <v>0</v>
      </c>
      <c r="AB83" s="71">
        <f t="shared" si="30"/>
        <v>0</v>
      </c>
      <c r="AC83" s="71">
        <f t="shared" si="30"/>
        <v>0</v>
      </c>
      <c r="AD83" s="71">
        <f t="shared" si="30"/>
        <v>0</v>
      </c>
      <c r="AE83" s="71">
        <f t="shared" si="30"/>
        <v>0</v>
      </c>
      <c r="AF83" s="71">
        <f t="shared" si="30"/>
        <v>0</v>
      </c>
      <c r="AG83" s="144"/>
      <c r="AH83" s="54">
        <f t="shared" si="23"/>
        <v>0</v>
      </c>
      <c r="AI83" s="55">
        <f t="shared" si="26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 t="shared" ref="B84" si="31">IF(B63&lt;0,B63*-1,0)</f>
        <v>365</v>
      </c>
      <c r="C84" s="71">
        <f t="shared" ref="C84:AF84" si="32">IF(C63&lt;0,C63*-1,0)</f>
        <v>362</v>
      </c>
      <c r="D84" s="71">
        <f t="shared" si="32"/>
        <v>397</v>
      </c>
      <c r="E84" s="71">
        <f t="shared" si="32"/>
        <v>398.1</v>
      </c>
      <c r="F84" s="71">
        <f t="shared" si="32"/>
        <v>410</v>
      </c>
      <c r="G84" s="71">
        <f t="shared" si="32"/>
        <v>373.9</v>
      </c>
      <c r="H84" s="71">
        <f t="shared" si="32"/>
        <v>368</v>
      </c>
      <c r="I84" s="71">
        <f t="shared" si="32"/>
        <v>377.7</v>
      </c>
      <c r="J84" s="71">
        <f t="shared" si="32"/>
        <v>381</v>
      </c>
      <c r="K84" s="71">
        <f t="shared" si="32"/>
        <v>318</v>
      </c>
      <c r="L84" s="71">
        <f t="shared" si="32"/>
        <v>355.2</v>
      </c>
      <c r="M84" s="71">
        <f t="shared" si="32"/>
        <v>354</v>
      </c>
      <c r="N84" s="71">
        <f t="shared" si="32"/>
        <v>340.5</v>
      </c>
      <c r="O84" s="71">
        <f t="shared" si="32"/>
        <v>232</v>
      </c>
      <c r="P84" s="71">
        <f t="shared" si="32"/>
        <v>286</v>
      </c>
      <c r="Q84" s="71">
        <f t="shared" si="32"/>
        <v>290</v>
      </c>
      <c r="R84" s="71">
        <f t="shared" si="32"/>
        <v>294</v>
      </c>
      <c r="S84" s="71">
        <f t="shared" si="32"/>
        <v>0</v>
      </c>
      <c r="T84" s="71">
        <f t="shared" si="32"/>
        <v>0</v>
      </c>
      <c r="U84" s="71">
        <f t="shared" si="32"/>
        <v>0</v>
      </c>
      <c r="V84" s="71">
        <f t="shared" si="32"/>
        <v>312</v>
      </c>
      <c r="W84" s="71">
        <f t="shared" si="32"/>
        <v>370</v>
      </c>
      <c r="X84" s="71">
        <f t="shared" si="32"/>
        <v>365</v>
      </c>
      <c r="Y84" s="71">
        <f t="shared" si="32"/>
        <v>290</v>
      </c>
      <c r="Z84" s="71">
        <f t="shared" si="32"/>
        <v>256</v>
      </c>
      <c r="AA84" s="71">
        <f t="shared" si="32"/>
        <v>176</v>
      </c>
      <c r="AB84" s="71">
        <f t="shared" si="32"/>
        <v>213</v>
      </c>
      <c r="AC84" s="71">
        <f t="shared" si="32"/>
        <v>229</v>
      </c>
      <c r="AD84" s="71">
        <f t="shared" si="32"/>
        <v>239</v>
      </c>
      <c r="AE84" s="71">
        <f t="shared" si="32"/>
        <v>239</v>
      </c>
      <c r="AF84" s="71">
        <f t="shared" si="32"/>
        <v>205</v>
      </c>
      <c r="AG84" s="144"/>
      <c r="AH84" s="54">
        <f t="shared" si="23"/>
        <v>410</v>
      </c>
      <c r="AI84" s="55">
        <f t="shared" si="26"/>
        <v>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 t="shared" ref="B85" si="33">IF(B61&lt;0,B61*-1,0)</f>
        <v>0</v>
      </c>
      <c r="C85" s="71">
        <f t="shared" ref="C85:AF85" si="34">IF(C61&lt;0,C61*-1,0)</f>
        <v>0</v>
      </c>
      <c r="D85" s="71">
        <f t="shared" si="34"/>
        <v>0</v>
      </c>
      <c r="E85" s="71">
        <f t="shared" si="34"/>
        <v>0</v>
      </c>
      <c r="F85" s="71">
        <f t="shared" si="34"/>
        <v>0</v>
      </c>
      <c r="G85" s="71">
        <f t="shared" si="34"/>
        <v>0</v>
      </c>
      <c r="H85" s="71">
        <f t="shared" si="34"/>
        <v>0</v>
      </c>
      <c r="I85" s="71">
        <f t="shared" si="34"/>
        <v>0</v>
      </c>
      <c r="J85" s="71">
        <f t="shared" si="34"/>
        <v>0</v>
      </c>
      <c r="K85" s="71">
        <f t="shared" si="34"/>
        <v>0</v>
      </c>
      <c r="L85" s="71">
        <f t="shared" si="34"/>
        <v>0</v>
      </c>
      <c r="M85" s="71">
        <f t="shared" si="34"/>
        <v>0</v>
      </c>
      <c r="N85" s="71">
        <f t="shared" si="34"/>
        <v>0</v>
      </c>
      <c r="O85" s="71">
        <f t="shared" si="34"/>
        <v>0</v>
      </c>
      <c r="P85" s="71">
        <f t="shared" si="34"/>
        <v>0</v>
      </c>
      <c r="Q85" s="71">
        <f t="shared" si="34"/>
        <v>0</v>
      </c>
      <c r="R85" s="71">
        <f t="shared" si="34"/>
        <v>0</v>
      </c>
      <c r="S85" s="71">
        <f t="shared" si="34"/>
        <v>0</v>
      </c>
      <c r="T85" s="71">
        <f t="shared" si="34"/>
        <v>0</v>
      </c>
      <c r="U85" s="71">
        <f t="shared" si="34"/>
        <v>0</v>
      </c>
      <c r="V85" s="71">
        <f t="shared" si="34"/>
        <v>0</v>
      </c>
      <c r="W85" s="71">
        <f t="shared" si="34"/>
        <v>0</v>
      </c>
      <c r="X85" s="71">
        <f t="shared" si="34"/>
        <v>0</v>
      </c>
      <c r="Y85" s="71">
        <f t="shared" si="34"/>
        <v>0</v>
      </c>
      <c r="Z85" s="71">
        <f t="shared" si="34"/>
        <v>0</v>
      </c>
      <c r="AA85" s="71">
        <f t="shared" si="34"/>
        <v>0</v>
      </c>
      <c r="AB85" s="71">
        <f t="shared" si="34"/>
        <v>0</v>
      </c>
      <c r="AC85" s="71">
        <f t="shared" si="34"/>
        <v>0</v>
      </c>
      <c r="AD85" s="71">
        <f t="shared" si="34"/>
        <v>0</v>
      </c>
      <c r="AE85" s="71">
        <f t="shared" si="34"/>
        <v>0</v>
      </c>
      <c r="AF85" s="71">
        <f t="shared" si="34"/>
        <v>0</v>
      </c>
      <c r="AG85" s="144"/>
      <c r="AH85" s="54">
        <f t="shared" si="23"/>
        <v>0</v>
      </c>
      <c r="AI85" s="55">
        <f t="shared" si="26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/>
      <c r="AD86" s="74"/>
      <c r="AE86" s="74"/>
      <c r="AF86" s="74"/>
      <c r="AG86" s="141"/>
      <c r="AH86" s="54">
        <f t="shared" si="23"/>
        <v>0</v>
      </c>
      <c r="AI86" s="55">
        <f t="shared" si="26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 t="shared" ref="B87" si="35">SUM(B81:B86)</f>
        <v>365</v>
      </c>
      <c r="C87" s="66">
        <f t="shared" ref="C87:AF87" si="36">SUM(C81:C86)</f>
        <v>362</v>
      </c>
      <c r="D87" s="66">
        <f t="shared" si="36"/>
        <v>397</v>
      </c>
      <c r="E87" s="66">
        <f t="shared" si="36"/>
        <v>398.1</v>
      </c>
      <c r="F87" s="66">
        <f t="shared" si="36"/>
        <v>410</v>
      </c>
      <c r="G87" s="66">
        <f t="shared" si="36"/>
        <v>373.9</v>
      </c>
      <c r="H87" s="66">
        <f t="shared" si="36"/>
        <v>368</v>
      </c>
      <c r="I87" s="66">
        <f t="shared" si="36"/>
        <v>377.7</v>
      </c>
      <c r="J87" s="66">
        <f t="shared" si="36"/>
        <v>381</v>
      </c>
      <c r="K87" s="66">
        <f t="shared" si="36"/>
        <v>318</v>
      </c>
      <c r="L87" s="66">
        <f t="shared" si="36"/>
        <v>355.2</v>
      </c>
      <c r="M87" s="66">
        <f t="shared" si="36"/>
        <v>354</v>
      </c>
      <c r="N87" s="66">
        <f t="shared" si="36"/>
        <v>340.5</v>
      </c>
      <c r="O87" s="66">
        <f t="shared" si="36"/>
        <v>232</v>
      </c>
      <c r="P87" s="66">
        <f t="shared" si="36"/>
        <v>286</v>
      </c>
      <c r="Q87" s="66">
        <f t="shared" si="36"/>
        <v>290</v>
      </c>
      <c r="R87" s="66">
        <f t="shared" si="36"/>
        <v>294</v>
      </c>
      <c r="S87" s="66">
        <f t="shared" si="36"/>
        <v>0</v>
      </c>
      <c r="T87" s="66">
        <f t="shared" si="36"/>
        <v>0</v>
      </c>
      <c r="U87" s="66">
        <f t="shared" si="36"/>
        <v>0</v>
      </c>
      <c r="V87" s="66">
        <f t="shared" si="36"/>
        <v>312</v>
      </c>
      <c r="W87" s="66">
        <f t="shared" si="36"/>
        <v>370</v>
      </c>
      <c r="X87" s="66">
        <f t="shared" si="36"/>
        <v>365</v>
      </c>
      <c r="Y87" s="66">
        <f t="shared" si="36"/>
        <v>290</v>
      </c>
      <c r="Z87" s="66">
        <f t="shared" si="36"/>
        <v>256</v>
      </c>
      <c r="AA87" s="66">
        <f t="shared" si="36"/>
        <v>193.5</v>
      </c>
      <c r="AB87" s="66">
        <f t="shared" si="36"/>
        <v>213</v>
      </c>
      <c r="AC87" s="66">
        <f t="shared" si="36"/>
        <v>229</v>
      </c>
      <c r="AD87" s="66">
        <f t="shared" si="36"/>
        <v>239</v>
      </c>
      <c r="AE87" s="66">
        <f t="shared" si="36"/>
        <v>239</v>
      </c>
      <c r="AF87" s="66">
        <f t="shared" si="36"/>
        <v>205</v>
      </c>
      <c r="AG87" s="138"/>
      <c r="AH87" s="54">
        <f t="shared" si="23"/>
        <v>410</v>
      </c>
      <c r="AI87" s="55">
        <f t="shared" si="26"/>
        <v>0</v>
      </c>
      <c r="AK87" s="56"/>
    </row>
    <row r="88" spans="1:88" s="1" customFormat="1" ht="15.75" thickBot="1" x14ac:dyDescent="0.3">
      <c r="A88" s="65" t="s">
        <v>64</v>
      </c>
      <c r="B88" s="66">
        <f t="shared" ref="B88" si="37">B72-B87</f>
        <v>-357.8</v>
      </c>
      <c r="C88" s="66">
        <f t="shared" ref="C88:AF88" si="38">C72-C87</f>
        <v>-356.4</v>
      </c>
      <c r="D88" s="66">
        <f t="shared" si="38"/>
        <v>-393</v>
      </c>
      <c r="E88" s="66">
        <f t="shared" si="38"/>
        <v>-398.1</v>
      </c>
      <c r="F88" s="66">
        <f t="shared" si="38"/>
        <v>-410</v>
      </c>
      <c r="G88" s="66">
        <f t="shared" si="38"/>
        <v>-373.9</v>
      </c>
      <c r="H88" s="66">
        <f t="shared" si="38"/>
        <v>-368</v>
      </c>
      <c r="I88" s="66">
        <f t="shared" si="38"/>
        <v>-377.7</v>
      </c>
      <c r="J88" s="66">
        <f t="shared" si="38"/>
        <v>-381</v>
      </c>
      <c r="K88" s="66">
        <f t="shared" si="38"/>
        <v>-318</v>
      </c>
      <c r="L88" s="66">
        <f t="shared" si="38"/>
        <v>-355.2</v>
      </c>
      <c r="M88" s="66">
        <f t="shared" si="38"/>
        <v>-354</v>
      </c>
      <c r="N88" s="66">
        <f t="shared" si="38"/>
        <v>-340.5</v>
      </c>
      <c r="O88" s="66">
        <f t="shared" si="38"/>
        <v>-232</v>
      </c>
      <c r="P88" s="66">
        <f t="shared" si="38"/>
        <v>-286</v>
      </c>
      <c r="Q88" s="66">
        <f t="shared" si="38"/>
        <v>-290</v>
      </c>
      <c r="R88" s="66">
        <f t="shared" si="38"/>
        <v>-266.89999999999998</v>
      </c>
      <c r="S88" s="66">
        <f t="shared" si="38"/>
        <v>335.4</v>
      </c>
      <c r="T88" s="66">
        <f t="shared" si="38"/>
        <v>330.4</v>
      </c>
      <c r="U88" s="66">
        <f t="shared" si="38"/>
        <v>327.7</v>
      </c>
      <c r="V88" s="66">
        <f t="shared" si="38"/>
        <v>-284.39999999999998</v>
      </c>
      <c r="W88" s="66">
        <f t="shared" si="38"/>
        <v>-342.4</v>
      </c>
      <c r="X88" s="66">
        <f t="shared" si="38"/>
        <v>-337.4</v>
      </c>
      <c r="Y88" s="66">
        <f t="shared" si="38"/>
        <v>-262.39999999999998</v>
      </c>
      <c r="Z88" s="66">
        <f t="shared" si="38"/>
        <v>-211</v>
      </c>
      <c r="AA88" s="66">
        <f t="shared" si="38"/>
        <v>-135.5</v>
      </c>
      <c r="AB88" s="66">
        <f t="shared" si="38"/>
        <v>-131.10000000000002</v>
      </c>
      <c r="AC88" s="66">
        <f t="shared" si="38"/>
        <v>-147.10000000000002</v>
      </c>
      <c r="AD88" s="66">
        <f t="shared" si="38"/>
        <v>-158.19999999999999</v>
      </c>
      <c r="AE88" s="66">
        <f t="shared" si="38"/>
        <v>-160.19999999999999</v>
      </c>
      <c r="AF88" s="66">
        <f t="shared" si="38"/>
        <v>-126.8</v>
      </c>
      <c r="AG88" s="138"/>
      <c r="AH88" s="54">
        <f t="shared" si="23"/>
        <v>335.4</v>
      </c>
      <c r="AI88" s="55">
        <f t="shared" si="26"/>
        <v>-410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50</v>
      </c>
      <c r="C89" s="80">
        <v>50.02</v>
      </c>
      <c r="D89" s="80">
        <v>49.96</v>
      </c>
      <c r="E89" s="80">
        <v>49.96</v>
      </c>
      <c r="F89" s="80">
        <v>49.902999999999999</v>
      </c>
      <c r="G89" s="80">
        <v>50.03</v>
      </c>
      <c r="H89" s="80">
        <v>49.978999999999999</v>
      </c>
      <c r="I89" s="80">
        <v>49.936999999999998</v>
      </c>
      <c r="J89" s="80">
        <v>49.884</v>
      </c>
      <c r="K89" s="80">
        <v>50.034999999999997</v>
      </c>
      <c r="L89" s="80">
        <v>50.079000000000001</v>
      </c>
      <c r="M89" s="80">
        <v>50.024000000000001</v>
      </c>
      <c r="N89" s="80">
        <v>50.078000000000003</v>
      </c>
      <c r="O89" s="80">
        <v>49.795000000000002</v>
      </c>
      <c r="P89" s="80">
        <v>50.030999999999999</v>
      </c>
      <c r="Q89" s="80">
        <v>50.039000000000001</v>
      </c>
      <c r="R89" s="80">
        <v>50.045999999999999</v>
      </c>
      <c r="S89" s="80">
        <v>50.128999999999998</v>
      </c>
      <c r="T89" s="80">
        <v>49.99</v>
      </c>
      <c r="U89" s="80">
        <v>49.87</v>
      </c>
      <c r="V89" s="80">
        <v>49.95</v>
      </c>
      <c r="W89" s="80">
        <v>49.95</v>
      </c>
      <c r="X89" s="80">
        <v>49.95</v>
      </c>
      <c r="Y89" s="80">
        <v>49.95</v>
      </c>
      <c r="Z89" s="80">
        <v>49.95</v>
      </c>
      <c r="AA89" s="80">
        <v>49.83</v>
      </c>
      <c r="AB89" s="80">
        <v>49.899000000000001</v>
      </c>
      <c r="AC89" s="80">
        <v>49.988999999999997</v>
      </c>
      <c r="AD89" s="80">
        <v>50.027000000000001</v>
      </c>
      <c r="AE89" s="80">
        <v>50.042000000000002</v>
      </c>
      <c r="AF89" s="80">
        <v>49.96</v>
      </c>
      <c r="AG89" s="145"/>
      <c r="AH89" s="54">
        <f t="shared" si="23"/>
        <v>50.128999999999998</v>
      </c>
      <c r="AI89" s="55">
        <f t="shared" si="26"/>
        <v>49.795000000000002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124.3</v>
      </c>
      <c r="C90" s="48">
        <v>124.3</v>
      </c>
      <c r="D90" s="48">
        <v>122.1</v>
      </c>
      <c r="E90" s="48">
        <v>126.1</v>
      </c>
      <c r="F90" s="48">
        <v>126.1</v>
      </c>
      <c r="G90" s="48">
        <v>126.1</v>
      </c>
      <c r="H90" s="48">
        <v>124.3</v>
      </c>
      <c r="I90" s="48">
        <v>124.1</v>
      </c>
      <c r="J90" s="48">
        <v>124.6</v>
      </c>
      <c r="K90" s="48">
        <v>124.6</v>
      </c>
      <c r="L90" s="48">
        <v>124.6</v>
      </c>
      <c r="M90" s="48">
        <v>124.4</v>
      </c>
      <c r="N90" s="48">
        <v>123.1</v>
      </c>
      <c r="O90" s="48">
        <v>123.7</v>
      </c>
      <c r="P90" s="48">
        <v>124.7</v>
      </c>
      <c r="Q90" s="48">
        <v>123.1</v>
      </c>
      <c r="R90" s="48">
        <v>124.2</v>
      </c>
      <c r="S90" s="48">
        <v>124.4</v>
      </c>
      <c r="T90" s="48">
        <v>123.4</v>
      </c>
      <c r="U90" s="48">
        <v>123.3</v>
      </c>
      <c r="V90" s="48">
        <v>125.2</v>
      </c>
      <c r="W90" s="48">
        <v>125.2</v>
      </c>
      <c r="X90" s="48">
        <v>125.2</v>
      </c>
      <c r="Y90" s="48">
        <v>125.2</v>
      </c>
      <c r="Z90" s="48">
        <v>125.2</v>
      </c>
      <c r="AA90" s="48">
        <v>124.7</v>
      </c>
      <c r="AB90" s="48">
        <v>125.1</v>
      </c>
      <c r="AC90" s="48">
        <v>125.1</v>
      </c>
      <c r="AD90" s="48">
        <v>125.3</v>
      </c>
      <c r="AE90" s="48">
        <v>123.5</v>
      </c>
      <c r="AF90" s="48">
        <v>123.4</v>
      </c>
      <c r="AG90" s="146"/>
      <c r="AH90" s="54">
        <f t="shared" si="23"/>
        <v>126.1</v>
      </c>
      <c r="AI90" s="55">
        <f t="shared" si="26"/>
        <v>122.1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129.4</v>
      </c>
      <c r="C91" s="48">
        <v>129.5</v>
      </c>
      <c r="D91" s="48">
        <v>128.30000000000001</v>
      </c>
      <c r="E91" s="48">
        <v>130.6</v>
      </c>
      <c r="F91" s="48">
        <v>130.6</v>
      </c>
      <c r="G91" s="48">
        <v>130.6</v>
      </c>
      <c r="H91" s="48">
        <v>130.6</v>
      </c>
      <c r="I91" s="48">
        <v>128.5</v>
      </c>
      <c r="J91" s="48">
        <v>128</v>
      </c>
      <c r="K91" s="48">
        <v>128</v>
      </c>
      <c r="L91" s="48">
        <v>127.7</v>
      </c>
      <c r="M91" s="48">
        <v>127.5</v>
      </c>
      <c r="N91" s="48">
        <v>126.9</v>
      </c>
      <c r="O91" s="48">
        <v>127.3</v>
      </c>
      <c r="P91" s="48">
        <v>128</v>
      </c>
      <c r="Q91" s="48">
        <v>127.2</v>
      </c>
      <c r="R91" s="48">
        <v>127.8</v>
      </c>
      <c r="S91" s="48">
        <v>127.8</v>
      </c>
      <c r="T91" s="48">
        <v>127.3</v>
      </c>
      <c r="U91" s="48">
        <v>127.3</v>
      </c>
      <c r="V91" s="48">
        <v>128.69999999999999</v>
      </c>
      <c r="W91" s="48">
        <v>128.69999999999999</v>
      </c>
      <c r="X91" s="48">
        <v>128.69999999999999</v>
      </c>
      <c r="Y91" s="48">
        <v>128.69999999999999</v>
      </c>
      <c r="Z91" s="48">
        <v>128.69999999999999</v>
      </c>
      <c r="AA91" s="48">
        <v>127.4</v>
      </c>
      <c r="AB91" s="48">
        <v>128.69999999999999</v>
      </c>
      <c r="AC91" s="48">
        <v>128.6</v>
      </c>
      <c r="AD91" s="48">
        <v>129.19999999999999</v>
      </c>
      <c r="AE91" s="48">
        <v>129</v>
      </c>
      <c r="AF91" s="48">
        <v>129</v>
      </c>
      <c r="AG91" s="146"/>
      <c r="AH91" s="54">
        <f t="shared" si="23"/>
        <v>130.6</v>
      </c>
      <c r="AI91" s="55">
        <f t="shared" si="26"/>
        <v>126.9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129.1</v>
      </c>
      <c r="C92" s="48">
        <v>125.6</v>
      </c>
      <c r="D92" s="48">
        <v>125.3</v>
      </c>
      <c r="E92" s="48">
        <v>129.4</v>
      </c>
      <c r="F92" s="48">
        <v>130.6</v>
      </c>
      <c r="G92" s="48">
        <v>130.6</v>
      </c>
      <c r="H92" s="48">
        <v>130.6</v>
      </c>
      <c r="I92" s="48">
        <v>128.1</v>
      </c>
      <c r="J92" s="48">
        <v>129.30000000000001</v>
      </c>
      <c r="K92" s="48">
        <v>129.30000000000001</v>
      </c>
      <c r="L92" s="48">
        <v>125.9</v>
      </c>
      <c r="M92" s="48">
        <v>129.69999999999999</v>
      </c>
      <c r="N92" s="48">
        <v>129.5</v>
      </c>
      <c r="O92" s="48">
        <v>128.9</v>
      </c>
      <c r="P92" s="48">
        <v>128.1</v>
      </c>
      <c r="Q92" s="48">
        <v>126.6</v>
      </c>
      <c r="R92" s="48">
        <v>128.9</v>
      </c>
      <c r="S92" s="48">
        <v>127.7</v>
      </c>
      <c r="T92" s="48">
        <v>128.19999999999999</v>
      </c>
      <c r="U92" s="48">
        <v>126.6</v>
      </c>
      <c r="V92" s="48">
        <v>128.4</v>
      </c>
      <c r="W92" s="48">
        <v>128.4</v>
      </c>
      <c r="X92" s="48">
        <v>128.4</v>
      </c>
      <c r="Y92" s="48">
        <v>128.4</v>
      </c>
      <c r="Z92" s="48">
        <v>128.4</v>
      </c>
      <c r="AA92" s="48">
        <v>128.5</v>
      </c>
      <c r="AB92" s="48">
        <v>128</v>
      </c>
      <c r="AC92" s="48">
        <v>124.9</v>
      </c>
      <c r="AD92" s="48">
        <v>129.19999999999999</v>
      </c>
      <c r="AE92" s="48">
        <v>129.4</v>
      </c>
      <c r="AF92" s="48">
        <v>127.3</v>
      </c>
      <c r="AG92" s="146"/>
      <c r="AH92" s="54">
        <f t="shared" si="23"/>
        <v>130.6</v>
      </c>
      <c r="AI92" s="55">
        <f t="shared" si="26"/>
        <v>124.9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>
        <v>134.69999999999999</v>
      </c>
      <c r="C93" s="48">
        <v>130.69999999999999</v>
      </c>
      <c r="D93" s="48">
        <v>129.69999999999999</v>
      </c>
      <c r="E93" s="48">
        <v>132.6</v>
      </c>
      <c r="F93" s="48">
        <v>134</v>
      </c>
      <c r="G93" s="48">
        <v>134</v>
      </c>
      <c r="H93" s="48">
        <v>134</v>
      </c>
      <c r="I93" s="48">
        <v>131.9</v>
      </c>
      <c r="J93" s="48">
        <v>133.1</v>
      </c>
      <c r="K93" s="48">
        <v>133.1</v>
      </c>
      <c r="L93" s="48">
        <v>128.69999999999999</v>
      </c>
      <c r="M93" s="48">
        <v>133</v>
      </c>
      <c r="N93" s="48">
        <v>134.5</v>
      </c>
      <c r="O93" s="48">
        <v>133.1</v>
      </c>
      <c r="P93" s="48">
        <v>132.5</v>
      </c>
      <c r="Q93" s="48">
        <v>131.6</v>
      </c>
      <c r="R93" s="48">
        <v>133.19999999999999</v>
      </c>
      <c r="S93" s="48">
        <v>131</v>
      </c>
      <c r="T93" s="48">
        <v>131.69999999999999</v>
      </c>
      <c r="U93" s="48">
        <v>130.9</v>
      </c>
      <c r="V93" s="48">
        <v>133.80000000000001</v>
      </c>
      <c r="W93" s="48">
        <v>133.80000000000001</v>
      </c>
      <c r="X93" s="48">
        <v>133.80000000000001</v>
      </c>
      <c r="Y93" s="48">
        <v>133.80000000000001</v>
      </c>
      <c r="Z93" s="48">
        <v>133.80000000000001</v>
      </c>
      <c r="AA93" s="48">
        <v>131.4</v>
      </c>
      <c r="AB93" s="48">
        <v>131</v>
      </c>
      <c r="AC93" s="48">
        <v>128.9</v>
      </c>
      <c r="AD93" s="48">
        <v>132.4</v>
      </c>
      <c r="AE93" s="48">
        <v>133.4</v>
      </c>
      <c r="AF93" s="48">
        <v>131.80000000000001</v>
      </c>
      <c r="AG93" s="146"/>
      <c r="AH93" s="54">
        <f t="shared" si="23"/>
        <v>134.69999999999999</v>
      </c>
      <c r="AI93" s="55">
        <f t="shared" si="26"/>
        <v>128.69999999999999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132.19999999999999</v>
      </c>
      <c r="C94" s="82">
        <v>131.4</v>
      </c>
      <c r="D94" s="82">
        <v>1128.3</v>
      </c>
      <c r="E94" s="82">
        <v>133.5</v>
      </c>
      <c r="F94" s="82">
        <v>133.6</v>
      </c>
      <c r="G94" s="82">
        <v>133.6</v>
      </c>
      <c r="H94" s="82">
        <v>133.6</v>
      </c>
      <c r="I94" s="82">
        <v>131.19999999999999</v>
      </c>
      <c r="J94" s="82">
        <v>134.5</v>
      </c>
      <c r="K94" s="82">
        <v>134.5</v>
      </c>
      <c r="L94" s="82">
        <v>130</v>
      </c>
      <c r="M94" s="82">
        <v>133.5</v>
      </c>
      <c r="N94" s="82">
        <v>134.9</v>
      </c>
      <c r="O94" s="82">
        <v>134.5</v>
      </c>
      <c r="P94" s="82">
        <v>132.4</v>
      </c>
      <c r="Q94" s="82">
        <v>132.4</v>
      </c>
      <c r="R94" s="82">
        <v>132.4</v>
      </c>
      <c r="S94" s="82">
        <v>131</v>
      </c>
      <c r="T94" s="82">
        <v>132.4</v>
      </c>
      <c r="U94" s="82">
        <v>132</v>
      </c>
      <c r="V94" s="82">
        <v>135.9</v>
      </c>
      <c r="W94" s="82">
        <v>135.9</v>
      </c>
      <c r="X94" s="82">
        <v>135.9</v>
      </c>
      <c r="Y94" s="82">
        <v>135.9</v>
      </c>
      <c r="Z94" s="82">
        <v>135.9</v>
      </c>
      <c r="AA94" s="82">
        <v>133.1</v>
      </c>
      <c r="AB94" s="82">
        <v>132.69999999999999</v>
      </c>
      <c r="AC94" s="82">
        <v>131.80000000000001</v>
      </c>
      <c r="AD94" s="82">
        <v>132.80000000000001</v>
      </c>
      <c r="AE94" s="82">
        <v>132</v>
      </c>
      <c r="AF94" s="82">
        <v>134</v>
      </c>
      <c r="AG94" s="147"/>
      <c r="AH94" s="54">
        <f t="shared" si="23"/>
        <v>1128.3</v>
      </c>
      <c r="AI94" s="55">
        <f t="shared" si="26"/>
        <v>130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128.6</v>
      </c>
      <c r="C95" s="48">
        <v>132.19999999999999</v>
      </c>
      <c r="D95" s="48">
        <v>131.5</v>
      </c>
      <c r="E95" s="48">
        <v>133.69999999999999</v>
      </c>
      <c r="F95" s="48">
        <v>134.1</v>
      </c>
      <c r="G95" s="48">
        <v>134.1</v>
      </c>
      <c r="H95" s="48">
        <v>134.1</v>
      </c>
      <c r="I95" s="48">
        <v>128.19999999999999</v>
      </c>
      <c r="J95" s="48">
        <v>133.1</v>
      </c>
      <c r="K95" s="48">
        <v>133.1</v>
      </c>
      <c r="L95" s="48">
        <v>125.1</v>
      </c>
      <c r="M95" s="48">
        <v>131.1</v>
      </c>
      <c r="N95" s="48">
        <v>132</v>
      </c>
      <c r="O95" s="48">
        <v>130</v>
      </c>
      <c r="P95" s="48">
        <v>127.1</v>
      </c>
      <c r="Q95" s="48">
        <v>129.6</v>
      </c>
      <c r="R95" s="48">
        <v>130.5</v>
      </c>
      <c r="S95" s="48">
        <v>127.7</v>
      </c>
      <c r="T95" s="48">
        <v>132.1</v>
      </c>
      <c r="U95" s="48">
        <v>130.1</v>
      </c>
      <c r="V95" s="48">
        <v>137.19999999999999</v>
      </c>
      <c r="W95" s="48">
        <v>137.19999999999999</v>
      </c>
      <c r="X95" s="48">
        <v>137.19999999999999</v>
      </c>
      <c r="Y95" s="48">
        <v>137.19999999999999</v>
      </c>
      <c r="Z95" s="48">
        <v>137.19999999999999</v>
      </c>
      <c r="AA95" s="48">
        <v>132.19999999999999</v>
      </c>
      <c r="AB95" s="48">
        <v>132.30000000000001</v>
      </c>
      <c r="AC95" s="48">
        <v>130.80000000000001</v>
      </c>
      <c r="AD95" s="48">
        <v>132.30000000000001</v>
      </c>
      <c r="AE95" s="48">
        <v>132.6</v>
      </c>
      <c r="AF95" s="48">
        <v>130.6</v>
      </c>
      <c r="AG95" s="146"/>
      <c r="AH95" s="54">
        <f t="shared" si="23"/>
        <v>137.19999999999999</v>
      </c>
      <c r="AI95" s="55">
        <f t="shared" si="26"/>
        <v>125.1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65.400000000000006</v>
      </c>
      <c r="C96" s="83">
        <v>65.5</v>
      </c>
      <c r="D96" s="83">
        <v>64.8</v>
      </c>
      <c r="E96" s="83">
        <v>66</v>
      </c>
      <c r="F96" s="83">
        <v>65.900000000000006</v>
      </c>
      <c r="G96" s="83">
        <v>65.900000000000006</v>
      </c>
      <c r="H96" s="83">
        <v>65</v>
      </c>
      <c r="I96" s="83">
        <v>65</v>
      </c>
      <c r="J96" s="83">
        <v>65</v>
      </c>
      <c r="K96" s="83">
        <v>65</v>
      </c>
      <c r="L96" s="83">
        <v>64.5</v>
      </c>
      <c r="M96" s="83">
        <v>64.3</v>
      </c>
      <c r="N96" s="83">
        <v>64.2</v>
      </c>
      <c r="O96" s="83">
        <v>64.3</v>
      </c>
      <c r="P96" s="83">
        <v>64.599999999999994</v>
      </c>
      <c r="Q96" s="83">
        <v>64.3</v>
      </c>
      <c r="R96" s="83">
        <v>64.7</v>
      </c>
      <c r="S96" s="83">
        <v>64.599999999999994</v>
      </c>
      <c r="T96" s="83">
        <v>63.6</v>
      </c>
      <c r="U96" s="83">
        <v>64.400000000000006</v>
      </c>
      <c r="V96" s="83">
        <v>64.900000000000006</v>
      </c>
      <c r="W96" s="83">
        <v>64.900000000000006</v>
      </c>
      <c r="X96" s="83">
        <v>64.900000000000006</v>
      </c>
      <c r="Y96" s="83">
        <v>64.900000000000006</v>
      </c>
      <c r="Z96" s="83">
        <v>64.900000000000006</v>
      </c>
      <c r="AA96" s="83">
        <v>64.3</v>
      </c>
      <c r="AB96" s="83">
        <v>65.099999999999994</v>
      </c>
      <c r="AC96" s="83">
        <v>65</v>
      </c>
      <c r="AD96" s="83">
        <v>65.3</v>
      </c>
      <c r="AE96" s="83">
        <v>65.400000000000006</v>
      </c>
      <c r="AF96" s="83">
        <v>65.400000000000006</v>
      </c>
      <c r="AG96" s="148"/>
      <c r="AH96" s="54">
        <f t="shared" si="23"/>
        <v>66</v>
      </c>
      <c r="AI96" s="55">
        <f t="shared" si="26"/>
        <v>63.6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23"/>
        <v>0</v>
      </c>
      <c r="AI97" s="55">
        <f t="shared" si="26"/>
        <v>0</v>
      </c>
    </row>
    <row r="98" spans="1:37" ht="15.75" thickBot="1" x14ac:dyDescent="0.3">
      <c r="A98" s="85" t="s">
        <v>73</v>
      </c>
      <c r="B98" s="86">
        <f t="shared" ref="B98" si="39">SUM(B15,B18,B21:B22,B46,B48:B49,B51,B53,B99:B102,B123,B129,B135,B144,B146,B158,B165,B168:B169,B176,B178,B180,B184:B186,B188:B190,B195,B201:B202,B204:B206,B214,B219)</f>
        <v>88.1</v>
      </c>
      <c r="C98" s="86">
        <f t="shared" ref="C98:AF98" si="40">SUM(C15,C18,C21:C22,C46,C48:C49,C51,C53,C99:C102,C123,C129,C135,C144,C146,C158,C165,C168:C169,C176,C178,C180,C184:C186,C188:C190,C195,C201:C202,C204:C206,C214,C219)</f>
        <v>78.14</v>
      </c>
      <c r="D98" s="86">
        <f t="shared" si="40"/>
        <v>78.839999999999989</v>
      </c>
      <c r="E98" s="86">
        <f t="shared" si="40"/>
        <v>39.139999999999972</v>
      </c>
      <c r="F98" s="86">
        <f t="shared" si="40"/>
        <v>43.439999999999984</v>
      </c>
      <c r="G98" s="86">
        <f t="shared" si="40"/>
        <v>71.839999999999989</v>
      </c>
      <c r="H98" s="86">
        <f t="shared" si="40"/>
        <v>86.239999999999981</v>
      </c>
      <c r="I98" s="86">
        <f t="shared" si="40"/>
        <v>97.539999999999978</v>
      </c>
      <c r="J98" s="86">
        <f t="shared" si="40"/>
        <v>129.74</v>
      </c>
      <c r="K98" s="86">
        <f t="shared" si="40"/>
        <v>158.34</v>
      </c>
      <c r="L98" s="86">
        <f t="shared" si="40"/>
        <v>145.14000000000001</v>
      </c>
      <c r="M98" s="86">
        <f t="shared" si="40"/>
        <v>160.34</v>
      </c>
      <c r="N98" s="86">
        <f t="shared" si="40"/>
        <v>183.24</v>
      </c>
      <c r="O98" s="86">
        <f t="shared" si="40"/>
        <v>157.94</v>
      </c>
      <c r="P98" s="86">
        <f t="shared" si="40"/>
        <v>137.34000000000003</v>
      </c>
      <c r="Q98" s="86">
        <f t="shared" si="40"/>
        <v>155.6</v>
      </c>
      <c r="R98" s="86">
        <f t="shared" si="40"/>
        <v>130.9</v>
      </c>
      <c r="S98" s="86">
        <f t="shared" si="40"/>
        <v>130</v>
      </c>
      <c r="T98" s="86">
        <f t="shared" si="40"/>
        <v>130</v>
      </c>
      <c r="U98" s="86">
        <f t="shared" si="40"/>
        <v>139.39999999999998</v>
      </c>
      <c r="V98" s="86">
        <f t="shared" si="40"/>
        <v>328.3</v>
      </c>
      <c r="W98" s="86">
        <f t="shared" si="40"/>
        <v>329.3</v>
      </c>
      <c r="X98" s="86">
        <f t="shared" si="40"/>
        <v>330.3</v>
      </c>
      <c r="Y98" s="86">
        <f t="shared" si="40"/>
        <v>331.3</v>
      </c>
      <c r="Z98" s="86">
        <f t="shared" si="40"/>
        <v>332.3</v>
      </c>
      <c r="AA98" s="86">
        <f t="shared" si="40"/>
        <v>207.10000000000002</v>
      </c>
      <c r="AB98" s="86">
        <f t="shared" si="40"/>
        <v>153.60000000000002</v>
      </c>
      <c r="AC98" s="86">
        <f t="shared" si="40"/>
        <v>138</v>
      </c>
      <c r="AD98" s="86">
        <f t="shared" si="40"/>
        <v>111.10000000000002</v>
      </c>
      <c r="AE98" s="86">
        <f t="shared" si="40"/>
        <v>78.90000000000002</v>
      </c>
      <c r="AF98" s="86">
        <f t="shared" si="40"/>
        <v>46.300000000000011</v>
      </c>
      <c r="AG98" s="150"/>
      <c r="AH98" s="54">
        <f>MAX(C98:AF98)</f>
        <v>332.3</v>
      </c>
      <c r="AI98" s="55">
        <f>MIN(C98:AF98)</f>
        <v>39.139999999999972</v>
      </c>
    </row>
    <row r="99" spans="1:37" x14ac:dyDescent="0.25">
      <c r="A99" s="170" t="s">
        <v>74</v>
      </c>
      <c r="B99" s="87">
        <f>30.9+16.4</f>
        <v>47.3</v>
      </c>
      <c r="C99" s="87">
        <f>29.9+16.2</f>
        <v>46.099999999999994</v>
      </c>
      <c r="D99" s="87">
        <f>47+28.5</f>
        <v>75.5</v>
      </c>
      <c r="E99" s="87">
        <v>19.600000000000001</v>
      </c>
      <c r="F99" s="87">
        <v>16.600000000000001</v>
      </c>
      <c r="G99" s="87">
        <v>21</v>
      </c>
      <c r="H99" s="87">
        <v>29.5</v>
      </c>
      <c r="I99" s="87">
        <v>27.6</v>
      </c>
      <c r="J99" s="87">
        <v>34.4</v>
      </c>
      <c r="K99" s="87">
        <v>31.5</v>
      </c>
      <c r="L99" s="87">
        <v>31.3</v>
      </c>
      <c r="M99" s="87">
        <v>27.9</v>
      </c>
      <c r="N99" s="87">
        <v>29.8</v>
      </c>
      <c r="O99" s="87">
        <v>16.399999999999999</v>
      </c>
      <c r="P99" s="87">
        <v>23.9</v>
      </c>
      <c r="Q99" s="87">
        <v>33.700000000000003</v>
      </c>
      <c r="R99" s="87">
        <v>31.7</v>
      </c>
      <c r="S99" s="87">
        <v>34</v>
      </c>
      <c r="T99" s="87">
        <v>34.1</v>
      </c>
      <c r="U99" s="87">
        <v>36.5</v>
      </c>
      <c r="V99" s="87">
        <v>42.5</v>
      </c>
      <c r="W99" s="87">
        <v>43.5</v>
      </c>
      <c r="X99" s="87">
        <v>44.5</v>
      </c>
      <c r="Y99" s="87">
        <v>45.5</v>
      </c>
      <c r="Z99" s="87">
        <v>46.5</v>
      </c>
      <c r="AA99" s="87">
        <v>24.4</v>
      </c>
      <c r="AB99" s="87">
        <v>28.3</v>
      </c>
      <c r="AC99" s="87">
        <v>27.2</v>
      </c>
      <c r="AD99" s="87">
        <v>27.9</v>
      </c>
      <c r="AE99" s="87">
        <v>30.8</v>
      </c>
      <c r="AF99" s="87">
        <v>5</v>
      </c>
      <c r="AG99" s="151">
        <v>75</v>
      </c>
      <c r="AH99" s="54">
        <f t="shared" ref="AH99:AH105" si="41">IF(ABS(MAX(C99:AF99))&gt;ABS(MIN(C99:AF99)),MAX(C99:AF99),MIN(C99:AF99))</f>
        <v>75.5</v>
      </c>
      <c r="AI99" s="89">
        <f t="shared" ref="AI99:AI105" si="42">INDEX($C$9:$AF$9,1,MATCH(AH99,C99:AF99,0))</f>
        <v>8.3333333333333301E-2</v>
      </c>
    </row>
    <row r="100" spans="1:37" x14ac:dyDescent="0.25">
      <c r="A100" s="163" t="s">
        <v>75</v>
      </c>
      <c r="B100" s="90">
        <f>-60.8-53</f>
        <v>-113.8</v>
      </c>
      <c r="C100" s="90">
        <f>-60-64.6</f>
        <v>-124.6</v>
      </c>
      <c r="D100" s="90">
        <f>-72.2-72.7</f>
        <v>-144.9</v>
      </c>
      <c r="E100" s="90">
        <v>-121</v>
      </c>
      <c r="F100" s="90">
        <v>-115</v>
      </c>
      <c r="G100" s="90">
        <v>-95</v>
      </c>
      <c r="H100" s="90">
        <v>-91</v>
      </c>
      <c r="I100" s="90">
        <v>-79</v>
      </c>
      <c r="J100" s="90">
        <v>-54</v>
      </c>
      <c r="K100" s="90">
        <v>-42</v>
      </c>
      <c r="L100" s="90">
        <v>-56</v>
      </c>
      <c r="M100" s="90">
        <f>-15.8-32.4</f>
        <v>-48.2</v>
      </c>
      <c r="N100" s="90">
        <v>-46</v>
      </c>
      <c r="O100" s="90">
        <f>-20.8-50.5</f>
        <v>-71.3</v>
      </c>
      <c r="P100" s="90">
        <f>-32.9-65.3</f>
        <v>-98.199999999999989</v>
      </c>
      <c r="Q100" s="90">
        <v>-83</v>
      </c>
      <c r="R100" s="90">
        <f>-36.3-63</f>
        <v>-99.3</v>
      </c>
      <c r="S100" s="90">
        <v>-95.8</v>
      </c>
      <c r="T100" s="90">
        <f>-54.6-40.6</f>
        <v>-95.2</v>
      </c>
      <c r="U100" s="90">
        <f>-48.2-41.1</f>
        <v>-89.300000000000011</v>
      </c>
      <c r="V100" s="90">
        <f>56.9+47.2</f>
        <v>104.1</v>
      </c>
      <c r="W100" s="90">
        <f t="shared" ref="W100:Z100" si="43">56.9+47.2</f>
        <v>104.1</v>
      </c>
      <c r="X100" s="90">
        <f t="shared" si="43"/>
        <v>104.1</v>
      </c>
      <c r="Y100" s="90">
        <f t="shared" si="43"/>
        <v>104.1</v>
      </c>
      <c r="Z100" s="90">
        <f t="shared" si="43"/>
        <v>104.1</v>
      </c>
      <c r="AA100" s="90">
        <f>-36-3</f>
        <v>-39</v>
      </c>
      <c r="AB100" s="90">
        <f>-24.7-57.3</f>
        <v>-82</v>
      </c>
      <c r="AC100" s="90">
        <f>-31-62.7</f>
        <v>-93.7</v>
      </c>
      <c r="AD100" s="90">
        <f>-42.9-74.3</f>
        <v>-117.19999999999999</v>
      </c>
      <c r="AE100" s="90">
        <f>-57.2-59.5</f>
        <v>-116.7</v>
      </c>
      <c r="AF100" s="90">
        <f>-54.5-56.9</f>
        <v>-111.4</v>
      </c>
      <c r="AG100" s="151">
        <v>240</v>
      </c>
      <c r="AH100" s="54">
        <f t="shared" si="41"/>
        <v>-144.9</v>
      </c>
      <c r="AI100" s="89">
        <f t="shared" si="42"/>
        <v>8.3333333333333301E-2</v>
      </c>
    </row>
    <row r="101" spans="1:37" x14ac:dyDescent="0.25">
      <c r="A101" s="163" t="s">
        <v>76</v>
      </c>
      <c r="B101" s="90">
        <v>4.7</v>
      </c>
      <c r="C101" s="90">
        <v>5.3</v>
      </c>
      <c r="D101" s="90">
        <v>-2.8</v>
      </c>
      <c r="E101" s="90">
        <v>-0.7</v>
      </c>
      <c r="F101" s="90">
        <v>1.2</v>
      </c>
      <c r="G101" s="90">
        <v>5.2</v>
      </c>
      <c r="H101" s="90">
        <v>7.1</v>
      </c>
      <c r="I101" s="90">
        <v>8.3000000000000007</v>
      </c>
      <c r="J101" s="90">
        <v>8.9</v>
      </c>
      <c r="K101" s="90">
        <v>28.4</v>
      </c>
      <c r="L101" s="90">
        <v>29.4</v>
      </c>
      <c r="M101" s="90">
        <v>32.200000000000003</v>
      </c>
      <c r="N101" s="90">
        <v>40</v>
      </c>
      <c r="O101" s="90">
        <v>49.4</v>
      </c>
      <c r="P101" s="90">
        <v>48.2</v>
      </c>
      <c r="Q101" s="90">
        <v>42.4</v>
      </c>
      <c r="R101" s="90">
        <v>35.6</v>
      </c>
      <c r="S101" s="90">
        <v>28.3</v>
      </c>
      <c r="T101" s="90">
        <v>27.6</v>
      </c>
      <c r="U101" s="90">
        <v>28.7</v>
      </c>
      <c r="V101" s="90">
        <v>18.2</v>
      </c>
      <c r="W101" s="90">
        <v>18.2</v>
      </c>
      <c r="X101" s="90">
        <v>18.2</v>
      </c>
      <c r="Y101" s="90">
        <v>18.2</v>
      </c>
      <c r="Z101" s="90">
        <v>18.2</v>
      </c>
      <c r="AA101" s="90">
        <v>58.2</v>
      </c>
      <c r="AB101" s="90">
        <v>51</v>
      </c>
      <c r="AC101" s="90">
        <v>48.2</v>
      </c>
      <c r="AD101" s="90">
        <v>44.1</v>
      </c>
      <c r="AE101" s="90">
        <v>8.5</v>
      </c>
      <c r="AF101" s="90">
        <v>0.5</v>
      </c>
      <c r="AG101" s="151">
        <v>60</v>
      </c>
      <c r="AH101" s="54">
        <f t="shared" si="41"/>
        <v>58.2</v>
      </c>
      <c r="AI101" s="89">
        <f t="shared" si="42"/>
        <v>0.8125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0</v>
      </c>
      <c r="M102" s="91">
        <v>0</v>
      </c>
      <c r="N102" s="91">
        <v>0</v>
      </c>
      <c r="O102" s="91">
        <v>0</v>
      </c>
      <c r="P102" s="91">
        <v>0</v>
      </c>
      <c r="Q102" s="91">
        <v>0</v>
      </c>
      <c r="R102" s="91">
        <v>0</v>
      </c>
      <c r="S102" s="91">
        <v>0</v>
      </c>
      <c r="T102" s="91">
        <v>0</v>
      </c>
      <c r="U102" s="91">
        <v>0</v>
      </c>
      <c r="V102" s="91">
        <v>0</v>
      </c>
      <c r="W102" s="91">
        <v>0</v>
      </c>
      <c r="X102" s="91">
        <v>0</v>
      </c>
      <c r="Y102" s="91">
        <v>0</v>
      </c>
      <c r="Z102" s="91">
        <v>0</v>
      </c>
      <c r="AA102" s="91">
        <v>0</v>
      </c>
      <c r="AB102" s="91">
        <v>0</v>
      </c>
      <c r="AC102" s="91">
        <v>0</v>
      </c>
      <c r="AD102" s="91">
        <v>0</v>
      </c>
      <c r="AE102" s="91">
        <v>0</v>
      </c>
      <c r="AF102" s="91">
        <v>0</v>
      </c>
      <c r="AG102" s="152">
        <v>120</v>
      </c>
      <c r="AH102" s="54">
        <f t="shared" si="41"/>
        <v>0</v>
      </c>
      <c r="AI102" s="89">
        <f t="shared" si="42"/>
        <v>4.1666666666666664E-2</v>
      </c>
    </row>
    <row r="103" spans="1:37" x14ac:dyDescent="0.25">
      <c r="A103" s="164" t="s">
        <v>78</v>
      </c>
      <c r="B103" s="91">
        <v>52.5</v>
      </c>
      <c r="C103" s="91">
        <v>43.9</v>
      </c>
      <c r="D103" s="91">
        <v>33.799999999999997</v>
      </c>
      <c r="E103" s="91">
        <v>35</v>
      </c>
      <c r="F103" s="91">
        <v>36</v>
      </c>
      <c r="G103" s="91">
        <v>52.3</v>
      </c>
      <c r="H103" s="91">
        <v>50</v>
      </c>
      <c r="I103" s="91">
        <v>67.400000000000006</v>
      </c>
      <c r="J103" s="91">
        <v>66.099999999999994</v>
      </c>
      <c r="K103" s="91">
        <v>80.5</v>
      </c>
      <c r="L103" s="91">
        <v>62.4</v>
      </c>
      <c r="M103" s="91">
        <v>80</v>
      </c>
      <c r="N103" s="91">
        <v>80</v>
      </c>
      <c r="O103" s="91">
        <v>80</v>
      </c>
      <c r="P103" s="91">
        <v>37.200000000000003</v>
      </c>
      <c r="Q103" s="91">
        <v>43</v>
      </c>
      <c r="R103" s="91">
        <v>54</v>
      </c>
      <c r="S103" s="91">
        <v>44.6</v>
      </c>
      <c r="T103" s="91">
        <v>46.3</v>
      </c>
      <c r="U103" s="91">
        <v>47.5</v>
      </c>
      <c r="V103" s="91">
        <v>33.6</v>
      </c>
      <c r="W103" s="91">
        <v>33.6</v>
      </c>
      <c r="X103" s="91">
        <v>33.6</v>
      </c>
      <c r="Y103" s="91">
        <v>33.6</v>
      </c>
      <c r="Z103" s="91">
        <v>33.6</v>
      </c>
      <c r="AA103" s="91">
        <v>79.2</v>
      </c>
      <c r="AB103" s="91">
        <v>54</v>
      </c>
      <c r="AC103" s="91">
        <v>46</v>
      </c>
      <c r="AD103" s="91">
        <v>32.1</v>
      </c>
      <c r="AE103" s="91">
        <v>45</v>
      </c>
      <c r="AF103" s="91">
        <v>66.2</v>
      </c>
      <c r="AG103" s="152"/>
      <c r="AH103" s="54">
        <f t="shared" si="41"/>
        <v>80.5</v>
      </c>
      <c r="AI103" s="89">
        <f t="shared" si="42"/>
        <v>0.29166666666666669</v>
      </c>
    </row>
    <row r="104" spans="1:37" x14ac:dyDescent="0.25">
      <c r="A104" s="164" t="s">
        <v>105</v>
      </c>
      <c r="B104" s="91">
        <v>69</v>
      </c>
      <c r="C104" s="91">
        <v>57.7</v>
      </c>
      <c r="D104" s="91">
        <v>19.899999999999999</v>
      </c>
      <c r="E104" s="91">
        <v>47.1</v>
      </c>
      <c r="F104" s="91">
        <v>56.6</v>
      </c>
      <c r="G104" s="91">
        <v>57.2</v>
      </c>
      <c r="H104" s="91">
        <v>34.799999999999997</v>
      </c>
      <c r="I104" s="91">
        <v>45.4</v>
      </c>
      <c r="J104" s="91">
        <v>26.7</v>
      </c>
      <c r="K104" s="91">
        <v>40.299999999999997</v>
      </c>
      <c r="L104" s="91">
        <v>37.6</v>
      </c>
      <c r="M104" s="91">
        <v>50.6</v>
      </c>
      <c r="N104" s="91">
        <v>56</v>
      </c>
      <c r="O104" s="91">
        <v>87.3</v>
      </c>
      <c r="P104" s="91">
        <v>42.5</v>
      </c>
      <c r="Q104" s="91">
        <v>18</v>
      </c>
      <c r="R104" s="91">
        <v>21.7</v>
      </c>
      <c r="S104" s="91">
        <v>20.7</v>
      </c>
      <c r="T104" s="91">
        <v>0</v>
      </c>
      <c r="U104" s="91">
        <v>0</v>
      </c>
      <c r="V104" s="91">
        <v>-31</v>
      </c>
      <c r="W104" s="91">
        <v>-31</v>
      </c>
      <c r="X104" s="91">
        <v>-31</v>
      </c>
      <c r="Y104" s="91">
        <v>-31</v>
      </c>
      <c r="Z104" s="91">
        <v>-31</v>
      </c>
      <c r="AA104" s="91">
        <v>0</v>
      </c>
      <c r="AB104" s="91">
        <v>-20.2</v>
      </c>
      <c r="AC104" s="91">
        <v>-19</v>
      </c>
      <c r="AD104" s="91">
        <v>-24</v>
      </c>
      <c r="AE104" s="91">
        <v>-39.700000000000003</v>
      </c>
      <c r="AF104" s="91">
        <v>-42.5</v>
      </c>
      <c r="AG104" s="153"/>
      <c r="AH104" s="54">
        <f t="shared" si="41"/>
        <v>87.3</v>
      </c>
      <c r="AI104" s="89">
        <f t="shared" si="42"/>
        <v>0.41666666666666702</v>
      </c>
    </row>
    <row r="105" spans="1:37" ht="15.75" thickBot="1" x14ac:dyDescent="0.3">
      <c r="A105" s="171" t="s">
        <v>106</v>
      </c>
      <c r="B105" s="82">
        <v>103.7</v>
      </c>
      <c r="C105" s="82">
        <v>109.8</v>
      </c>
      <c r="D105" s="82">
        <v>111.3</v>
      </c>
      <c r="E105" s="82">
        <v>112.3</v>
      </c>
      <c r="F105" s="82">
        <v>117</v>
      </c>
      <c r="G105" s="82">
        <v>117.8</v>
      </c>
      <c r="H105" s="82">
        <v>122.5</v>
      </c>
      <c r="I105" s="82">
        <v>118</v>
      </c>
      <c r="J105" s="82">
        <v>112.5</v>
      </c>
      <c r="K105" s="82">
        <v>109.3</v>
      </c>
      <c r="L105" s="82">
        <v>106.5</v>
      </c>
      <c r="M105" s="82">
        <v>103.5</v>
      </c>
      <c r="N105" s="82">
        <v>102</v>
      </c>
      <c r="O105" s="82">
        <v>100.8</v>
      </c>
      <c r="P105" s="82">
        <v>101.1</v>
      </c>
      <c r="Q105" s="82">
        <v>98</v>
      </c>
      <c r="R105" s="82">
        <v>98.2</v>
      </c>
      <c r="S105" s="82">
        <v>96.4</v>
      </c>
      <c r="T105" s="82">
        <v>98.2</v>
      </c>
      <c r="U105" s="82">
        <v>101.8</v>
      </c>
      <c r="V105" s="82">
        <v>76.400000000000006</v>
      </c>
      <c r="W105" s="82">
        <v>76.400000000000006</v>
      </c>
      <c r="X105" s="82">
        <v>76.400000000000006</v>
      </c>
      <c r="Y105" s="82">
        <v>76.400000000000006</v>
      </c>
      <c r="Z105" s="82">
        <v>76.400000000000006</v>
      </c>
      <c r="AA105" s="82">
        <v>86.1</v>
      </c>
      <c r="AB105" s="82">
        <v>70</v>
      </c>
      <c r="AC105" s="82">
        <v>72</v>
      </c>
      <c r="AD105" s="82">
        <v>70.900000000000006</v>
      </c>
      <c r="AE105" s="82">
        <v>90.3</v>
      </c>
      <c r="AF105" s="82">
        <v>97.7</v>
      </c>
      <c r="AG105" s="153"/>
      <c r="AH105" s="54">
        <f t="shared" si="41"/>
        <v>122.5</v>
      </c>
      <c r="AI105" s="89">
        <f t="shared" si="42"/>
        <v>0.22916666666666666</v>
      </c>
    </row>
    <row r="106" spans="1:37" ht="15.75" thickBot="1" x14ac:dyDescent="0.3">
      <c r="A106" s="92" t="s">
        <v>79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154"/>
      <c r="AH106" s="94"/>
      <c r="AI106" s="55"/>
      <c r="AK106" s="56"/>
    </row>
    <row r="107" spans="1:37" x14ac:dyDescent="0.25">
      <c r="A107" s="162" t="s">
        <v>133</v>
      </c>
      <c r="B107" s="95"/>
      <c r="C107" s="53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6">
        <v>9.94</v>
      </c>
      <c r="AH107" s="54"/>
      <c r="AI107" s="55"/>
      <c r="AK107" s="56"/>
    </row>
    <row r="108" spans="1:37" x14ac:dyDescent="0.25">
      <c r="A108" s="163" t="s">
        <v>134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/>
      <c r="AH108" s="54"/>
      <c r="AI108" s="55"/>
      <c r="AK108" s="56"/>
    </row>
    <row r="109" spans="1:37" x14ac:dyDescent="0.25">
      <c r="A109" s="163" t="s">
        <v>135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136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137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138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139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140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141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142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143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144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145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146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147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148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149</v>
      </c>
      <c r="B123" s="97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9">
        <v>9.9</v>
      </c>
      <c r="AH123" s="54"/>
      <c r="AI123" s="55"/>
      <c r="AK123" s="56"/>
    </row>
    <row r="124" spans="1:37" x14ac:dyDescent="0.25">
      <c r="A124" s="164" t="s">
        <v>80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100">
        <v>9.6579999999999995</v>
      </c>
      <c r="AH124" s="54"/>
      <c r="AI124" s="55"/>
      <c r="AK124" s="56"/>
    </row>
    <row r="125" spans="1:37" x14ac:dyDescent="0.25">
      <c r="A125" s="164" t="s">
        <v>150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</v>
      </c>
      <c r="AH125" s="54"/>
      <c r="AI125" s="55"/>
      <c r="AK125" s="56"/>
    </row>
    <row r="126" spans="1:37" x14ac:dyDescent="0.25">
      <c r="A126" s="164" t="s">
        <v>151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9.51</v>
      </c>
      <c r="AH126" s="54"/>
      <c r="AI126" s="55"/>
      <c r="AK126" s="56"/>
    </row>
    <row r="127" spans="1:37" x14ac:dyDescent="0.25">
      <c r="A127" s="164" t="s">
        <v>152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9.4</v>
      </c>
      <c r="AH127" s="54"/>
      <c r="AI127" s="55"/>
      <c r="AK127" s="56"/>
    </row>
    <row r="128" spans="1:37" x14ac:dyDescent="0.25">
      <c r="A128" s="164" t="s">
        <v>153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8.8000000000000007</v>
      </c>
      <c r="AH128" s="54"/>
      <c r="AI128" s="55"/>
      <c r="AK128" s="56"/>
    </row>
    <row r="129" spans="1:37" x14ac:dyDescent="0.25">
      <c r="A129" s="164" t="s">
        <v>154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8.5</v>
      </c>
      <c r="AH129" s="54"/>
      <c r="AI129" s="55"/>
      <c r="AK129" s="56"/>
    </row>
    <row r="130" spans="1:37" x14ac:dyDescent="0.25">
      <c r="A130" s="164" t="s">
        <v>155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156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8.4</v>
      </c>
      <c r="AH131" s="54"/>
      <c r="AI131" s="55"/>
      <c r="AK131" s="56"/>
    </row>
    <row r="132" spans="1:37" ht="13.5" customHeight="1" x14ac:dyDescent="0.25">
      <c r="A132" s="164" t="s">
        <v>157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</v>
      </c>
      <c r="AH132" s="54"/>
      <c r="AI132" s="55"/>
      <c r="AK132" s="56"/>
    </row>
    <row r="133" spans="1:37" x14ac:dyDescent="0.25">
      <c r="A133" s="164" t="s">
        <v>158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159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160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7.8</v>
      </c>
      <c r="AH135" s="54"/>
      <c r="AI135" s="55"/>
      <c r="AK135" s="56"/>
    </row>
    <row r="136" spans="1:37" x14ac:dyDescent="0.25">
      <c r="A136" s="164" t="s">
        <v>161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7.6</v>
      </c>
      <c r="AH136" s="54"/>
      <c r="AI136" s="55"/>
      <c r="AK136" s="56"/>
    </row>
    <row r="137" spans="1:37" x14ac:dyDescent="0.25">
      <c r="A137" s="164" t="s">
        <v>162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7.5</v>
      </c>
      <c r="AH137" s="54"/>
      <c r="AI137" s="55"/>
      <c r="AK137" s="56"/>
    </row>
    <row r="138" spans="1:37" x14ac:dyDescent="0.25">
      <c r="A138" s="164" t="s">
        <v>163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164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</v>
      </c>
      <c r="AH139" s="54"/>
      <c r="AI139" s="55"/>
      <c r="AK139" s="56"/>
    </row>
    <row r="140" spans="1:37" x14ac:dyDescent="0.25">
      <c r="A140" s="164" t="s">
        <v>165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166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167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168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6.6</v>
      </c>
      <c r="AH143" s="54"/>
      <c r="AI143" s="55"/>
      <c r="AK143" s="56"/>
    </row>
    <row r="144" spans="1:37" x14ac:dyDescent="0.25">
      <c r="A144" s="164" t="s">
        <v>169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170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6.4</v>
      </c>
      <c r="AH145" s="54"/>
      <c r="AI145" s="55"/>
      <c r="AK145" s="56"/>
    </row>
    <row r="146" spans="1:37" x14ac:dyDescent="0.25">
      <c r="A146" s="164" t="s">
        <v>171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</v>
      </c>
      <c r="AH146" s="54"/>
      <c r="AI146" s="55"/>
      <c r="AK146" s="56"/>
    </row>
    <row r="147" spans="1:37" x14ac:dyDescent="0.25">
      <c r="A147" s="164" t="s">
        <v>172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5.0999999999999996</v>
      </c>
      <c r="AH147" s="54"/>
      <c r="AI147" s="55"/>
      <c r="AK147" s="56"/>
    </row>
    <row r="148" spans="1:37" x14ac:dyDescent="0.25">
      <c r="A148" s="164" t="s">
        <v>173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</v>
      </c>
      <c r="AH148" s="54"/>
      <c r="AI148" s="55"/>
      <c r="AK148" s="56"/>
    </row>
    <row r="149" spans="1:37" x14ac:dyDescent="0.25">
      <c r="A149" s="163" t="s">
        <v>174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9">
        <v>5</v>
      </c>
      <c r="AH149" s="54"/>
      <c r="AI149" s="55"/>
      <c r="AK149" s="56"/>
    </row>
    <row r="150" spans="1:37" x14ac:dyDescent="0.25">
      <c r="A150" s="164" t="s">
        <v>175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100">
        <v>5</v>
      </c>
      <c r="AH150" s="54"/>
      <c r="AI150" s="55"/>
      <c r="AK150" s="56"/>
    </row>
    <row r="151" spans="1:37" x14ac:dyDescent="0.25">
      <c r="A151" s="164" t="s">
        <v>176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177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178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179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180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4.9930000000000003</v>
      </c>
      <c r="AH155" s="54"/>
      <c r="AI155" s="55"/>
      <c r="AK155" s="56"/>
    </row>
    <row r="156" spans="1:37" x14ac:dyDescent="0.25">
      <c r="A156" s="164" t="s">
        <v>181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4.9800000000000004</v>
      </c>
      <c r="AH156" s="54"/>
      <c r="AI156" s="55"/>
      <c r="AK156" s="56"/>
    </row>
    <row r="157" spans="1:37" x14ac:dyDescent="0.25">
      <c r="A157" s="164" t="s">
        <v>182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4.95</v>
      </c>
      <c r="AH157" s="54"/>
      <c r="AI157" s="55"/>
      <c r="AK157" s="56"/>
    </row>
    <row r="158" spans="1:37" x14ac:dyDescent="0.25">
      <c r="A158" s="164" t="s">
        <v>81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183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4.8</v>
      </c>
      <c r="AH159" s="54"/>
      <c r="AI159" s="55"/>
      <c r="AK159" s="56"/>
    </row>
    <row r="160" spans="1:37" x14ac:dyDescent="0.25">
      <c r="A160" s="164" t="s">
        <v>184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185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186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4.5</v>
      </c>
      <c r="AH162" s="54"/>
      <c r="AI162" s="55"/>
      <c r="AK162" s="56"/>
    </row>
    <row r="163" spans="1:37" x14ac:dyDescent="0.25">
      <c r="A163" s="164" t="s">
        <v>187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188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4.4550000000000001</v>
      </c>
      <c r="AH164" s="54"/>
      <c r="AI164" s="55"/>
      <c r="AK164" s="56"/>
    </row>
    <row r="165" spans="1:37" x14ac:dyDescent="0.25">
      <c r="A165" s="164" t="s">
        <v>189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4.41</v>
      </c>
      <c r="AH165" s="54"/>
      <c r="AI165" s="55"/>
      <c r="AK165" s="56"/>
    </row>
    <row r="166" spans="1:37" x14ac:dyDescent="0.25">
      <c r="A166" s="164" t="s">
        <v>190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4.4000000000000004</v>
      </c>
      <c r="AH166" s="54"/>
      <c r="AI166" s="55"/>
      <c r="AK166" s="56"/>
    </row>
    <row r="167" spans="1:37" x14ac:dyDescent="0.25">
      <c r="A167" s="164" t="s">
        <v>191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4.3600000000000003</v>
      </c>
      <c r="AH167" s="54"/>
      <c r="AI167" s="55"/>
      <c r="AK167" s="56"/>
    </row>
    <row r="168" spans="1:37" x14ac:dyDescent="0.25">
      <c r="A168" s="164" t="s">
        <v>192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4.2</v>
      </c>
      <c r="AH168" s="54"/>
      <c r="AI168" s="55"/>
      <c r="AK168" s="56"/>
    </row>
    <row r="169" spans="1:37" x14ac:dyDescent="0.25">
      <c r="A169" s="164" t="s">
        <v>193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</v>
      </c>
      <c r="AH169" s="54"/>
      <c r="AI169" s="55"/>
      <c r="AK169" s="56"/>
    </row>
    <row r="170" spans="1:37" x14ac:dyDescent="0.25">
      <c r="A170" s="164" t="s">
        <v>194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195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196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197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198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199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200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201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3.75</v>
      </c>
      <c r="AH177" s="54"/>
      <c r="AI177" s="55"/>
      <c r="AK177" s="56"/>
    </row>
    <row r="178" spans="1:37" x14ac:dyDescent="0.25">
      <c r="A178" s="164" t="s">
        <v>202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3.52</v>
      </c>
      <c r="AH178" s="54"/>
      <c r="AI178" s="55"/>
      <c r="AK178" s="56"/>
    </row>
    <row r="179" spans="1:37" x14ac:dyDescent="0.25">
      <c r="A179" s="164" t="s">
        <v>203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3.33</v>
      </c>
      <c r="AH179" s="54"/>
      <c r="AI179" s="55"/>
      <c r="AK179" s="56"/>
    </row>
    <row r="180" spans="1:37" x14ac:dyDescent="0.25">
      <c r="A180" s="164" t="s">
        <v>204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3.2</v>
      </c>
      <c r="AH180" s="54"/>
      <c r="AI180" s="55"/>
      <c r="AK180" s="56"/>
    </row>
    <row r="181" spans="1:37" x14ac:dyDescent="0.25">
      <c r="A181" s="164" t="s">
        <v>205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</v>
      </c>
      <c r="AH181" s="54"/>
      <c r="AI181" s="55"/>
      <c r="AK181" s="56"/>
    </row>
    <row r="182" spans="1:37" x14ac:dyDescent="0.25">
      <c r="A182" s="164" t="s">
        <v>206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207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208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209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210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211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212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213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2.83</v>
      </c>
      <c r="AH189" s="54"/>
      <c r="AI189" s="55"/>
      <c r="AK189" s="56"/>
    </row>
    <row r="190" spans="1:37" x14ac:dyDescent="0.25">
      <c r="A190" s="164" t="s">
        <v>214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2.5</v>
      </c>
      <c r="AH190" s="54"/>
      <c r="AI190" s="55"/>
      <c r="AK190" s="56"/>
    </row>
    <row r="191" spans="1:37" x14ac:dyDescent="0.25">
      <c r="A191" s="164" t="s">
        <v>215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216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2.4</v>
      </c>
      <c r="AH192" s="54"/>
      <c r="AI192" s="55"/>
      <c r="AK192" s="56"/>
    </row>
    <row r="193" spans="1:37" x14ac:dyDescent="0.25">
      <c r="A193" s="164" t="s">
        <v>217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218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2.2000000000000002</v>
      </c>
      <c r="AH194" s="54"/>
      <c r="AI194" s="55"/>
      <c r="AK194" s="56"/>
    </row>
    <row r="195" spans="1:37" x14ac:dyDescent="0.25">
      <c r="A195" s="164" t="s">
        <v>219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</v>
      </c>
      <c r="AH195" s="54"/>
      <c r="AI195" s="55"/>
      <c r="AK195" s="56"/>
    </row>
    <row r="196" spans="1:37" x14ac:dyDescent="0.25">
      <c r="A196" s="164" t="s">
        <v>220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221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222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1.8</v>
      </c>
      <c r="AH198" s="54"/>
      <c r="AI198" s="55"/>
      <c r="AK198" s="56"/>
    </row>
    <row r="199" spans="1:37" x14ac:dyDescent="0.25">
      <c r="A199" s="164" t="s">
        <v>223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224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1.65</v>
      </c>
      <c r="AH200" s="54"/>
      <c r="AI200" s="55"/>
      <c r="AK200" s="56"/>
    </row>
    <row r="201" spans="1:37" x14ac:dyDescent="0.25">
      <c r="A201" s="164" t="s">
        <v>225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1.5</v>
      </c>
      <c r="AH201" s="54"/>
      <c r="AI201" s="55"/>
      <c r="AK201" s="56"/>
    </row>
    <row r="202" spans="1:37" x14ac:dyDescent="0.25">
      <c r="A202" s="164" t="s">
        <v>226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0.998</v>
      </c>
      <c r="AH202" s="54"/>
      <c r="AI202" s="55"/>
      <c r="AK202" s="56"/>
    </row>
    <row r="203" spans="1:37" x14ac:dyDescent="0.25">
      <c r="A203" s="164" t="s">
        <v>227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0.997</v>
      </c>
      <c r="AH203" s="54"/>
      <c r="AI203" s="55"/>
      <c r="AK203" s="56"/>
    </row>
    <row r="204" spans="1:37" x14ac:dyDescent="0.25">
      <c r="A204" s="164" t="s">
        <v>228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229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0.996</v>
      </c>
      <c r="AH205" s="54"/>
      <c r="AI205" s="55"/>
      <c r="AK205" s="56"/>
    </row>
    <row r="206" spans="1:37" x14ac:dyDescent="0.25">
      <c r="A206" s="164" t="s">
        <v>230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231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232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0.995</v>
      </c>
      <c r="AH208" s="54"/>
      <c r="AI208" s="55"/>
      <c r="AK208" s="56"/>
    </row>
    <row r="209" spans="1:37" x14ac:dyDescent="0.25">
      <c r="A209" s="164" t="s">
        <v>233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0.99299999999999999</v>
      </c>
      <c r="AH209" s="54"/>
      <c r="AI209" s="55"/>
      <c r="AK209" s="56"/>
    </row>
    <row r="210" spans="1:37" x14ac:dyDescent="0.25">
      <c r="A210" s="164" t="s">
        <v>234</v>
      </c>
      <c r="B210" s="97"/>
      <c r="C210" s="53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</v>
      </c>
      <c r="AH210" s="54"/>
      <c r="AI210" s="55"/>
      <c r="AK210" s="56"/>
    </row>
    <row r="211" spans="1:37" ht="15.75" thickBot="1" x14ac:dyDescent="0.3">
      <c r="A211" s="164" t="s">
        <v>235</v>
      </c>
      <c r="B211" s="102"/>
      <c r="C211" s="166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0">
        <v>0.97899999999999998</v>
      </c>
      <c r="AH211" s="54"/>
      <c r="AI211" s="55"/>
      <c r="AK211" s="56"/>
    </row>
    <row r="212" spans="1:37" ht="15.75" thickBot="1" x14ac:dyDescent="0.3">
      <c r="A212" s="165" t="s">
        <v>82</v>
      </c>
      <c r="B212" s="167">
        <f>SUM(B107:B211)</f>
        <v>0</v>
      </c>
      <c r="C212" s="103">
        <f t="shared" ref="C212:AG212" si="44">SUM(C107:C211)</f>
        <v>0</v>
      </c>
      <c r="D212" s="103">
        <f t="shared" si="44"/>
        <v>0</v>
      </c>
      <c r="E212" s="103">
        <f t="shared" si="44"/>
        <v>0</v>
      </c>
      <c r="F212" s="103">
        <f t="shared" si="44"/>
        <v>0</v>
      </c>
      <c r="G212" s="103">
        <f t="shared" si="44"/>
        <v>0</v>
      </c>
      <c r="H212" s="103">
        <f t="shared" si="44"/>
        <v>0</v>
      </c>
      <c r="I212" s="103">
        <f t="shared" si="44"/>
        <v>0</v>
      </c>
      <c r="J212" s="103">
        <f t="shared" si="44"/>
        <v>0</v>
      </c>
      <c r="K212" s="103">
        <f t="shared" si="44"/>
        <v>0</v>
      </c>
      <c r="L212" s="103">
        <f t="shared" si="44"/>
        <v>0</v>
      </c>
      <c r="M212" s="103">
        <f t="shared" si="44"/>
        <v>0</v>
      </c>
      <c r="N212" s="103">
        <f t="shared" si="44"/>
        <v>0</v>
      </c>
      <c r="O212" s="103">
        <f t="shared" si="44"/>
        <v>0</v>
      </c>
      <c r="P212" s="103">
        <f t="shared" si="44"/>
        <v>0</v>
      </c>
      <c r="Q212" s="103">
        <f t="shared" si="44"/>
        <v>0</v>
      </c>
      <c r="R212" s="103">
        <f t="shared" si="44"/>
        <v>0</v>
      </c>
      <c r="S212" s="103">
        <f t="shared" si="44"/>
        <v>0</v>
      </c>
      <c r="T212" s="103">
        <f t="shared" si="44"/>
        <v>0</v>
      </c>
      <c r="U212" s="103">
        <f t="shared" si="44"/>
        <v>0</v>
      </c>
      <c r="V212" s="103">
        <f t="shared" si="44"/>
        <v>0</v>
      </c>
      <c r="W212" s="103">
        <f t="shared" si="44"/>
        <v>0</v>
      </c>
      <c r="X212" s="103">
        <f t="shared" si="44"/>
        <v>0</v>
      </c>
      <c r="Y212" s="103">
        <f t="shared" si="44"/>
        <v>0</v>
      </c>
      <c r="Z212" s="103">
        <f t="shared" si="44"/>
        <v>0</v>
      </c>
      <c r="AA212" s="103">
        <f t="shared" si="44"/>
        <v>0</v>
      </c>
      <c r="AB212" s="103">
        <f t="shared" si="44"/>
        <v>0</v>
      </c>
      <c r="AC212" s="103">
        <f t="shared" si="44"/>
        <v>0</v>
      </c>
      <c r="AD212" s="103">
        <f t="shared" si="44"/>
        <v>0</v>
      </c>
      <c r="AE212" s="103">
        <f t="shared" si="44"/>
        <v>0</v>
      </c>
      <c r="AF212" s="168">
        <f t="shared" si="44"/>
        <v>0</v>
      </c>
      <c r="AG212" s="169">
        <f t="shared" si="44"/>
        <v>412.72299999999984</v>
      </c>
      <c r="AH212" s="54"/>
      <c r="AI212" s="55"/>
      <c r="AK212" s="56"/>
    </row>
    <row r="213" spans="1:37" ht="15.75" thickBot="1" x14ac:dyDescent="0.3">
      <c r="A213" s="28" t="s">
        <v>35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149"/>
      <c r="AH213" s="54"/>
      <c r="AI213" s="55"/>
      <c r="AK213" s="56"/>
    </row>
    <row r="214" spans="1:37" x14ac:dyDescent="0.25">
      <c r="A214" s="170" t="s">
        <v>83</v>
      </c>
      <c r="B214" s="101">
        <f t="shared" ref="B214:B219" si="45">AF214</f>
        <v>0</v>
      </c>
      <c r="C214" s="101">
        <v>0.3</v>
      </c>
      <c r="D214" s="101">
        <f t="shared" ref="D214:P219" si="46">C214</f>
        <v>0.3</v>
      </c>
      <c r="E214" s="101">
        <f t="shared" si="46"/>
        <v>0.3</v>
      </c>
      <c r="F214" s="101">
        <f t="shared" si="46"/>
        <v>0.3</v>
      </c>
      <c r="G214" s="101">
        <f t="shared" si="46"/>
        <v>0.3</v>
      </c>
      <c r="H214" s="101">
        <f t="shared" si="46"/>
        <v>0.3</v>
      </c>
      <c r="I214" s="101">
        <f t="shared" si="46"/>
        <v>0.3</v>
      </c>
      <c r="J214" s="101">
        <f t="shared" si="46"/>
        <v>0.3</v>
      </c>
      <c r="K214" s="101">
        <f t="shared" si="46"/>
        <v>0.3</v>
      </c>
      <c r="L214" s="101">
        <f t="shared" si="46"/>
        <v>0.3</v>
      </c>
      <c r="M214" s="101">
        <f t="shared" si="46"/>
        <v>0.3</v>
      </c>
      <c r="N214" s="101">
        <f t="shared" si="46"/>
        <v>0.3</v>
      </c>
      <c r="O214" s="101">
        <f t="shared" si="46"/>
        <v>0.3</v>
      </c>
      <c r="P214" s="101">
        <f t="shared" si="46"/>
        <v>0.3</v>
      </c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55">
        <v>2.4</v>
      </c>
      <c r="AH214" s="54"/>
      <c r="AI214" s="55"/>
      <c r="AK214" s="56"/>
    </row>
    <row r="215" spans="1:37" x14ac:dyDescent="0.25">
      <c r="A215" s="163" t="s">
        <v>84</v>
      </c>
      <c r="B215" s="97">
        <f t="shared" si="45"/>
        <v>0</v>
      </c>
      <c r="C215" s="97">
        <v>0.4</v>
      </c>
      <c r="D215" s="97">
        <f t="shared" si="46"/>
        <v>0.4</v>
      </c>
      <c r="E215" s="97">
        <f t="shared" si="46"/>
        <v>0.4</v>
      </c>
      <c r="F215" s="97">
        <f t="shared" si="46"/>
        <v>0.4</v>
      </c>
      <c r="G215" s="97">
        <f t="shared" si="46"/>
        <v>0.4</v>
      </c>
      <c r="H215" s="97">
        <f t="shared" si="46"/>
        <v>0.4</v>
      </c>
      <c r="I215" s="97">
        <f t="shared" si="46"/>
        <v>0.4</v>
      </c>
      <c r="J215" s="97">
        <f t="shared" si="46"/>
        <v>0.4</v>
      </c>
      <c r="K215" s="97">
        <f t="shared" si="46"/>
        <v>0.4</v>
      </c>
      <c r="L215" s="97">
        <f t="shared" si="46"/>
        <v>0.4</v>
      </c>
      <c r="M215" s="97">
        <f t="shared" si="46"/>
        <v>0.4</v>
      </c>
      <c r="N215" s="97">
        <f t="shared" si="46"/>
        <v>0.4</v>
      </c>
      <c r="O215" s="97">
        <f t="shared" si="46"/>
        <v>0.4</v>
      </c>
      <c r="P215" s="97">
        <f t="shared" si="46"/>
        <v>0.4</v>
      </c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56">
        <v>2</v>
      </c>
      <c r="AH215" s="54"/>
      <c r="AI215" s="55"/>
      <c r="AK215" s="56"/>
    </row>
    <row r="216" spans="1:37" x14ac:dyDescent="0.25">
      <c r="A216" s="163" t="s">
        <v>85</v>
      </c>
      <c r="B216" s="97">
        <f t="shared" si="45"/>
        <v>0</v>
      </c>
      <c r="C216" s="97">
        <v>1.5</v>
      </c>
      <c r="D216" s="97">
        <f t="shared" si="46"/>
        <v>1.5</v>
      </c>
      <c r="E216" s="97">
        <f t="shared" si="46"/>
        <v>1.5</v>
      </c>
      <c r="F216" s="97">
        <f t="shared" si="46"/>
        <v>1.5</v>
      </c>
      <c r="G216" s="97">
        <f t="shared" si="46"/>
        <v>1.5</v>
      </c>
      <c r="H216" s="97">
        <f t="shared" si="46"/>
        <v>1.5</v>
      </c>
      <c r="I216" s="97">
        <f t="shared" si="46"/>
        <v>1.5</v>
      </c>
      <c r="J216" s="97">
        <f t="shared" si="46"/>
        <v>1.5</v>
      </c>
      <c r="K216" s="97">
        <f t="shared" si="46"/>
        <v>1.5</v>
      </c>
      <c r="L216" s="97">
        <f t="shared" si="46"/>
        <v>1.5</v>
      </c>
      <c r="M216" s="97">
        <f t="shared" si="46"/>
        <v>1.5</v>
      </c>
      <c r="N216" s="97">
        <f t="shared" si="46"/>
        <v>1.5</v>
      </c>
      <c r="O216" s="97">
        <f t="shared" si="46"/>
        <v>1.5</v>
      </c>
      <c r="P216" s="97">
        <f t="shared" si="46"/>
        <v>1.5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1.5</v>
      </c>
      <c r="AH216" s="54"/>
      <c r="AI216" s="55"/>
      <c r="AK216" s="56"/>
    </row>
    <row r="217" spans="1:37" x14ac:dyDescent="0.25">
      <c r="A217" s="163" t="s">
        <v>86</v>
      </c>
      <c r="B217" s="97">
        <f t="shared" si="45"/>
        <v>0</v>
      </c>
      <c r="C217" s="97">
        <v>0.3</v>
      </c>
      <c r="D217" s="97">
        <f t="shared" si="46"/>
        <v>0.3</v>
      </c>
      <c r="E217" s="97">
        <f t="shared" si="46"/>
        <v>0.3</v>
      </c>
      <c r="F217" s="97">
        <f t="shared" si="46"/>
        <v>0.3</v>
      </c>
      <c r="G217" s="97">
        <f t="shared" si="46"/>
        <v>0.3</v>
      </c>
      <c r="H217" s="97">
        <f t="shared" si="46"/>
        <v>0.3</v>
      </c>
      <c r="I217" s="97">
        <f t="shared" si="46"/>
        <v>0.3</v>
      </c>
      <c r="J217" s="97">
        <f t="shared" si="46"/>
        <v>0.3</v>
      </c>
      <c r="K217" s="97">
        <f t="shared" si="46"/>
        <v>0.3</v>
      </c>
      <c r="L217" s="97">
        <f t="shared" si="46"/>
        <v>0.3</v>
      </c>
      <c r="M217" s="97">
        <f t="shared" si="46"/>
        <v>0.3</v>
      </c>
      <c r="N217" s="97">
        <f t="shared" si="46"/>
        <v>0.3</v>
      </c>
      <c r="O217" s="97">
        <f t="shared" si="46"/>
        <v>0.3</v>
      </c>
      <c r="P217" s="97">
        <f t="shared" si="46"/>
        <v>0.3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</v>
      </c>
      <c r="AH217" s="54"/>
      <c r="AI217" s="55"/>
      <c r="AK217" s="56"/>
    </row>
    <row r="218" spans="1:37" x14ac:dyDescent="0.25">
      <c r="A218" s="163" t="s">
        <v>87</v>
      </c>
      <c r="B218" s="97">
        <f t="shared" si="45"/>
        <v>0</v>
      </c>
      <c r="C218" s="97">
        <v>0.4</v>
      </c>
      <c r="D218" s="97">
        <f t="shared" si="46"/>
        <v>0.4</v>
      </c>
      <c r="E218" s="97">
        <f t="shared" si="46"/>
        <v>0.4</v>
      </c>
      <c r="F218" s="97">
        <f t="shared" si="46"/>
        <v>0.4</v>
      </c>
      <c r="G218" s="97">
        <f t="shared" si="46"/>
        <v>0.4</v>
      </c>
      <c r="H218" s="97">
        <f t="shared" si="46"/>
        <v>0.4</v>
      </c>
      <c r="I218" s="97">
        <f t="shared" si="46"/>
        <v>0.4</v>
      </c>
      <c r="J218" s="97">
        <f t="shared" si="46"/>
        <v>0.4</v>
      </c>
      <c r="K218" s="97">
        <f t="shared" si="46"/>
        <v>0.4</v>
      </c>
      <c r="L218" s="97">
        <f t="shared" si="46"/>
        <v>0.4</v>
      </c>
      <c r="M218" s="97">
        <f t="shared" si="46"/>
        <v>0.4</v>
      </c>
      <c r="N218" s="97">
        <f t="shared" si="46"/>
        <v>0.4</v>
      </c>
      <c r="O218" s="97">
        <f t="shared" si="46"/>
        <v>0.4</v>
      </c>
      <c r="P218" s="97">
        <f t="shared" si="46"/>
        <v>0.4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ht="15.75" thickBot="1" x14ac:dyDescent="0.3">
      <c r="A219" s="164" t="s">
        <v>88</v>
      </c>
      <c r="B219" s="102">
        <f t="shared" si="45"/>
        <v>0</v>
      </c>
      <c r="C219" s="102">
        <v>0.64</v>
      </c>
      <c r="D219" s="102">
        <f t="shared" si="46"/>
        <v>0.64</v>
      </c>
      <c r="E219" s="102">
        <f t="shared" si="46"/>
        <v>0.64</v>
      </c>
      <c r="F219" s="102">
        <f t="shared" si="46"/>
        <v>0.64</v>
      </c>
      <c r="G219" s="102">
        <f t="shared" si="46"/>
        <v>0.64</v>
      </c>
      <c r="H219" s="102">
        <f t="shared" si="46"/>
        <v>0.64</v>
      </c>
      <c r="I219" s="102">
        <f t="shared" si="46"/>
        <v>0.64</v>
      </c>
      <c r="J219" s="102">
        <f t="shared" si="46"/>
        <v>0.64</v>
      </c>
      <c r="K219" s="102">
        <f t="shared" si="46"/>
        <v>0.64</v>
      </c>
      <c r="L219" s="102">
        <f t="shared" si="46"/>
        <v>0.64</v>
      </c>
      <c r="M219" s="102">
        <f t="shared" si="46"/>
        <v>0.64</v>
      </c>
      <c r="N219" s="102">
        <f t="shared" si="46"/>
        <v>0.64</v>
      </c>
      <c r="O219" s="102">
        <f t="shared" si="46"/>
        <v>0.64</v>
      </c>
      <c r="P219" s="102">
        <f t="shared" si="46"/>
        <v>0.64</v>
      </c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57">
        <v>0.66</v>
      </c>
      <c r="AH219" s="54"/>
      <c r="AI219" s="55"/>
    </row>
    <row r="220" spans="1:37" ht="15.75" thickBot="1" x14ac:dyDescent="0.3">
      <c r="A220" s="173" t="s">
        <v>35</v>
      </c>
      <c r="B220" s="103">
        <f>SUM(B214:B219)</f>
        <v>0</v>
      </c>
      <c r="C220" s="103">
        <f>SUM(C214:C219)</f>
        <v>3.54</v>
      </c>
      <c r="D220" s="103">
        <f t="shared" ref="D220:L220" si="47">SUM(D214:D219)</f>
        <v>3.54</v>
      </c>
      <c r="E220" s="103">
        <f t="shared" si="47"/>
        <v>3.54</v>
      </c>
      <c r="F220" s="103">
        <f t="shared" si="47"/>
        <v>3.54</v>
      </c>
      <c r="G220" s="103">
        <f t="shared" si="47"/>
        <v>3.54</v>
      </c>
      <c r="H220" s="103">
        <f t="shared" si="47"/>
        <v>3.54</v>
      </c>
      <c r="I220" s="103">
        <f t="shared" si="47"/>
        <v>3.54</v>
      </c>
      <c r="J220" s="103">
        <f t="shared" si="47"/>
        <v>3.54</v>
      </c>
      <c r="K220" s="103">
        <f t="shared" si="47"/>
        <v>3.54</v>
      </c>
      <c r="L220" s="103">
        <f t="shared" si="47"/>
        <v>3.54</v>
      </c>
      <c r="M220" s="103">
        <f>SUM(M214:M219)</f>
        <v>3.54</v>
      </c>
      <c r="N220" s="103">
        <f t="shared" ref="N220:S220" si="48">SUM(N214:N219)</f>
        <v>3.54</v>
      </c>
      <c r="O220" s="103">
        <f t="shared" si="48"/>
        <v>3.54</v>
      </c>
      <c r="P220" s="103">
        <f t="shared" si="48"/>
        <v>3.54</v>
      </c>
      <c r="Q220" s="103">
        <f t="shared" si="48"/>
        <v>0</v>
      </c>
      <c r="R220" s="103">
        <f t="shared" si="48"/>
        <v>0</v>
      </c>
      <c r="S220" s="103">
        <f t="shared" si="48"/>
        <v>0</v>
      </c>
      <c r="T220" s="103">
        <f>SUM(T214:T219)</f>
        <v>0</v>
      </c>
      <c r="U220" s="103">
        <f t="shared" ref="U220:AG220" si="49">SUM(U214:U219)</f>
        <v>0</v>
      </c>
      <c r="V220" s="103">
        <f t="shared" si="49"/>
        <v>0</v>
      </c>
      <c r="W220" s="103">
        <f t="shared" si="49"/>
        <v>0</v>
      </c>
      <c r="X220" s="103">
        <f t="shared" si="49"/>
        <v>0</v>
      </c>
      <c r="Y220" s="103">
        <f t="shared" si="49"/>
        <v>0</v>
      </c>
      <c r="Z220" s="103">
        <f t="shared" si="49"/>
        <v>0</v>
      </c>
      <c r="AA220" s="103">
        <f t="shared" si="49"/>
        <v>0</v>
      </c>
      <c r="AB220" s="103">
        <f t="shared" si="49"/>
        <v>0</v>
      </c>
      <c r="AC220" s="103">
        <f t="shared" si="49"/>
        <v>0</v>
      </c>
      <c r="AD220" s="103">
        <f t="shared" si="49"/>
        <v>0</v>
      </c>
      <c r="AE220" s="103">
        <f t="shared" si="49"/>
        <v>0</v>
      </c>
      <c r="AF220" s="103">
        <f t="shared" si="49"/>
        <v>0</v>
      </c>
      <c r="AG220" s="158">
        <f t="shared" si="49"/>
        <v>8.56</v>
      </c>
      <c r="AH220" s="54"/>
      <c r="AI220" s="55"/>
    </row>
    <row r="221" spans="1:37" ht="15.75" thickBot="1" x14ac:dyDescent="0.3"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  <c r="AC221" s="179"/>
      <c r="AD221" s="179"/>
      <c r="AE221" s="179"/>
      <c r="AF221" s="179"/>
      <c r="AG221" s="84"/>
      <c r="AH221" s="179"/>
    </row>
    <row r="222" spans="1:37" x14ac:dyDescent="0.25">
      <c r="A222" s="79" t="s">
        <v>89</v>
      </c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5"/>
      <c r="AG222" s="179"/>
      <c r="AH222" s="54"/>
      <c r="AI222" s="55"/>
    </row>
    <row r="223" spans="1:37" x14ac:dyDescent="0.25">
      <c r="A223" s="106" t="s">
        <v>90</v>
      </c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8"/>
      <c r="AG223" s="109"/>
      <c r="AH223" s="54"/>
      <c r="AI223" s="55"/>
    </row>
    <row r="224" spans="1:37" x14ac:dyDescent="0.25">
      <c r="A224" s="81" t="s">
        <v>91</v>
      </c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1"/>
      <c r="AG224" s="109"/>
      <c r="AH224" s="54"/>
      <c r="AI224" s="55"/>
    </row>
    <row r="225" spans="1:50" x14ac:dyDescent="0.25">
      <c r="A225" s="81" t="s">
        <v>92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ht="15.75" thickBot="1" x14ac:dyDescent="0.3">
      <c r="A226" s="112" t="s">
        <v>93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4"/>
      <c r="AG226" s="109"/>
      <c r="AH226" s="54"/>
      <c r="AI226" s="55"/>
    </row>
    <row r="227" spans="1:50" x14ac:dyDescent="0.25"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  <c r="AC227" s="179"/>
      <c r="AD227" s="179"/>
      <c r="AE227" s="179"/>
      <c r="AF227" s="179"/>
      <c r="AG227" s="179"/>
      <c r="AH227" s="179"/>
    </row>
    <row r="228" spans="1:50" x14ac:dyDescent="0.25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  <c r="AC228" s="179"/>
      <c r="AD228" s="179"/>
      <c r="AE228" s="179"/>
      <c r="AF228" s="179"/>
      <c r="AG228" s="179"/>
      <c r="AH228" s="179"/>
    </row>
    <row r="229" spans="1:50" x14ac:dyDescent="0.25">
      <c r="A229" s="115" t="s">
        <v>94</v>
      </c>
      <c r="B229" s="116">
        <f>MAX(G79:N79)</f>
        <v>1727.94</v>
      </c>
      <c r="C229" s="117">
        <f>INDEX(G9:N9,1,MATCH(MAX(G79:N79),G79:N79,0))</f>
        <v>0.33333333333333331</v>
      </c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  <c r="AC229" s="179"/>
      <c r="AD229" s="179"/>
      <c r="AE229" s="179"/>
      <c r="AF229" s="179"/>
      <c r="AG229" s="179"/>
      <c r="AH229" s="179"/>
    </row>
    <row r="230" spans="1:50" x14ac:dyDescent="0.25"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18" t="str">
        <f ca="1">MID(CELL("filename",C7),FIND("]",CELL("filename",C7))+1,600)</f>
        <v>19</v>
      </c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79"/>
      <c r="AH230" s="179"/>
    </row>
    <row r="231" spans="1:50" x14ac:dyDescent="0.25">
      <c r="A231" s="208" t="s">
        <v>95</v>
      </c>
      <c r="B231" s="208"/>
      <c r="C231" s="179"/>
      <c r="D231" s="118" t="str">
        <f ca="1">"Pie Chart of Daily Peak Demand(Inclusive of Export) of Nepal ("&amp;A4&amp;" "&amp;B4&amp;")"</f>
        <v>Pie Chart of Daily Peak Demand(Inclusive of Export) of Nepal (Nepali Date: 2079/02/19)</v>
      </c>
      <c r="E231" s="179"/>
      <c r="F231" s="179"/>
      <c r="G231" s="118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18" t="str">
        <f ca="1">"Daily Load Curve(Excluding of Export) of Nepal ("&amp;A4&amp;" "&amp;B4&amp;")"</f>
        <v>Daily Load Curve(Excluding of Export) of Nepal (Nepali Date: 2079/02/19)</v>
      </c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  <c r="AE231" s="179"/>
      <c r="AF231" s="179"/>
      <c r="AG231" s="179"/>
      <c r="AH231" s="179"/>
    </row>
    <row r="232" spans="1:50" ht="12.75" customHeight="1" thickBot="1" x14ac:dyDescent="0.3">
      <c r="A232" s="119" t="s">
        <v>7</v>
      </c>
      <c r="B232" s="120"/>
      <c r="C232" s="179"/>
      <c r="D232" s="121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  <c r="AC232" s="179"/>
      <c r="AD232" s="179"/>
      <c r="AE232" s="179"/>
      <c r="AF232" s="179"/>
      <c r="AG232" s="179"/>
      <c r="AH232" s="179"/>
    </row>
    <row r="233" spans="1:50" ht="15.75" thickTop="1" x14ac:dyDescent="0.25">
      <c r="A233" s="119" t="s">
        <v>96</v>
      </c>
      <c r="B233" s="120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22" t="s">
        <v>97</v>
      </c>
      <c r="T233" s="123">
        <v>0</v>
      </c>
      <c r="U233" s="124">
        <v>4.1666666666666664E-2</v>
      </c>
      <c r="V233" s="125">
        <v>8.3333333333333301E-2</v>
      </c>
      <c r="W233" s="125">
        <v>0.125</v>
      </c>
      <c r="X233" s="125">
        <v>0.16666666666666699</v>
      </c>
      <c r="Y233" s="125">
        <v>0.20833333333333301</v>
      </c>
      <c r="Z233" s="125">
        <v>0.22916666666666666</v>
      </c>
      <c r="AA233" s="125">
        <v>0.25</v>
      </c>
      <c r="AB233" s="125">
        <v>0.27083333333333331</v>
      </c>
      <c r="AC233" s="125">
        <v>0.29166666666666669</v>
      </c>
      <c r="AD233" s="125">
        <v>0.3125</v>
      </c>
      <c r="AE233" s="126">
        <v>0.33333333333333331</v>
      </c>
      <c r="AF233" s="126">
        <v>0.375</v>
      </c>
      <c r="AG233" s="126">
        <v>0.41666666666666702</v>
      </c>
      <c r="AH233" s="126">
        <v>0.45833333333333298</v>
      </c>
      <c r="AI233" s="126">
        <v>0.5</v>
      </c>
      <c r="AJ233" s="126">
        <v>0.54166666666666696</v>
      </c>
      <c r="AK233" s="126">
        <v>0.58333333333333304</v>
      </c>
      <c r="AL233" s="126">
        <v>0.625</v>
      </c>
      <c r="AM233" s="126">
        <v>0.66666666666666696</v>
      </c>
      <c r="AN233" s="126">
        <v>0.70833333333333304</v>
      </c>
      <c r="AO233" s="126">
        <v>0.72916666666666663</v>
      </c>
      <c r="AP233" s="126">
        <v>0.75</v>
      </c>
      <c r="AQ233" s="126">
        <v>0.77083333333333337</v>
      </c>
      <c r="AR233" s="126">
        <v>0.79166666666666663</v>
      </c>
      <c r="AS233" s="126">
        <v>0.8125</v>
      </c>
      <c r="AT233" s="125">
        <v>0.83333333333333337</v>
      </c>
      <c r="AU233" s="125">
        <v>0.85416666666666663</v>
      </c>
      <c r="AV233" s="125">
        <v>0.875</v>
      </c>
      <c r="AW233" s="125">
        <v>0.91666666666666696</v>
      </c>
      <c r="AX233" s="125">
        <v>0.95833333333333304</v>
      </c>
    </row>
    <row r="234" spans="1:50" x14ac:dyDescent="0.25">
      <c r="A234" s="119" t="s">
        <v>98</v>
      </c>
      <c r="B234" s="120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 t="s">
        <v>99</v>
      </c>
      <c r="T234" s="127">
        <f t="shared" ref="T234:AX234" si="50">B79</f>
        <v>1735.7400000000002</v>
      </c>
      <c r="U234" s="127">
        <f t="shared" si="50"/>
        <v>1730.5399999999997</v>
      </c>
      <c r="V234" s="127">
        <f t="shared" si="50"/>
        <v>1722.3400000000001</v>
      </c>
      <c r="W234" s="127">
        <f t="shared" si="50"/>
        <v>1694.04</v>
      </c>
      <c r="X234" s="127">
        <f t="shared" si="50"/>
        <v>1673.1399999999999</v>
      </c>
      <c r="Y234" s="127">
        <f t="shared" si="50"/>
        <v>1671.84</v>
      </c>
      <c r="Z234" s="127">
        <f t="shared" si="50"/>
        <v>1664.64</v>
      </c>
      <c r="AA234" s="127">
        <f t="shared" si="50"/>
        <v>1665.5400000000002</v>
      </c>
      <c r="AB234" s="127">
        <f t="shared" si="50"/>
        <v>1668.8400000000001</v>
      </c>
      <c r="AC234" s="127">
        <f t="shared" si="50"/>
        <v>1675.64</v>
      </c>
      <c r="AD234" s="127">
        <f t="shared" si="50"/>
        <v>1723.5400000000002</v>
      </c>
      <c r="AE234" s="127">
        <f t="shared" si="50"/>
        <v>1727.94</v>
      </c>
      <c r="AF234" s="127">
        <f t="shared" si="50"/>
        <v>1722.44</v>
      </c>
      <c r="AG234" s="127">
        <f t="shared" si="50"/>
        <v>1649.2399999999998</v>
      </c>
      <c r="AH234" s="127">
        <f t="shared" si="50"/>
        <v>1724.14</v>
      </c>
      <c r="AI234" s="127">
        <f t="shared" si="50"/>
        <v>1721.54</v>
      </c>
      <c r="AJ234" s="127">
        <f t="shared" si="50"/>
        <v>1726.54</v>
      </c>
      <c r="AK234" s="127">
        <f t="shared" si="50"/>
        <v>2021.44</v>
      </c>
      <c r="AL234" s="127">
        <f t="shared" si="50"/>
        <v>2016.44</v>
      </c>
      <c r="AM234" s="127">
        <f t="shared" si="50"/>
        <v>1989.14</v>
      </c>
      <c r="AN234" s="127">
        <f t="shared" si="50"/>
        <v>1685.84</v>
      </c>
      <c r="AO234" s="127">
        <f t="shared" si="50"/>
        <v>1685.84</v>
      </c>
      <c r="AP234" s="127">
        <f t="shared" si="50"/>
        <v>1753.54</v>
      </c>
      <c r="AQ234" s="127">
        <f t="shared" si="50"/>
        <v>1753.54</v>
      </c>
      <c r="AR234" s="127">
        <f t="shared" si="50"/>
        <v>1699.94</v>
      </c>
      <c r="AS234" s="127">
        <f t="shared" si="50"/>
        <v>1737.94</v>
      </c>
      <c r="AT234" s="127">
        <f t="shared" si="50"/>
        <v>1818.04</v>
      </c>
      <c r="AU234" s="127">
        <f t="shared" si="50"/>
        <v>1805.54</v>
      </c>
      <c r="AV234" s="127">
        <f t="shared" si="50"/>
        <v>1804.4399999999998</v>
      </c>
      <c r="AW234" s="127">
        <f t="shared" si="50"/>
        <v>1719.9399999999998</v>
      </c>
      <c r="AX234" s="127">
        <f t="shared" si="50"/>
        <v>1597.14</v>
      </c>
    </row>
    <row r="235" spans="1:50" x14ac:dyDescent="0.25">
      <c r="A235" s="119" t="s">
        <v>100</v>
      </c>
      <c r="B235" s="120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  <c r="AC235" s="179"/>
      <c r="AD235" s="179"/>
      <c r="AE235" s="179"/>
      <c r="AF235" s="179"/>
      <c r="AG235" s="179"/>
      <c r="AH235" s="179"/>
    </row>
    <row r="236" spans="1:50" x14ac:dyDescent="0.25">
      <c r="A236" s="119" t="s">
        <v>101</v>
      </c>
      <c r="B236" s="120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79"/>
      <c r="AE236" s="179"/>
      <c r="AF236" s="179"/>
      <c r="AG236" s="179"/>
      <c r="AH236" s="179"/>
    </row>
    <row r="237" spans="1:50" x14ac:dyDescent="0.25">
      <c r="A237" s="119" t="s">
        <v>102</v>
      </c>
      <c r="B237" s="120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  <c r="AE237" s="179"/>
      <c r="AF237" s="179"/>
      <c r="AG237" s="179"/>
      <c r="AH237" s="179"/>
    </row>
    <row r="238" spans="1:50" x14ac:dyDescent="0.25">
      <c r="A238" s="119" t="s">
        <v>103</v>
      </c>
      <c r="B238" s="128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  <c r="AE238" s="179"/>
      <c r="AF238" s="179"/>
      <c r="AG238" s="179"/>
      <c r="AH238" s="179"/>
    </row>
    <row r="239" spans="1:50" x14ac:dyDescent="0.25">
      <c r="A239" s="119" t="s">
        <v>104</v>
      </c>
      <c r="B239" s="120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</row>
    <row r="240" spans="1:50" x14ac:dyDescent="0.25"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  <c r="AD240" s="179"/>
      <c r="AE240" s="179"/>
      <c r="AF240" s="179"/>
      <c r="AG240" s="179"/>
      <c r="AH240" s="179"/>
    </row>
    <row r="241" spans="1:36" x14ac:dyDescent="0.25"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  <c r="AC241" s="179"/>
      <c r="AD241" s="179"/>
      <c r="AE241" s="179"/>
      <c r="AF241" s="179"/>
      <c r="AG241" s="179"/>
      <c r="AH241" s="179"/>
    </row>
    <row r="242" spans="1:36" x14ac:dyDescent="0.25"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  <c r="AC242" s="179"/>
      <c r="AD242" s="179"/>
      <c r="AE242" s="179"/>
      <c r="AF242" s="179"/>
      <c r="AG242" s="179"/>
      <c r="AH242" s="179"/>
    </row>
    <row r="243" spans="1:36" x14ac:dyDescent="0.25"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  <c r="AC243" s="179"/>
      <c r="AD243" s="179"/>
      <c r="AE243" s="179"/>
      <c r="AF243" s="179"/>
      <c r="AG243" s="179"/>
      <c r="AH243" s="179"/>
    </row>
    <row r="244" spans="1:36" x14ac:dyDescent="0.25"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  <c r="AC244" s="179"/>
      <c r="AD244" s="179"/>
      <c r="AE244" s="179"/>
      <c r="AF244" s="179"/>
      <c r="AG244" s="179"/>
      <c r="AH244" s="179"/>
    </row>
    <row r="245" spans="1:36" x14ac:dyDescent="0.25"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  <c r="AG245" s="179"/>
      <c r="AH245" s="179"/>
    </row>
    <row r="246" spans="1:36" x14ac:dyDescent="0.25"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  <c r="AC246" s="179"/>
      <c r="AD246" s="179"/>
      <c r="AE246" s="179"/>
      <c r="AF246" s="179"/>
      <c r="AG246" s="179"/>
      <c r="AH246" s="179"/>
      <c r="AJ246"/>
    </row>
    <row r="247" spans="1:36" x14ac:dyDescent="0.25"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  <c r="AC247" s="179"/>
      <c r="AD247" s="179"/>
      <c r="AE247" s="179"/>
      <c r="AF247" s="179"/>
      <c r="AG247" s="179"/>
      <c r="AH247" s="179"/>
      <c r="AJ247"/>
    </row>
    <row r="248" spans="1:36" x14ac:dyDescent="0.25"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  <c r="AC248" s="179"/>
      <c r="AD248" s="179"/>
      <c r="AE248" s="179"/>
      <c r="AF248" s="179"/>
      <c r="AG248" s="179"/>
      <c r="AH248" s="179"/>
      <c r="AJ248"/>
    </row>
    <row r="249" spans="1:36" x14ac:dyDescent="0.25"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  <c r="AC249" s="179"/>
      <c r="AD249" s="179"/>
      <c r="AE249" s="179"/>
      <c r="AF249" s="179"/>
      <c r="AG249" s="179"/>
      <c r="AH249" s="179"/>
      <c r="AJ249"/>
    </row>
    <row r="250" spans="1:36" x14ac:dyDescent="0.25"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  <c r="AC250" s="179"/>
      <c r="AD250" s="179"/>
      <c r="AE250" s="179"/>
      <c r="AF250" s="179"/>
      <c r="AG250" s="179"/>
      <c r="AH250" s="179"/>
      <c r="AJ250"/>
    </row>
    <row r="251" spans="1:36" x14ac:dyDescent="0.25"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  <c r="AE251" s="179"/>
      <c r="AF251" s="179"/>
      <c r="AG251" s="179"/>
      <c r="AH251" s="179"/>
      <c r="AJ251"/>
    </row>
    <row r="252" spans="1:36" x14ac:dyDescent="0.25"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  <c r="AC252" s="179"/>
      <c r="AD252" s="179"/>
      <c r="AE252" s="179"/>
      <c r="AF252" s="179"/>
      <c r="AG252" s="179"/>
      <c r="AH252" s="179"/>
      <c r="AJ252"/>
    </row>
    <row r="253" spans="1:36" x14ac:dyDescent="0.25"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J253"/>
    </row>
    <row r="254" spans="1:36" x14ac:dyDescent="0.25"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  <c r="AE254" s="179"/>
      <c r="AF254" s="179"/>
      <c r="AG254" s="179"/>
      <c r="AH254" s="179"/>
      <c r="AJ254"/>
    </row>
    <row r="255" spans="1:36" x14ac:dyDescent="0.25">
      <c r="A255" s="129" t="s">
        <v>89</v>
      </c>
      <c r="B255" s="130">
        <f t="shared" ref="B255:AE255" si="51">C219</f>
        <v>0.64</v>
      </c>
      <c r="C255" s="130">
        <f t="shared" si="51"/>
        <v>0.64</v>
      </c>
      <c r="D255" s="130">
        <f t="shared" si="51"/>
        <v>0.64</v>
      </c>
      <c r="E255" s="130">
        <f t="shared" si="51"/>
        <v>0.64</v>
      </c>
      <c r="F255" s="130">
        <f t="shared" si="51"/>
        <v>0.64</v>
      </c>
      <c r="G255" s="130">
        <f t="shared" si="51"/>
        <v>0.64</v>
      </c>
      <c r="H255" s="130">
        <f t="shared" si="51"/>
        <v>0.64</v>
      </c>
      <c r="I255" s="130">
        <f t="shared" si="51"/>
        <v>0.64</v>
      </c>
      <c r="J255" s="130">
        <f t="shared" si="51"/>
        <v>0.64</v>
      </c>
      <c r="K255" s="130">
        <f t="shared" si="51"/>
        <v>0.64</v>
      </c>
      <c r="L255" s="130">
        <f t="shared" si="51"/>
        <v>0.64</v>
      </c>
      <c r="M255" s="130">
        <f t="shared" si="51"/>
        <v>0.64</v>
      </c>
      <c r="N255" s="130">
        <f t="shared" si="51"/>
        <v>0.64</v>
      </c>
      <c r="O255" s="130">
        <f t="shared" si="51"/>
        <v>0.64</v>
      </c>
      <c r="P255" s="130">
        <f t="shared" si="51"/>
        <v>0</v>
      </c>
      <c r="Q255" s="130">
        <f t="shared" si="51"/>
        <v>0</v>
      </c>
      <c r="R255" s="130">
        <f t="shared" si="51"/>
        <v>0</v>
      </c>
      <c r="S255" s="130">
        <f t="shared" si="51"/>
        <v>0</v>
      </c>
      <c r="T255" s="130">
        <f t="shared" si="51"/>
        <v>0</v>
      </c>
      <c r="U255" s="130">
        <f t="shared" si="51"/>
        <v>0</v>
      </c>
      <c r="V255" s="130">
        <f t="shared" si="51"/>
        <v>0</v>
      </c>
      <c r="W255" s="130">
        <f t="shared" si="51"/>
        <v>0</v>
      </c>
      <c r="X255" s="130">
        <f t="shared" si="51"/>
        <v>0</v>
      </c>
      <c r="Y255" s="130">
        <f t="shared" si="51"/>
        <v>0</v>
      </c>
      <c r="Z255" s="130">
        <f t="shared" si="51"/>
        <v>0</v>
      </c>
      <c r="AA255" s="130">
        <f t="shared" si="51"/>
        <v>0</v>
      </c>
      <c r="AB255" s="130">
        <f t="shared" si="51"/>
        <v>0</v>
      </c>
      <c r="AC255" s="130">
        <f t="shared" si="51"/>
        <v>0</v>
      </c>
      <c r="AD255" s="130">
        <f t="shared" si="51"/>
        <v>0</v>
      </c>
      <c r="AE255" s="130">
        <f t="shared" si="51"/>
        <v>0</v>
      </c>
      <c r="AF255" s="130">
        <f>B219</f>
        <v>0</v>
      </c>
      <c r="AG255" s="179"/>
      <c r="AH255" s="179"/>
      <c r="AJ255"/>
    </row>
    <row r="256" spans="1:36" x14ac:dyDescent="0.25">
      <c r="A256" s="88" t="str">
        <f>A223</f>
        <v>KGA</v>
      </c>
      <c r="B256" s="88" t="str">
        <f>IF(B223&lt;100,"",B223-520)</f>
        <v/>
      </c>
      <c r="C256" s="88" t="str">
        <f t="shared" ref="C256:AF256" si="52">IF(C223&lt;100,"",C223-520)</f>
        <v/>
      </c>
      <c r="D256" s="88" t="str">
        <f t="shared" si="52"/>
        <v/>
      </c>
      <c r="E256" s="88" t="str">
        <f t="shared" si="52"/>
        <v/>
      </c>
      <c r="F256" s="88" t="str">
        <f t="shared" si="52"/>
        <v/>
      </c>
      <c r="G256" s="88" t="str">
        <f t="shared" si="52"/>
        <v/>
      </c>
      <c r="H256" s="88" t="str">
        <f t="shared" si="52"/>
        <v/>
      </c>
      <c r="I256" s="88" t="str">
        <f t="shared" si="52"/>
        <v/>
      </c>
      <c r="J256" s="88" t="str">
        <f t="shared" si="52"/>
        <v/>
      </c>
      <c r="K256" s="88" t="str">
        <f t="shared" si="52"/>
        <v/>
      </c>
      <c r="L256" s="88" t="str">
        <f t="shared" si="52"/>
        <v/>
      </c>
      <c r="M256" s="88" t="str">
        <f t="shared" si="52"/>
        <v/>
      </c>
      <c r="N256" s="88" t="str">
        <f t="shared" si="52"/>
        <v/>
      </c>
      <c r="O256" s="88" t="str">
        <f t="shared" si="52"/>
        <v/>
      </c>
      <c r="P256" s="88" t="str">
        <f t="shared" si="52"/>
        <v/>
      </c>
      <c r="Q256" s="88" t="str">
        <f t="shared" si="52"/>
        <v/>
      </c>
      <c r="R256" s="88" t="str">
        <f t="shared" si="52"/>
        <v/>
      </c>
      <c r="S256" s="88" t="str">
        <f t="shared" si="52"/>
        <v/>
      </c>
      <c r="T256" s="88" t="str">
        <f t="shared" si="52"/>
        <v/>
      </c>
      <c r="U256" s="88" t="str">
        <f t="shared" si="52"/>
        <v/>
      </c>
      <c r="V256" s="88" t="str">
        <f t="shared" si="52"/>
        <v/>
      </c>
      <c r="W256" s="88" t="str">
        <f t="shared" si="52"/>
        <v/>
      </c>
      <c r="X256" s="88" t="str">
        <f t="shared" si="52"/>
        <v/>
      </c>
      <c r="Y256" s="88" t="str">
        <f t="shared" si="52"/>
        <v/>
      </c>
      <c r="Z256" s="88" t="str">
        <f t="shared" si="52"/>
        <v/>
      </c>
      <c r="AA256" s="88" t="str">
        <f t="shared" si="52"/>
        <v/>
      </c>
      <c r="AB256" s="88" t="str">
        <f t="shared" si="52"/>
        <v/>
      </c>
      <c r="AC256" s="88" t="str">
        <f t="shared" si="52"/>
        <v/>
      </c>
      <c r="AD256" s="88" t="str">
        <f t="shared" si="52"/>
        <v/>
      </c>
      <c r="AE256" s="88" t="str">
        <f t="shared" si="52"/>
        <v/>
      </c>
      <c r="AF256" s="88" t="str">
        <f t="shared" si="52"/>
        <v/>
      </c>
      <c r="AG256" s="179"/>
      <c r="AH256" s="179"/>
      <c r="AJ256"/>
    </row>
    <row r="257" spans="1:36" x14ac:dyDescent="0.25">
      <c r="A257" s="88" t="str">
        <f>A224</f>
        <v>MMRS</v>
      </c>
      <c r="B257" s="88" t="str">
        <f t="shared" ref="B257:AF257" si="53">IF(B224&lt;100,"",B224-620)</f>
        <v/>
      </c>
      <c r="C257" s="88" t="str">
        <f t="shared" si="53"/>
        <v/>
      </c>
      <c r="D257" s="88" t="str">
        <f t="shared" si="53"/>
        <v/>
      </c>
      <c r="E257" s="88" t="str">
        <f t="shared" si="53"/>
        <v/>
      </c>
      <c r="F257" s="88" t="str">
        <f t="shared" si="53"/>
        <v/>
      </c>
      <c r="G257" s="88" t="str">
        <f t="shared" si="53"/>
        <v/>
      </c>
      <c r="H257" s="88" t="str">
        <f t="shared" si="53"/>
        <v/>
      </c>
      <c r="I257" s="88" t="str">
        <f t="shared" si="53"/>
        <v/>
      </c>
      <c r="J257" s="88" t="str">
        <f t="shared" si="53"/>
        <v/>
      </c>
      <c r="K257" s="88" t="str">
        <f t="shared" si="53"/>
        <v/>
      </c>
      <c r="L257" s="88" t="str">
        <f t="shared" si="53"/>
        <v/>
      </c>
      <c r="M257" s="88" t="str">
        <f t="shared" si="53"/>
        <v/>
      </c>
      <c r="N257" s="88" t="str">
        <f t="shared" si="53"/>
        <v/>
      </c>
      <c r="O257" s="88" t="str">
        <f t="shared" si="53"/>
        <v/>
      </c>
      <c r="P257" s="88" t="str">
        <f t="shared" si="53"/>
        <v/>
      </c>
      <c r="Q257" s="88" t="str">
        <f t="shared" si="53"/>
        <v/>
      </c>
      <c r="R257" s="88" t="str">
        <f t="shared" si="53"/>
        <v/>
      </c>
      <c r="S257" s="88" t="str">
        <f t="shared" si="53"/>
        <v/>
      </c>
      <c r="T257" s="88" t="str">
        <f t="shared" si="53"/>
        <v/>
      </c>
      <c r="U257" s="88" t="str">
        <f t="shared" si="53"/>
        <v/>
      </c>
      <c r="V257" s="88" t="str">
        <f t="shared" si="53"/>
        <v/>
      </c>
      <c r="W257" s="88" t="str">
        <f t="shared" si="53"/>
        <v/>
      </c>
      <c r="X257" s="88" t="str">
        <f t="shared" si="53"/>
        <v/>
      </c>
      <c r="Y257" s="88" t="str">
        <f t="shared" si="53"/>
        <v/>
      </c>
      <c r="Z257" s="88" t="str">
        <f t="shared" si="53"/>
        <v/>
      </c>
      <c r="AA257" s="88" t="str">
        <f t="shared" si="53"/>
        <v/>
      </c>
      <c r="AB257" s="88" t="str">
        <f t="shared" si="53"/>
        <v/>
      </c>
      <c r="AC257" s="88" t="str">
        <f t="shared" si="53"/>
        <v/>
      </c>
      <c r="AD257" s="88" t="str">
        <f t="shared" si="53"/>
        <v/>
      </c>
      <c r="AE257" s="88" t="str">
        <f t="shared" si="53"/>
        <v/>
      </c>
      <c r="AF257" s="88" t="str">
        <f t="shared" si="53"/>
        <v/>
      </c>
      <c r="AG257" s="179"/>
      <c r="AH257" s="179"/>
      <c r="AJ257"/>
    </row>
    <row r="258" spans="1:36" x14ac:dyDescent="0.25">
      <c r="A258" s="88" t="str">
        <f>A225</f>
        <v>MRS</v>
      </c>
      <c r="B258" s="88" t="str">
        <f t="shared" ref="B258:AF258" si="54">IF(B225&lt;100,"",B225-330)</f>
        <v/>
      </c>
      <c r="C258" s="88" t="str">
        <f t="shared" si="54"/>
        <v/>
      </c>
      <c r="D258" s="88" t="str">
        <f t="shared" si="54"/>
        <v/>
      </c>
      <c r="E258" s="88" t="str">
        <f t="shared" si="54"/>
        <v/>
      </c>
      <c r="F258" s="88" t="str">
        <f t="shared" si="54"/>
        <v/>
      </c>
      <c r="G258" s="88" t="str">
        <f t="shared" si="54"/>
        <v/>
      </c>
      <c r="H258" s="88" t="str">
        <f t="shared" si="54"/>
        <v/>
      </c>
      <c r="I258" s="88" t="str">
        <f t="shared" si="54"/>
        <v/>
      </c>
      <c r="J258" s="88" t="str">
        <f t="shared" si="54"/>
        <v/>
      </c>
      <c r="K258" s="88" t="str">
        <f t="shared" si="54"/>
        <v/>
      </c>
      <c r="L258" s="88" t="str">
        <f t="shared" si="54"/>
        <v/>
      </c>
      <c r="M258" s="88" t="str">
        <f t="shared" si="54"/>
        <v/>
      </c>
      <c r="N258" s="88" t="str">
        <f t="shared" si="54"/>
        <v/>
      </c>
      <c r="O258" s="88" t="str">
        <f t="shared" si="54"/>
        <v/>
      </c>
      <c r="P258" s="88" t="str">
        <f t="shared" si="54"/>
        <v/>
      </c>
      <c r="Q258" s="88" t="str">
        <f t="shared" si="54"/>
        <v/>
      </c>
      <c r="R258" s="88" t="str">
        <f t="shared" si="54"/>
        <v/>
      </c>
      <c r="S258" s="88" t="str">
        <f t="shared" si="54"/>
        <v/>
      </c>
      <c r="T258" s="88" t="str">
        <f t="shared" si="54"/>
        <v/>
      </c>
      <c r="U258" s="88" t="str">
        <f t="shared" si="54"/>
        <v/>
      </c>
      <c r="V258" s="88" t="str">
        <f t="shared" si="54"/>
        <v/>
      </c>
      <c r="W258" s="88" t="str">
        <f t="shared" si="54"/>
        <v/>
      </c>
      <c r="X258" s="88" t="str">
        <f t="shared" si="54"/>
        <v/>
      </c>
      <c r="Y258" s="88" t="str">
        <f t="shared" si="54"/>
        <v/>
      </c>
      <c r="Z258" s="88" t="str">
        <f t="shared" si="54"/>
        <v/>
      </c>
      <c r="AA258" s="88" t="str">
        <f t="shared" si="54"/>
        <v/>
      </c>
      <c r="AB258" s="88" t="str">
        <f t="shared" si="54"/>
        <v/>
      </c>
      <c r="AC258" s="88" t="str">
        <f t="shared" si="54"/>
        <v/>
      </c>
      <c r="AD258" s="88" t="str">
        <f t="shared" si="54"/>
        <v/>
      </c>
      <c r="AE258" s="88" t="str">
        <f t="shared" si="54"/>
        <v/>
      </c>
      <c r="AF258" s="88" t="str">
        <f t="shared" si="54"/>
        <v/>
      </c>
      <c r="AG258" s="179"/>
      <c r="AH258" s="179"/>
      <c r="AJ258"/>
    </row>
    <row r="259" spans="1:36" x14ac:dyDescent="0.25">
      <c r="A259" s="88" t="str">
        <f>A226</f>
        <v>KL 1</v>
      </c>
      <c r="B259" s="88" t="str">
        <f>IF(B226&lt;100,"",B226-1500)</f>
        <v/>
      </c>
      <c r="C259" s="88" t="str">
        <f t="shared" ref="C259:AF259" si="55">IF(C226&lt;100,"",C226-1500)</f>
        <v/>
      </c>
      <c r="D259" s="88" t="str">
        <f t="shared" si="55"/>
        <v/>
      </c>
      <c r="E259" s="88" t="str">
        <f t="shared" si="55"/>
        <v/>
      </c>
      <c r="F259" s="88" t="str">
        <f t="shared" si="55"/>
        <v/>
      </c>
      <c r="G259" s="88" t="str">
        <f t="shared" si="55"/>
        <v/>
      </c>
      <c r="H259" s="88" t="str">
        <f t="shared" si="55"/>
        <v/>
      </c>
      <c r="I259" s="88" t="str">
        <f t="shared" si="55"/>
        <v/>
      </c>
      <c r="J259" s="88" t="str">
        <f t="shared" si="55"/>
        <v/>
      </c>
      <c r="K259" s="88" t="str">
        <f t="shared" si="55"/>
        <v/>
      </c>
      <c r="L259" s="88" t="str">
        <f t="shared" si="55"/>
        <v/>
      </c>
      <c r="M259" s="88" t="str">
        <f t="shared" si="55"/>
        <v/>
      </c>
      <c r="N259" s="88" t="str">
        <f t="shared" si="55"/>
        <v/>
      </c>
      <c r="O259" s="88" t="str">
        <f t="shared" si="55"/>
        <v/>
      </c>
      <c r="P259" s="88" t="str">
        <f t="shared" si="55"/>
        <v/>
      </c>
      <c r="Q259" s="88" t="str">
        <f t="shared" si="55"/>
        <v/>
      </c>
      <c r="R259" s="88" t="str">
        <f t="shared" si="55"/>
        <v/>
      </c>
      <c r="S259" s="88" t="str">
        <f t="shared" si="55"/>
        <v/>
      </c>
      <c r="T259" s="88" t="str">
        <f t="shared" si="55"/>
        <v/>
      </c>
      <c r="U259" s="88" t="str">
        <f t="shared" si="55"/>
        <v/>
      </c>
      <c r="V259" s="88" t="str">
        <f t="shared" si="55"/>
        <v/>
      </c>
      <c r="W259" s="88" t="str">
        <f t="shared" si="55"/>
        <v/>
      </c>
      <c r="X259" s="88" t="str">
        <f t="shared" si="55"/>
        <v/>
      </c>
      <c r="Y259" s="88" t="str">
        <f t="shared" si="55"/>
        <v/>
      </c>
      <c r="Z259" s="88" t="str">
        <f t="shared" si="55"/>
        <v/>
      </c>
      <c r="AA259" s="88" t="str">
        <f t="shared" si="55"/>
        <v/>
      </c>
      <c r="AB259" s="88" t="str">
        <f t="shared" si="55"/>
        <v/>
      </c>
      <c r="AC259" s="88" t="str">
        <f t="shared" si="55"/>
        <v/>
      </c>
      <c r="AD259" s="88" t="str">
        <f t="shared" si="55"/>
        <v/>
      </c>
      <c r="AE259" s="88" t="str">
        <f t="shared" si="55"/>
        <v/>
      </c>
      <c r="AF259" s="88" t="str">
        <f t="shared" si="55"/>
        <v/>
      </c>
      <c r="AG259" s="179"/>
      <c r="AH259" s="179"/>
      <c r="AJ259"/>
    </row>
    <row r="260" spans="1:36" x14ac:dyDescent="0.25"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  <c r="AC260" s="179"/>
      <c r="AD260" s="179"/>
      <c r="AE260" s="179"/>
      <c r="AF260" s="179"/>
      <c r="AG260" s="179"/>
      <c r="AH260" s="179"/>
      <c r="AJ260"/>
    </row>
    <row r="261" spans="1:36" x14ac:dyDescent="0.25"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  <c r="AJ261"/>
    </row>
    <row r="262" spans="1:36" x14ac:dyDescent="0.25"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  <c r="AE262" s="179"/>
      <c r="AF262" s="179"/>
      <c r="AG262" s="179"/>
      <c r="AH262" s="179"/>
      <c r="AJ262"/>
    </row>
    <row r="263" spans="1:36" x14ac:dyDescent="0.25"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  <c r="AC263" s="179"/>
      <c r="AD263" s="179"/>
      <c r="AE263" s="179"/>
      <c r="AF263" s="179"/>
      <c r="AG263" s="179"/>
      <c r="AH263" s="179"/>
      <c r="AJ263"/>
    </row>
    <row r="264" spans="1:36" x14ac:dyDescent="0.25"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  <c r="AC264" s="179"/>
      <c r="AD264" s="179"/>
      <c r="AE264" s="179"/>
      <c r="AF264" s="179"/>
      <c r="AG264" s="179"/>
      <c r="AH264" s="179"/>
      <c r="AJ264"/>
    </row>
    <row r="265" spans="1:36" x14ac:dyDescent="0.25"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  <c r="AC265" s="179"/>
      <c r="AD265" s="179"/>
      <c r="AE265" s="179"/>
      <c r="AF265" s="179"/>
      <c r="AG265" s="179"/>
      <c r="AH265" s="179"/>
      <c r="AJ265"/>
    </row>
    <row r="266" spans="1:36" x14ac:dyDescent="0.25"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  <c r="AC266" s="179"/>
      <c r="AD266" s="179"/>
      <c r="AE266" s="179"/>
      <c r="AF266" s="179"/>
      <c r="AJ266"/>
    </row>
    <row r="490" spans="36:38" x14ac:dyDescent="0.25">
      <c r="AK490" s="1"/>
    </row>
    <row r="491" spans="36:38" x14ac:dyDescent="0.25">
      <c r="AK491" s="1"/>
      <c r="AL491" s="1"/>
    </row>
    <row r="492" spans="36:38" x14ac:dyDescent="0.25">
      <c r="AJ49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1:B23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1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16">
      <iconSet iconSet="3TrafficLights2" reverse="1">
        <cfvo type="percent" val="0"/>
        <cfvo type="num" val="1"/>
        <cfvo type="num" val="1"/>
      </iconSet>
    </cfRule>
  </conditionalFormatting>
  <conditionalFormatting sqref="D214:AF220 B214:B220 B212:AF212 U233:AF233 B9:AF10 C99:AF105">
    <cfRule type="expression" dxfId="3147" priority="412">
      <formula>B$9&gt;=20/24</formula>
    </cfRule>
    <cfRule type="expression" dxfId="3146" priority="413">
      <formula>AND(B$9&gt;=14/24,B$9&lt;20/24)</formula>
    </cfRule>
    <cfRule type="expression" dxfId="3145" priority="414">
      <formula>AND(B$9&gt;=8/24,B$9&lt;14/24)</formula>
    </cfRule>
    <cfRule type="expression" dxfId="3144" priority="415">
      <formula>B$9&lt;8/24</formula>
    </cfRule>
  </conditionalFormatting>
  <conditionalFormatting sqref="AL4:AL6">
    <cfRule type="iconSet" priority="411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3143" priority="407">
      <formula>S$9&gt;=20/24</formula>
    </cfRule>
    <cfRule type="expression" dxfId="3142" priority="408">
      <formula>AND(S$9&gt;=14/24,S$9&lt;20/24)</formula>
    </cfRule>
    <cfRule type="expression" dxfId="3141" priority="409">
      <formula>AND(S$9&gt;=8/24,S$9&lt;14/24)</formula>
    </cfRule>
    <cfRule type="expression" dxfId="3140" priority="410">
      <formula>S$9&lt;8/24</formula>
    </cfRule>
  </conditionalFormatting>
  <conditionalFormatting sqref="AG55 Q11:S13 R14:S16 S37:AF37 S35:AF35 T11:AF16">
    <cfRule type="expression" dxfId="3139" priority="406">
      <formula>Q11&gt;$AG11</formula>
    </cfRule>
  </conditionalFormatting>
  <conditionalFormatting sqref="A89:A102 A11:A14 A49:A76 A85:A87 A190:A220 A16:A30 A36:A47 A106:A177 A32:A33 A81:A83 A78:A79">
    <cfRule type="expression" dxfId="3138" priority="405">
      <formula>$AH11=0</formula>
    </cfRule>
  </conditionalFormatting>
  <conditionalFormatting sqref="A103">
    <cfRule type="expression" dxfId="3137" priority="404">
      <formula>$AH103=0</formula>
    </cfRule>
  </conditionalFormatting>
  <conditionalFormatting sqref="AL33">
    <cfRule type="iconSet" priority="403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3136" priority="402">
      <formula>$AH35=0</formula>
    </cfRule>
  </conditionalFormatting>
  <conditionalFormatting sqref="A88">
    <cfRule type="expression" dxfId="3135" priority="401">
      <formula>$AH88=0</formula>
    </cfRule>
  </conditionalFormatting>
  <conditionalFormatting sqref="A15">
    <cfRule type="expression" dxfId="3134" priority="400">
      <formula>$AH15=0</formula>
    </cfRule>
  </conditionalFormatting>
  <conditionalFormatting sqref="A184:A189">
    <cfRule type="expression" dxfId="3133" priority="399">
      <formula>$AH184=0</formula>
    </cfRule>
  </conditionalFormatting>
  <conditionalFormatting sqref="A178:A183">
    <cfRule type="expression" dxfId="3132" priority="398">
      <formula>$AH178=0</formula>
    </cfRule>
  </conditionalFormatting>
  <conditionalFormatting sqref="A48">
    <cfRule type="expression" dxfId="3131" priority="397">
      <formula>$AH48=0</formula>
    </cfRule>
  </conditionalFormatting>
  <conditionalFormatting sqref="A84">
    <cfRule type="expression" dxfId="3130" priority="396">
      <formula>$AH84=0</formula>
    </cfRule>
  </conditionalFormatting>
  <conditionalFormatting sqref="C89:AF89">
    <cfRule type="expression" dxfId="3129" priority="392">
      <formula>C$9&gt;=20/24</formula>
    </cfRule>
    <cfRule type="expression" dxfId="3128" priority="393">
      <formula>AND(C$9&gt;=14/24,C$9&lt;20/24)</formula>
    </cfRule>
    <cfRule type="expression" dxfId="3127" priority="394">
      <formula>AND(C$9&gt;=8/24,C$9&lt;14/24)</formula>
    </cfRule>
    <cfRule type="expression" dxfId="3126" priority="395">
      <formula>C$9&lt;8/24</formula>
    </cfRule>
  </conditionalFormatting>
  <conditionalFormatting sqref="AL34">
    <cfRule type="iconSet" priority="39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125" priority="418">
      <formula>C$9&gt;=20/24</formula>
    </cfRule>
    <cfRule type="expression" dxfId="3124" priority="419">
      <formula>AND(C$9&gt;=14/24,C$9&lt;20/24)</formula>
    </cfRule>
    <cfRule type="expression" dxfId="3123" priority="420">
      <formula>AND(C$9&gt;=8/24,C$9&lt;14/24)</formula>
    </cfRule>
    <cfRule type="expression" dxfId="3122" priority="421">
      <formula>C$9&lt;8/24</formula>
    </cfRule>
  </conditionalFormatting>
  <conditionalFormatting sqref="A221">
    <cfRule type="expression" dxfId="3121" priority="422">
      <formula>$AH221=0</formula>
    </cfRule>
  </conditionalFormatting>
  <conditionalFormatting sqref="AG233">
    <cfRule type="expression" dxfId="3120" priority="423">
      <formula>B$9&gt;=20/24</formula>
    </cfRule>
    <cfRule type="expression" dxfId="3119" priority="424">
      <formula>AND(B$9&gt;=14/24,B$9&lt;20/24)</formula>
    </cfRule>
    <cfRule type="expression" dxfId="3118" priority="425">
      <formula>AND(B$9&gt;=8/24,B$9&lt;14/24)</formula>
    </cfRule>
    <cfRule type="expression" dxfId="3117" priority="426">
      <formula>B$9&lt;8/24</formula>
    </cfRule>
  </conditionalFormatting>
  <conditionalFormatting sqref="S8">
    <cfRule type="expression" dxfId="3116" priority="387">
      <formula>U$9&gt;=20/24</formula>
    </cfRule>
    <cfRule type="expression" dxfId="3115" priority="388">
      <formula>AND(U$9&gt;=14/24,U$9&lt;20/24)</formula>
    </cfRule>
    <cfRule type="expression" dxfId="3114" priority="389">
      <formula>AND(U$9&gt;=8/24,U$9&lt;14/24)</formula>
    </cfRule>
    <cfRule type="expression" dxfId="3113" priority="390">
      <formula>U$9&lt;8/24</formula>
    </cfRule>
  </conditionalFormatting>
  <conditionalFormatting sqref="AB8">
    <cfRule type="expression" dxfId="3112" priority="383">
      <formula>AD$9&gt;=20/24</formula>
    </cfRule>
    <cfRule type="expression" dxfId="3111" priority="384">
      <formula>AND(AD$9&gt;=14/24,AD$9&lt;20/24)</formula>
    </cfRule>
    <cfRule type="expression" dxfId="3110" priority="385">
      <formula>AND(AD$9&gt;=8/24,AD$9&lt;14/24)</formula>
    </cfRule>
    <cfRule type="expression" dxfId="3109" priority="386">
      <formula>AD$9&lt;8/24</formula>
    </cfRule>
  </conditionalFormatting>
  <conditionalFormatting sqref="AH233:AX233">
    <cfRule type="expression" dxfId="3108" priority="427">
      <formula>AG$9&gt;=20/24</formula>
    </cfRule>
    <cfRule type="expression" dxfId="3107" priority="428">
      <formula>AND(AG$9&gt;=14/24,AG$9&lt;20/24)</formula>
    </cfRule>
    <cfRule type="expression" dxfId="3106" priority="429">
      <formula>AND(AG$9&gt;=8/24,AG$9&lt;14/24)</formula>
    </cfRule>
    <cfRule type="expression" dxfId="3105" priority="430">
      <formula>AG$9&lt;8/24</formula>
    </cfRule>
  </conditionalFormatting>
  <conditionalFormatting sqref="T233">
    <cfRule type="expression" dxfId="3104" priority="431">
      <formula>AX$9&gt;=20/24</formula>
    </cfRule>
    <cfRule type="expression" dxfId="3103" priority="432">
      <formula>AND(AX$9&gt;=14/24,AX$9&lt;20/24)</formula>
    </cfRule>
    <cfRule type="expression" dxfId="3102" priority="433">
      <formula>AND(AX$9&gt;=8/24,AX$9&lt;14/24)</formula>
    </cfRule>
    <cfRule type="expression" dxfId="3101" priority="434">
      <formula>AX$9&lt;8/24</formula>
    </cfRule>
  </conditionalFormatting>
  <conditionalFormatting sqref="A104:A105">
    <cfRule type="expression" dxfId="3100" priority="382">
      <formula>$AH104=0</formula>
    </cfRule>
  </conditionalFormatting>
  <conditionalFormatting sqref="C61:AF61 F44:AF45">
    <cfRule type="expression" dxfId="3099" priority="378">
      <formula>C$9&gt;=20/24</formula>
    </cfRule>
    <cfRule type="expression" dxfId="3098" priority="379">
      <formula>AND(C$9&gt;=14/24,C$9&lt;20/24)</formula>
    </cfRule>
    <cfRule type="expression" dxfId="3097" priority="380">
      <formula>AND(C$9&gt;=8/24,C$9&lt;14/24)</formula>
    </cfRule>
    <cfRule type="expression" dxfId="3096" priority="381">
      <formula>C$9&lt;8/24</formula>
    </cfRule>
  </conditionalFormatting>
  <conditionalFormatting sqref="F43:O43 S43:AF43">
    <cfRule type="expression" dxfId="3095" priority="374">
      <formula>F$9&gt;=20/24</formula>
    </cfRule>
    <cfRule type="expression" dxfId="3094" priority="375">
      <formula>AND(F$9&gt;=14/24,F$9&lt;20/24)</formula>
    </cfRule>
    <cfRule type="expression" dxfId="3093" priority="376">
      <formula>AND(F$9&gt;=8/24,F$9&lt;14/24)</formula>
    </cfRule>
    <cfRule type="expression" dxfId="3092" priority="377">
      <formula>F$9&lt;8/24</formula>
    </cfRule>
  </conditionalFormatting>
  <conditionalFormatting sqref="F43:O43 F44:R45 S43:AF45">
    <cfRule type="expression" dxfId="3091" priority="373">
      <formula>F43&gt;$AG43</formula>
    </cfRule>
  </conditionalFormatting>
  <conditionalFormatting sqref="Q11:R11 C86:AF86 Q12:S13 R28:S28 Q37:R37 R14:S14 R30:S30 S29 C71:R71 C62:R67 C90:AF96 C73:AF76 C57:AF59 S36:AF36 R16:AF16 R18:AF22 R24:AF26 T28:AF30 S32:AF32 S62:AF71 T12:AF14">
    <cfRule type="expression" dxfId="3090" priority="369">
      <formula>C$9&gt;=20/24</formula>
    </cfRule>
    <cfRule type="expression" dxfId="3089" priority="370">
      <formula>AND(C$9&gt;=14/24,C$9&lt;20/24)</formula>
    </cfRule>
    <cfRule type="expression" dxfId="3088" priority="371">
      <formula>AND(C$9&gt;=8/24,C$9&lt;14/24)</formula>
    </cfRule>
    <cfRule type="expression" dxfId="3087" priority="372">
      <formula>C$9&lt;8/24</formula>
    </cfRule>
  </conditionalFormatting>
  <conditionalFormatting sqref="S33:AF33">
    <cfRule type="expression" dxfId="3086" priority="365">
      <formula>S$9&gt;=20/24</formula>
    </cfRule>
    <cfRule type="expression" dxfId="3085" priority="366">
      <formula>AND(S$9&gt;=14/24,S$9&lt;20/24)</formula>
    </cfRule>
    <cfRule type="expression" dxfId="3084" priority="367">
      <formula>AND(S$9&gt;=8/24,S$9&lt;14/24)</formula>
    </cfRule>
    <cfRule type="expression" dxfId="3083" priority="368">
      <formula>S$9&lt;8/24</formula>
    </cfRule>
  </conditionalFormatting>
  <conditionalFormatting sqref="Q11:R11 R24:S28 C55:AF55 E37:R37 R30:S30 S29 F46:R48 C57:AF59 S36:AF36 R18:AF22 T24:AF30 S32:AF33">
    <cfRule type="expression" dxfId="3082" priority="364">
      <formula>C11&gt;$AG11</formula>
    </cfRule>
  </conditionalFormatting>
  <conditionalFormatting sqref="S35:AF35">
    <cfRule type="expression" dxfId="3081" priority="360">
      <formula>S$9&gt;=20/24</formula>
    </cfRule>
    <cfRule type="expression" dxfId="3080" priority="361">
      <formula>AND(S$9&gt;=14/24,S$9&lt;20/24)</formula>
    </cfRule>
    <cfRule type="expression" dxfId="3079" priority="362">
      <formula>AND(S$9&gt;=8/24,S$9&lt;14/24)</formula>
    </cfRule>
    <cfRule type="expression" dxfId="3078" priority="363">
      <formula>S$9&lt;8/24</formula>
    </cfRule>
  </conditionalFormatting>
  <conditionalFormatting sqref="R15:AF15">
    <cfRule type="expression" dxfId="3077" priority="356">
      <formula>R$9&gt;=20/24</formula>
    </cfRule>
    <cfRule type="expression" dxfId="3076" priority="357">
      <formula>AND(R$9&gt;=14/24,R$9&lt;20/24)</formula>
    </cfRule>
    <cfRule type="expression" dxfId="3075" priority="358">
      <formula>AND(R$9&gt;=8/24,R$9&lt;14/24)</formula>
    </cfRule>
    <cfRule type="expression" dxfId="3074" priority="359">
      <formula>R$9&lt;8/24</formula>
    </cfRule>
  </conditionalFormatting>
  <conditionalFormatting sqref="S34:AF34">
    <cfRule type="expression" dxfId="3073" priority="352">
      <formula>S$9&gt;=20/24</formula>
    </cfRule>
    <cfRule type="expression" dxfId="3072" priority="353">
      <formula>AND(S$9&gt;=14/24,S$9&lt;20/24)</formula>
    </cfRule>
    <cfRule type="expression" dxfId="3071" priority="354">
      <formula>AND(S$9&gt;=8/24,S$9&lt;14/24)</formula>
    </cfRule>
    <cfRule type="expression" dxfId="3070" priority="355">
      <formula>S$9&lt;8/24</formula>
    </cfRule>
  </conditionalFormatting>
  <conditionalFormatting sqref="S34:AF34">
    <cfRule type="expression" dxfId="3069" priority="351">
      <formula>S34&gt;$AG34</formula>
    </cfRule>
  </conditionalFormatting>
  <conditionalFormatting sqref="S11:AF11">
    <cfRule type="expression" dxfId="3068" priority="347">
      <formula>S$9&gt;=20/24</formula>
    </cfRule>
    <cfRule type="expression" dxfId="3067" priority="348">
      <formula>AND(S$9&gt;=14/24,S$9&lt;20/24)</formula>
    </cfRule>
    <cfRule type="expression" dxfId="3066" priority="349">
      <formula>AND(S$9&gt;=8/24,S$9&lt;14/24)</formula>
    </cfRule>
    <cfRule type="expression" dxfId="3065" priority="350">
      <formula>S$9&lt;8/24</formula>
    </cfRule>
  </conditionalFormatting>
  <conditionalFormatting sqref="P43:R43 S46:AF54">
    <cfRule type="expression" dxfId="3064" priority="338">
      <formula>P$9&gt;=20/24</formula>
    </cfRule>
    <cfRule type="expression" dxfId="3063" priority="339">
      <formula>AND(P$9&gt;=14/24,P$9&lt;20/24)</formula>
    </cfRule>
    <cfRule type="expression" dxfId="3062" priority="340">
      <formula>AND(P$9&gt;=8/24,P$9&lt;14/24)</formula>
    </cfRule>
    <cfRule type="expression" dxfId="3061" priority="341">
      <formula>P$9&lt;8/24</formula>
    </cfRule>
  </conditionalFormatting>
  <conditionalFormatting sqref="P43:R43 S46:AF54">
    <cfRule type="expression" dxfId="3060" priority="337">
      <formula>P43&gt;$AG43</formula>
    </cfRule>
  </conditionalFormatting>
  <conditionalFormatting sqref="R27:AF27">
    <cfRule type="expression" dxfId="3059" priority="333">
      <formula>R$9&gt;=20/24</formula>
    </cfRule>
    <cfRule type="expression" dxfId="3058" priority="334">
      <formula>AND(R$9&gt;=14/24,R$9&lt;20/24)</formula>
    </cfRule>
    <cfRule type="expression" dxfId="3057" priority="335">
      <formula>AND(R$9&gt;=8/24,R$9&lt;14/24)</formula>
    </cfRule>
    <cfRule type="expression" dxfId="3056" priority="336">
      <formula>R$9&lt;8/24</formula>
    </cfRule>
  </conditionalFormatting>
  <conditionalFormatting sqref="R17:AF17 R23:AF23">
    <cfRule type="expression" dxfId="3055" priority="329">
      <formula>R$9&gt;=20/24</formula>
    </cfRule>
    <cfRule type="expression" dxfId="3054" priority="330">
      <formula>AND(R$9&gt;=14/24,R$9&lt;20/24)</formula>
    </cfRule>
    <cfRule type="expression" dxfId="3053" priority="331">
      <formula>AND(R$9&gt;=8/24,R$9&lt;14/24)</formula>
    </cfRule>
    <cfRule type="expression" dxfId="3052" priority="332">
      <formula>R$9&lt;8/24</formula>
    </cfRule>
  </conditionalFormatting>
  <conditionalFormatting sqref="R17:AF17 R23:AF23">
    <cfRule type="expression" dxfId="3051" priority="324">
      <formula>R17&gt;$AG17</formula>
    </cfRule>
  </conditionalFormatting>
  <conditionalFormatting sqref="C44:E45">
    <cfRule type="expression" dxfId="3050" priority="307">
      <formula>C$9&gt;=20/24</formula>
    </cfRule>
    <cfRule type="expression" dxfId="3049" priority="308">
      <formula>AND(C$9&gt;=14/24,C$9&lt;20/24)</formula>
    </cfRule>
    <cfRule type="expression" dxfId="3048" priority="309">
      <formula>AND(C$9&gt;=8/24,C$9&lt;14/24)</formula>
    </cfRule>
    <cfRule type="expression" dxfId="3047" priority="310">
      <formula>C$9&lt;8/24</formula>
    </cfRule>
  </conditionalFormatting>
  <conditionalFormatting sqref="C43:E43">
    <cfRule type="expression" dxfId="3046" priority="303">
      <formula>C$9&gt;=20/24</formula>
    </cfRule>
    <cfRule type="expression" dxfId="3045" priority="304">
      <formula>AND(C$9&gt;=14/24,C$9&lt;20/24)</formula>
    </cfRule>
    <cfRule type="expression" dxfId="3044" priority="305">
      <formula>AND(C$9&gt;=8/24,C$9&lt;14/24)</formula>
    </cfRule>
    <cfRule type="expression" dxfId="3043" priority="306">
      <formula>C$9&lt;8/24</formula>
    </cfRule>
  </conditionalFormatting>
  <conditionalFormatting sqref="C43:E45">
    <cfRule type="expression" dxfId="3042" priority="302">
      <formula>C43&gt;$AG43</formula>
    </cfRule>
  </conditionalFormatting>
  <conditionalFormatting sqref="C68:R70">
    <cfRule type="expression" dxfId="3041" priority="298">
      <formula>C$9&gt;=20/24</formula>
    </cfRule>
    <cfRule type="expression" dxfId="3040" priority="299">
      <formula>AND(C$9&gt;=14/24,C$9&lt;20/24)</formula>
    </cfRule>
    <cfRule type="expression" dxfId="3039" priority="300">
      <formula>AND(C$9&gt;=8/24,C$9&lt;14/24)</formula>
    </cfRule>
    <cfRule type="expression" dxfId="3038" priority="301">
      <formula>C$9&lt;8/24</formula>
    </cfRule>
  </conditionalFormatting>
  <conditionalFormatting sqref="C46:E47">
    <cfRule type="expression" dxfId="3037" priority="297">
      <formula>C46&gt;$AG46</formula>
    </cfRule>
  </conditionalFormatting>
  <conditionalFormatting sqref="C48:E54 F49:R54">
    <cfRule type="expression" dxfId="3036" priority="293">
      <formula>C$9&gt;=20/24</formula>
    </cfRule>
    <cfRule type="expression" dxfId="3035" priority="294">
      <formula>AND(C$9&gt;=14/24,C$9&lt;20/24)</formula>
    </cfRule>
    <cfRule type="expression" dxfId="3034" priority="295">
      <formula>AND(C$9&gt;=8/24,C$9&lt;14/24)</formula>
    </cfRule>
    <cfRule type="expression" dxfId="3033" priority="296">
      <formula>C$9&lt;8/24</formula>
    </cfRule>
  </conditionalFormatting>
  <conditionalFormatting sqref="C48:E54 F49:R54">
    <cfRule type="expression" dxfId="3032" priority="292">
      <formula>C48&gt;$AG48</formula>
    </cfRule>
  </conditionalFormatting>
  <conditionalFormatting sqref="C78:AF78 C87:AF87">
    <cfRule type="expression" dxfId="3031" priority="279">
      <formula>C$9&gt;=20/24</formula>
    </cfRule>
    <cfRule type="expression" dxfId="3030" priority="280">
      <formula>AND(C$9&gt;=14/24,C$9&lt;20/24)</formula>
    </cfRule>
    <cfRule type="expression" dxfId="3029" priority="281">
      <formula>AND(C$9&gt;=8/24,C$9&lt;14/24)</formula>
    </cfRule>
    <cfRule type="expression" dxfId="3028" priority="282">
      <formula>C$9&lt;8/24</formula>
    </cfRule>
  </conditionalFormatting>
  <conditionalFormatting sqref="B37:D37">
    <cfRule type="expression" dxfId="3027" priority="87">
      <formula>B$9&gt;=20/24</formula>
    </cfRule>
    <cfRule type="expression" dxfId="3026" priority="88">
      <formula>AND(B$9&gt;=14/24,B$9&lt;20/24)</formula>
    </cfRule>
    <cfRule type="expression" dxfId="3025" priority="89">
      <formula>AND(B$9&gt;=8/24,B$9&lt;14/24)</formula>
    </cfRule>
    <cfRule type="expression" dxfId="3024" priority="90">
      <formula>B$9&lt;8/24</formula>
    </cfRule>
  </conditionalFormatting>
  <conditionalFormatting sqref="B37:D37 B11:P16 Q14:Q16 B35:R35">
    <cfRule type="expression" dxfId="3023" priority="86">
      <formula>B11&gt;$AG11</formula>
    </cfRule>
  </conditionalFormatting>
  <conditionalFormatting sqref="B89">
    <cfRule type="expression" dxfId="3022" priority="82">
      <formula>B$9&gt;=20/24</formula>
    </cfRule>
    <cfRule type="expression" dxfId="3021" priority="83">
      <formula>AND(B$9&gt;=14/24,B$9&lt;20/24)</formula>
    </cfRule>
    <cfRule type="expression" dxfId="3020" priority="84">
      <formula>AND(B$9&gt;=8/24,B$9&lt;14/24)</formula>
    </cfRule>
    <cfRule type="expression" dxfId="3019" priority="85">
      <formula>B$9&lt;8/24</formula>
    </cfRule>
  </conditionalFormatting>
  <conditionalFormatting sqref="B44:B45 B61">
    <cfRule type="expression" dxfId="3018" priority="78">
      <formula>B$9&gt;=20/24</formula>
    </cfRule>
    <cfRule type="expression" dxfId="3017" priority="79">
      <formula>AND(B$9&gt;=14/24,B$9&lt;20/24)</formula>
    </cfRule>
    <cfRule type="expression" dxfId="3016" priority="80">
      <formula>AND(B$9&gt;=8/24,B$9&lt;14/24)</formula>
    </cfRule>
    <cfRule type="expression" dxfId="3015" priority="81">
      <formula>B$9&lt;8/24</formula>
    </cfRule>
  </conditionalFormatting>
  <conditionalFormatting sqref="B43">
    <cfRule type="expression" dxfId="3014" priority="74">
      <formula>B$9&gt;=20/24</formula>
    </cfRule>
    <cfRule type="expression" dxfId="3013" priority="75">
      <formula>AND(B$9&gt;=14/24,B$9&lt;20/24)</formula>
    </cfRule>
    <cfRule type="expression" dxfId="3012" priority="76">
      <formula>AND(B$9&gt;=8/24,B$9&lt;14/24)</formula>
    </cfRule>
    <cfRule type="expression" dxfId="3011" priority="77">
      <formula>B$9&lt;8/24</formula>
    </cfRule>
  </conditionalFormatting>
  <conditionalFormatting sqref="B43:B45">
    <cfRule type="expression" dxfId="3010" priority="73">
      <formula>B43&gt;$AG43</formula>
    </cfRule>
  </conditionalFormatting>
  <conditionalFormatting sqref="C79:AF79 C60:AG60 C77:AG77 C88:AF88">
    <cfRule type="expression" dxfId="3009" priority="257">
      <formula>C$9&gt;=20/24</formula>
    </cfRule>
    <cfRule type="expression" dxfId="3008" priority="258">
      <formula>AND(C$9&gt;=14/24,C$9&lt;20/24)</formula>
    </cfRule>
    <cfRule type="expression" dxfId="3007" priority="259">
      <formula>AND(C$9&gt;=8/24,C$9&lt;14/24)</formula>
    </cfRule>
    <cfRule type="expression" dxfId="3006" priority="260">
      <formula>C$9&lt;8/24</formula>
    </cfRule>
  </conditionalFormatting>
  <conditionalFormatting sqref="C38:AG38 C56:AG56 C60:AG60">
    <cfRule type="expression" dxfId="3005" priority="252">
      <formula>C38&gt;$AG38</formula>
    </cfRule>
  </conditionalFormatting>
  <conditionalFormatting sqref="B48:B54">
    <cfRule type="expression" dxfId="3004" priority="60">
      <formula>B$9&gt;=20/24</formula>
    </cfRule>
    <cfRule type="expression" dxfId="3003" priority="61">
      <formula>AND(B$9&gt;=14/24,B$9&lt;20/24)</formula>
    </cfRule>
    <cfRule type="expression" dxfId="3002" priority="62">
      <formula>AND(B$9&gt;=8/24,B$9&lt;14/24)</formula>
    </cfRule>
    <cfRule type="expression" dxfId="3001" priority="63">
      <formula>B$9&lt;8/24</formula>
    </cfRule>
  </conditionalFormatting>
  <conditionalFormatting sqref="B15:Q15">
    <cfRule type="expression" dxfId="3000" priority="42">
      <formula>B$9&gt;=20/24</formula>
    </cfRule>
    <cfRule type="expression" dxfId="2999" priority="43">
      <formula>AND(B$9&gt;=14/24,B$9&lt;20/24)</formula>
    </cfRule>
    <cfRule type="expression" dxfId="2998" priority="44">
      <formula>AND(B$9&gt;=8/24,B$9&lt;14/24)</formula>
    </cfRule>
    <cfRule type="expression" dxfId="2997" priority="45">
      <formula>B$9&lt;8/24</formula>
    </cfRule>
  </conditionalFormatting>
  <conditionalFormatting sqref="B34:R34">
    <cfRule type="expression" dxfId="2996" priority="38">
      <formula>B$9&gt;=20/24</formula>
    </cfRule>
    <cfRule type="expression" dxfId="2995" priority="39">
      <formula>AND(B$9&gt;=14/24,B$9&lt;20/24)</formula>
    </cfRule>
    <cfRule type="expression" dxfId="2994" priority="40">
      <formula>AND(B$9&gt;=8/24,B$9&lt;14/24)</formula>
    </cfRule>
    <cfRule type="expression" dxfId="2993" priority="41">
      <formula>B$9&lt;8/24</formula>
    </cfRule>
  </conditionalFormatting>
  <conditionalFormatting sqref="B34:R34">
    <cfRule type="expression" dxfId="2992" priority="37">
      <formula>B34&gt;$AG34</formula>
    </cfRule>
  </conditionalFormatting>
  <conditionalFormatting sqref="A34">
    <cfRule type="expression" dxfId="2991" priority="224">
      <formula>$AH34=0</formula>
    </cfRule>
  </conditionalFormatting>
  <conditionalFormatting sqref="C72:AF72">
    <cfRule type="expression" dxfId="2990" priority="220">
      <formula>C$9&gt;=20/24</formula>
    </cfRule>
    <cfRule type="expression" dxfId="2989" priority="221">
      <formula>AND(C$9&gt;=14/24,C$9&lt;20/24)</formula>
    </cfRule>
    <cfRule type="expression" dxfId="2988" priority="222">
      <formula>AND(C$9&gt;=8/24,C$9&lt;14/24)</formula>
    </cfRule>
    <cfRule type="expression" dxfId="2987" priority="223">
      <formula>C$9&lt;8/24</formula>
    </cfRule>
  </conditionalFormatting>
  <conditionalFormatting sqref="C81:AF85">
    <cfRule type="expression" dxfId="2986" priority="216">
      <formula>C$9&gt;=20/24</formula>
    </cfRule>
    <cfRule type="expression" dxfId="2985" priority="217">
      <formula>AND(C$9&gt;=14/24,C$9&lt;20/24)</formula>
    </cfRule>
    <cfRule type="expression" dxfId="2984" priority="218">
      <formula>AND(C$9&gt;=8/24,C$9&lt;14/24)</formula>
    </cfRule>
    <cfRule type="expression" dxfId="2983" priority="219">
      <formula>C$9&lt;8/24</formula>
    </cfRule>
  </conditionalFormatting>
  <conditionalFormatting sqref="AL35 AL7:AL30 AL32">
    <cfRule type="iconSet" priority="435">
      <iconSet iconSet="3TrafficLights2" reverse="1">
        <cfvo type="percent" val="0"/>
        <cfvo type="num" val="1"/>
        <cfvo type="num" val="1"/>
      </iconSet>
    </cfRule>
  </conditionalFormatting>
  <conditionalFormatting sqref="C39:AF41">
    <cfRule type="expression" dxfId="2982" priority="212">
      <formula>C$9&gt;=20/24</formula>
    </cfRule>
    <cfRule type="expression" dxfId="2981" priority="213">
      <formula>AND(C$9&gt;=14/24,C$9&lt;20/24)</formula>
    </cfRule>
    <cfRule type="expression" dxfId="2980" priority="214">
      <formula>AND(C$9&gt;=8/24,C$9&lt;14/24)</formula>
    </cfRule>
    <cfRule type="expression" dxfId="2979" priority="215">
      <formula>C$9&lt;8/24</formula>
    </cfRule>
  </conditionalFormatting>
  <conditionalFormatting sqref="C39:AF41">
    <cfRule type="expression" dxfId="2978" priority="211">
      <formula>C39&gt;$AG39</formula>
    </cfRule>
  </conditionalFormatting>
  <conditionalFormatting sqref="C42:AG42">
    <cfRule type="expression" dxfId="2977" priority="207">
      <formula>C$9&gt;=20/24</formula>
    </cfRule>
    <cfRule type="expression" dxfId="2976" priority="208">
      <formula>AND(C$9&gt;=14/24,C$9&lt;20/24)</formula>
    </cfRule>
    <cfRule type="expression" dxfId="2975" priority="209">
      <formula>AND(C$9&gt;=8/24,C$9&lt;14/24)</formula>
    </cfRule>
    <cfRule type="expression" dxfId="2974" priority="210">
      <formula>C$9&lt;8/24</formula>
    </cfRule>
  </conditionalFormatting>
  <conditionalFormatting sqref="C42:AG42">
    <cfRule type="expression" dxfId="2973" priority="206">
      <formula>C42&gt;$AG42</formula>
    </cfRule>
  </conditionalFormatting>
  <conditionalFormatting sqref="C97:AF97">
    <cfRule type="expression" dxfId="2972" priority="202">
      <formula>C$9&gt;=20/24</formula>
    </cfRule>
    <cfRule type="expression" dxfId="2971" priority="203">
      <formula>AND(C$9&gt;=14/24,C$9&lt;20/24)</formula>
    </cfRule>
    <cfRule type="expression" dxfId="2970" priority="204">
      <formula>AND(C$9&gt;=8/24,C$9&lt;14/24)</formula>
    </cfRule>
    <cfRule type="expression" dxfId="2969" priority="205">
      <formula>C$9&lt;8/24</formula>
    </cfRule>
  </conditionalFormatting>
  <conditionalFormatting sqref="AL31">
    <cfRule type="iconSet" priority="197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2968" priority="191">
      <formula>$AH31=0</formula>
    </cfRule>
  </conditionalFormatting>
  <conditionalFormatting sqref="A80">
    <cfRule type="expression" dxfId="2967" priority="189">
      <formula>$AH80=0</formula>
    </cfRule>
  </conditionalFormatting>
  <conditionalFormatting sqref="A77">
    <cfRule type="expression" dxfId="2966" priority="190">
      <formula>$AH77=0</formula>
    </cfRule>
  </conditionalFormatting>
  <conditionalFormatting sqref="B99:B105 B11:P11">
    <cfRule type="expression" dxfId="2965" priority="91">
      <formula>B$9&gt;=20/24</formula>
    </cfRule>
    <cfRule type="expression" dxfId="2964" priority="92">
      <formula>AND(B$9&gt;=14/24,B$9&lt;20/24)</formula>
    </cfRule>
    <cfRule type="expression" dxfId="2963" priority="93">
      <formula>AND(B$9&gt;=8/24,B$9&lt;14/24)</formula>
    </cfRule>
    <cfRule type="expression" dxfId="2962" priority="94">
      <formula>B$9&lt;8/24</formula>
    </cfRule>
  </conditionalFormatting>
  <conditionalFormatting sqref="B86 B57:B59 B62:B71 B90:B96 B73:B76 B12:P14 B16:Q16 B25:Q25 Q14 B36:R36">
    <cfRule type="expression" dxfId="2961" priority="69">
      <formula>B$9&gt;=20/24</formula>
    </cfRule>
    <cfRule type="expression" dxfId="2960" priority="70">
      <formula>AND(B$9&gt;=14/24,B$9&lt;20/24)</formula>
    </cfRule>
    <cfRule type="expression" dxfId="2959" priority="71">
      <formula>AND(B$9&gt;=8/24,B$9&lt;14/24)</formula>
    </cfRule>
    <cfRule type="expression" dxfId="2958" priority="72">
      <formula>B$9&lt;8/24</formula>
    </cfRule>
  </conditionalFormatting>
  <conditionalFormatting sqref="B46:B47 B55 B57:B59 B25:Q25 B36:R36">
    <cfRule type="expression" dxfId="2957" priority="68">
      <formula>B25&gt;$AG25</formula>
    </cfRule>
  </conditionalFormatting>
  <conditionalFormatting sqref="B15:Q15">
    <cfRule type="expression" dxfId="2956" priority="64">
      <formula>B$9&gt;=20/24</formula>
    </cfRule>
    <cfRule type="expression" dxfId="2955" priority="65">
      <formula>AND(B$9&gt;=14/24,B$9&lt;20/24)</formula>
    </cfRule>
    <cfRule type="expression" dxfId="2954" priority="66">
      <formula>AND(B$9&gt;=8/24,B$9&lt;14/24)</formula>
    </cfRule>
    <cfRule type="expression" dxfId="2953" priority="67">
      <formula>B$9&lt;8/24</formula>
    </cfRule>
  </conditionalFormatting>
  <conditionalFormatting sqref="B48:B54">
    <cfRule type="expression" dxfId="2952" priority="59">
      <formula>B48&gt;$AG48</formula>
    </cfRule>
  </conditionalFormatting>
  <conditionalFormatting sqref="B11:P14 Q14 B16:Q24 B26:Q28 B30:Q30 B29:R29 B32:R32">
    <cfRule type="expression" dxfId="2951" priority="55">
      <formula>B$9&gt;=20/24</formula>
    </cfRule>
    <cfRule type="expression" dxfId="2950" priority="56">
      <formula>AND(B$9&gt;=14/24,B$9&lt;20/24)</formula>
    </cfRule>
    <cfRule type="expression" dxfId="2949" priority="57">
      <formula>AND(B$9&gt;=8/24,B$9&lt;14/24)</formula>
    </cfRule>
    <cfRule type="expression" dxfId="2948" priority="58">
      <formula>B$9&lt;8/24</formula>
    </cfRule>
  </conditionalFormatting>
  <conditionalFormatting sqref="B33:R33">
    <cfRule type="expression" dxfId="2947" priority="51">
      <formula>B$9&gt;=20/24</formula>
    </cfRule>
    <cfRule type="expression" dxfId="2946" priority="52">
      <formula>AND(B$9&gt;=14/24,B$9&lt;20/24)</formula>
    </cfRule>
    <cfRule type="expression" dxfId="2945" priority="53">
      <formula>AND(B$9&gt;=8/24,B$9&lt;14/24)</formula>
    </cfRule>
    <cfRule type="expression" dxfId="2944" priority="54">
      <formula>B$9&lt;8/24</formula>
    </cfRule>
  </conditionalFormatting>
  <conditionalFormatting sqref="B17:Q24 B26:Q28 B30:Q30 B29:R29 B32:R33">
    <cfRule type="expression" dxfId="2943" priority="50">
      <formula>B17&gt;$AG17</formula>
    </cfRule>
  </conditionalFormatting>
  <conditionalFormatting sqref="B35:R35">
    <cfRule type="expression" dxfId="2942" priority="46">
      <formula>B$9&gt;=20/24</formula>
    </cfRule>
    <cfRule type="expression" dxfId="2941" priority="47">
      <formula>AND(B$9&gt;=14/24,B$9&lt;20/24)</formula>
    </cfRule>
    <cfRule type="expression" dxfId="2940" priority="48">
      <formula>AND(B$9&gt;=8/24,B$9&lt;14/24)</formula>
    </cfRule>
    <cfRule type="expression" dxfId="2939" priority="49">
      <formula>B$9&lt;8/24</formula>
    </cfRule>
  </conditionalFormatting>
  <conditionalFormatting sqref="B78 B87">
    <cfRule type="expression" dxfId="2938" priority="33">
      <formula>B$9&gt;=20/24</formula>
    </cfRule>
    <cfRule type="expression" dxfId="2937" priority="34">
      <formula>AND(B$9&gt;=14/24,B$9&lt;20/24)</formula>
    </cfRule>
    <cfRule type="expression" dxfId="2936" priority="35">
      <formula>AND(B$9&gt;=8/24,B$9&lt;14/24)</formula>
    </cfRule>
    <cfRule type="expression" dxfId="2935" priority="36">
      <formula>B$9&lt;8/24</formula>
    </cfRule>
  </conditionalFormatting>
  <conditionalFormatting sqref="B79 B60 B77 B88">
    <cfRule type="expression" dxfId="2934" priority="29">
      <formula>B$9&gt;=20/24</formula>
    </cfRule>
    <cfRule type="expression" dxfId="2933" priority="30">
      <formula>AND(B$9&gt;=14/24,B$9&lt;20/24)</formula>
    </cfRule>
    <cfRule type="expression" dxfId="2932" priority="31">
      <formula>AND(B$9&gt;=8/24,B$9&lt;14/24)</formula>
    </cfRule>
    <cfRule type="expression" dxfId="2931" priority="32">
      <formula>B$9&lt;8/24</formula>
    </cfRule>
  </conditionalFormatting>
  <conditionalFormatting sqref="B38 B56 B60">
    <cfRule type="expression" dxfId="2930" priority="28">
      <formula>B38&gt;$AG38</formula>
    </cfRule>
  </conditionalFormatting>
  <conditionalFormatting sqref="B72">
    <cfRule type="expression" dxfId="2929" priority="24">
      <formula>B$9&gt;=20/24</formula>
    </cfRule>
    <cfRule type="expression" dxfId="2928" priority="25">
      <formula>AND(B$9&gt;=14/24,B$9&lt;20/24)</formula>
    </cfRule>
    <cfRule type="expression" dxfId="2927" priority="26">
      <formula>AND(B$9&gt;=8/24,B$9&lt;14/24)</formula>
    </cfRule>
    <cfRule type="expression" dxfId="2926" priority="27">
      <formula>B$9&lt;8/24</formula>
    </cfRule>
  </conditionalFormatting>
  <conditionalFormatting sqref="B81:B85">
    <cfRule type="expression" dxfId="2925" priority="20">
      <formula>B$9&gt;=20/24</formula>
    </cfRule>
    <cfRule type="expression" dxfId="2924" priority="21">
      <formula>AND(B$9&gt;=14/24,B$9&lt;20/24)</formula>
    </cfRule>
    <cfRule type="expression" dxfId="2923" priority="22">
      <formula>AND(B$9&gt;=8/24,B$9&lt;14/24)</formula>
    </cfRule>
    <cfRule type="expression" dxfId="2922" priority="23">
      <formula>B$9&lt;8/24</formula>
    </cfRule>
  </conditionalFormatting>
  <conditionalFormatting sqref="B39:B41">
    <cfRule type="expression" dxfId="2921" priority="16">
      <formula>B$9&gt;=20/24</formula>
    </cfRule>
    <cfRule type="expression" dxfId="2920" priority="17">
      <formula>AND(B$9&gt;=14/24,B$9&lt;20/24)</formula>
    </cfRule>
    <cfRule type="expression" dxfId="2919" priority="18">
      <formula>AND(B$9&gt;=8/24,B$9&lt;14/24)</formula>
    </cfRule>
    <cfRule type="expression" dxfId="2918" priority="19">
      <formula>B$9&lt;8/24</formula>
    </cfRule>
  </conditionalFormatting>
  <conditionalFormatting sqref="B39:B41">
    <cfRule type="expression" dxfId="2917" priority="15">
      <formula>B39&gt;$AG39</formula>
    </cfRule>
  </conditionalFormatting>
  <conditionalFormatting sqref="B42">
    <cfRule type="expression" dxfId="2916" priority="11">
      <formula>B$9&gt;=20/24</formula>
    </cfRule>
    <cfRule type="expression" dxfId="2915" priority="12">
      <formula>AND(B$9&gt;=14/24,B$9&lt;20/24)</formula>
    </cfRule>
    <cfRule type="expression" dxfId="2914" priority="13">
      <formula>AND(B$9&gt;=8/24,B$9&lt;14/24)</formula>
    </cfRule>
    <cfRule type="expression" dxfId="2913" priority="14">
      <formula>B$9&lt;8/24</formula>
    </cfRule>
  </conditionalFormatting>
  <conditionalFormatting sqref="B42">
    <cfRule type="expression" dxfId="2912" priority="10">
      <formula>B42&gt;$AG42</formula>
    </cfRule>
  </conditionalFormatting>
  <conditionalFormatting sqref="B97">
    <cfRule type="expression" dxfId="2911" priority="6">
      <formula>B$9&gt;=20/24</formula>
    </cfRule>
    <cfRule type="expression" dxfId="2910" priority="7">
      <formula>AND(B$9&gt;=14/24,B$9&lt;20/24)</formula>
    </cfRule>
    <cfRule type="expression" dxfId="2909" priority="8">
      <formula>AND(B$9&gt;=8/24,B$9&lt;14/24)</formula>
    </cfRule>
    <cfRule type="expression" dxfId="2908" priority="9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3" id="{3BEC7058-DF48-42CF-B1BF-DFE4BE78EBB0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94" id="{735329EA-E2F7-4BD3-948E-8A161A819034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95" id="{A17E3081-6D39-4CEA-B537-AD6F4F214D3B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96" id="{DA4F7C28-6AF1-45C7-88D7-9703423832DD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192" id="{0DF9B567-AA18-4A6C-BF07-0126DCA093EF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D63" sqref="D63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2079/02/20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("&amp;ROUND(B237,0)&amp;" MW)"&amp;"    IPP   = "&amp;ROUND(B232,0)&amp;" MW     NEA RoR = "&amp;ROUND(B233,0)&amp;" MWImport   = "&amp;ROUND(B235,0)&amp;" MW      KL1+KL2+K3 = "&amp;ROUND(B234,0) &amp;" MW    EXPORT = "&amp;ROUND(B236,0)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0</v>
      </c>
      <c r="C5" s="32">
        <f t="shared" si="0"/>
        <v>0</v>
      </c>
      <c r="D5" s="32">
        <f t="shared" si="0"/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10</v>
      </c>
      <c r="O5" s="32">
        <f t="shared" si="0"/>
        <v>10</v>
      </c>
      <c r="P5" s="32">
        <f t="shared" si="0"/>
        <v>17.2</v>
      </c>
      <c r="Q5" s="32">
        <f t="shared" si="0"/>
        <v>18.2</v>
      </c>
      <c r="R5" s="32">
        <f t="shared" si="0"/>
        <v>35</v>
      </c>
      <c r="S5" s="32">
        <f t="shared" si="0"/>
        <v>22</v>
      </c>
      <c r="T5" s="32">
        <f t="shared" si="0"/>
        <v>21</v>
      </c>
      <c r="U5" s="32">
        <f t="shared" si="0"/>
        <v>17</v>
      </c>
      <c r="V5" s="32">
        <f t="shared" si="0"/>
        <v>15</v>
      </c>
      <c r="W5" s="32">
        <f t="shared" si="0"/>
        <v>18</v>
      </c>
      <c r="X5" s="32">
        <f t="shared" si="0"/>
        <v>33.5</v>
      </c>
      <c r="Y5" s="32">
        <f t="shared" si="0"/>
        <v>50</v>
      </c>
      <c r="Z5" s="32">
        <f t="shared" si="0"/>
        <v>63</v>
      </c>
      <c r="AA5" s="32">
        <f t="shared" si="0"/>
        <v>84.7</v>
      </c>
      <c r="AB5" s="32">
        <f t="shared" si="0"/>
        <v>84.7</v>
      </c>
      <c r="AC5" s="32">
        <f t="shared" si="0"/>
        <v>78.7</v>
      </c>
      <c r="AD5" s="32">
        <f t="shared" si="0"/>
        <v>78.7</v>
      </c>
      <c r="AE5" s="32">
        <f t="shared" si="0"/>
        <v>52.2</v>
      </c>
      <c r="AF5" s="32">
        <f>B72</f>
        <v>77.400000000000006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"&amp;ROUND(B237,0)&amp;"MW at "&amp;TRUNC(B238*24,0)&amp;":"&amp;ROUND((B238*24-TRUNC(B238*24,0))*60,0)&amp;"hr at "&amp;ROUND(B239,1)&amp;"Hz     "&amp;A229&amp;" "&amp;ROUND(B229,0)&amp;"MW at "&amp;TRUNC(C229*24,0)&amp;":"&amp;ROUND((C229*24-TRUNC(C229*24,0))*6,0)&amp;"0hr"</f>
        <v>Evening Peak 0MW at 0:0hr at 0Hz     Morning Peak 1796MW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Load=1624</v>
      </c>
      <c r="B7" s="37">
        <f>B79</f>
        <v>1739.24</v>
      </c>
      <c r="C7" s="37">
        <f t="shared" ref="C7:AF7" si="1">C79</f>
        <v>1716.04</v>
      </c>
      <c r="D7" s="37">
        <f t="shared" si="1"/>
        <v>1672.74</v>
      </c>
      <c r="E7" s="37">
        <f t="shared" si="1"/>
        <v>1624.34</v>
      </c>
      <c r="F7" s="37">
        <f t="shared" si="1"/>
        <v>1672.74</v>
      </c>
      <c r="G7" s="37">
        <f t="shared" si="1"/>
        <v>1673.84</v>
      </c>
      <c r="H7" s="37">
        <f t="shared" si="1"/>
        <v>1682.64</v>
      </c>
      <c r="I7" s="37">
        <f t="shared" si="1"/>
        <v>1688.64</v>
      </c>
      <c r="J7" s="37">
        <f t="shared" si="1"/>
        <v>1706.74</v>
      </c>
      <c r="K7" s="37">
        <f t="shared" si="1"/>
        <v>1723.04</v>
      </c>
      <c r="L7" s="37">
        <f t="shared" si="1"/>
        <v>1755.44</v>
      </c>
      <c r="M7" s="37">
        <f t="shared" si="1"/>
        <v>1795.74</v>
      </c>
      <c r="N7" s="37">
        <f t="shared" si="1"/>
        <v>1717.74</v>
      </c>
      <c r="O7" s="37">
        <f t="shared" si="1"/>
        <v>1786.14</v>
      </c>
      <c r="P7" s="37">
        <f t="shared" si="1"/>
        <v>1765.84</v>
      </c>
      <c r="Q7" s="37">
        <f t="shared" si="1"/>
        <v>1786.14</v>
      </c>
      <c r="R7" s="37">
        <f t="shared" si="1"/>
        <v>1770.4399999999998</v>
      </c>
      <c r="S7" s="37">
        <f t="shared" si="1"/>
        <v>1823.94</v>
      </c>
      <c r="T7" s="37">
        <f t="shared" si="1"/>
        <v>1784.34</v>
      </c>
      <c r="U7" s="37">
        <f t="shared" si="1"/>
        <v>1783.34</v>
      </c>
      <c r="V7" s="37">
        <f t="shared" si="1"/>
        <v>1801.3400000000001</v>
      </c>
      <c r="W7" s="37">
        <f t="shared" si="1"/>
        <v>1812.54</v>
      </c>
      <c r="X7" s="37">
        <f t="shared" si="1"/>
        <v>1825.3400000000001</v>
      </c>
      <c r="Y7" s="37">
        <f t="shared" si="1"/>
        <v>1841.7400000000002</v>
      </c>
      <c r="Z7" s="37">
        <f t="shared" si="1"/>
        <v>1877.3400000000001</v>
      </c>
      <c r="AA7" s="37">
        <f t="shared" si="1"/>
        <v>1894.1399999999999</v>
      </c>
      <c r="AB7" s="37">
        <f t="shared" si="1"/>
        <v>1915.84</v>
      </c>
      <c r="AC7" s="37">
        <f t="shared" si="1"/>
        <v>1889.4399999999998</v>
      </c>
      <c r="AD7" s="37">
        <f t="shared" si="1"/>
        <v>1885.34</v>
      </c>
      <c r="AE7" s="37">
        <f t="shared" si="1"/>
        <v>1868.74</v>
      </c>
      <c r="AF7" s="37">
        <f t="shared" si="1"/>
        <v>1817.34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3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179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2">
        <v>53</v>
      </c>
      <c r="C11" s="52">
        <v>53</v>
      </c>
      <c r="D11" s="52">
        <v>53</v>
      </c>
      <c r="E11" s="52">
        <v>53</v>
      </c>
      <c r="F11" s="52">
        <v>53</v>
      </c>
      <c r="G11" s="52">
        <v>53</v>
      </c>
      <c r="H11" s="52">
        <v>53</v>
      </c>
      <c r="I11" s="52">
        <v>53</v>
      </c>
      <c r="J11" s="52">
        <v>53</v>
      </c>
      <c r="K11" s="52">
        <v>53</v>
      </c>
      <c r="L11" s="52">
        <v>53</v>
      </c>
      <c r="M11" s="50">
        <v>53.2</v>
      </c>
      <c r="N11" s="50">
        <v>53.3</v>
      </c>
      <c r="O11" s="50">
        <v>53</v>
      </c>
      <c r="P11" s="50">
        <v>53.2</v>
      </c>
      <c r="Q11" s="50">
        <v>53.2</v>
      </c>
      <c r="R11" s="50">
        <v>53.1</v>
      </c>
      <c r="S11" s="50">
        <v>53.1</v>
      </c>
      <c r="T11" s="50">
        <v>53.1</v>
      </c>
      <c r="U11" s="50">
        <v>53.1</v>
      </c>
      <c r="V11" s="50">
        <v>53.1</v>
      </c>
      <c r="W11" s="50">
        <v>53.1</v>
      </c>
      <c r="X11" s="50">
        <v>53.1</v>
      </c>
      <c r="Y11" s="50">
        <v>53.1</v>
      </c>
      <c r="Z11" s="50">
        <v>53.1</v>
      </c>
      <c r="AA11" s="52">
        <v>53</v>
      </c>
      <c r="AB11" s="52">
        <v>53</v>
      </c>
      <c r="AC11" s="52">
        <v>53</v>
      </c>
      <c r="AD11" s="52">
        <v>53</v>
      </c>
      <c r="AE11" s="52">
        <v>53</v>
      </c>
      <c r="AF11" s="52">
        <v>53</v>
      </c>
      <c r="AG11" s="133">
        <v>52.4</v>
      </c>
      <c r="AH11" s="54">
        <f>MAX(B11:AF11)</f>
        <v>53.3</v>
      </c>
      <c r="AI11" s="55">
        <f>MIN(B11:AF11)</f>
        <v>53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0</v>
      </c>
      <c r="C12" s="50">
        <v>50.6</v>
      </c>
      <c r="D12" s="50">
        <v>50.6</v>
      </c>
      <c r="E12" s="50">
        <v>50.6</v>
      </c>
      <c r="F12" s="50">
        <v>50.6</v>
      </c>
      <c r="G12" s="50">
        <v>50.6</v>
      </c>
      <c r="H12" s="50">
        <v>50.6</v>
      </c>
      <c r="I12" s="50">
        <v>50.6</v>
      </c>
      <c r="J12" s="50">
        <v>50.6</v>
      </c>
      <c r="K12" s="50">
        <v>50.6</v>
      </c>
      <c r="L12" s="50">
        <v>50.6</v>
      </c>
      <c r="M12" s="50">
        <v>50.4</v>
      </c>
      <c r="N12" s="50">
        <v>50.3</v>
      </c>
      <c r="O12" s="50">
        <v>50.2</v>
      </c>
      <c r="P12" s="50">
        <v>50.3</v>
      </c>
      <c r="Q12" s="50">
        <v>50.2</v>
      </c>
      <c r="R12" s="50">
        <v>50.5</v>
      </c>
      <c r="S12" s="50">
        <v>50.5</v>
      </c>
      <c r="T12" s="50">
        <v>50.5</v>
      </c>
      <c r="U12" s="50">
        <v>50.5</v>
      </c>
      <c r="V12" s="50">
        <v>50.5</v>
      </c>
      <c r="W12" s="50">
        <v>50.5</v>
      </c>
      <c r="X12" s="50">
        <v>50.5</v>
      </c>
      <c r="Y12" s="50">
        <v>50.5</v>
      </c>
      <c r="Z12" s="50">
        <v>50.5</v>
      </c>
      <c r="AA12" s="50">
        <v>50.4</v>
      </c>
      <c r="AB12" s="50">
        <v>50.4</v>
      </c>
      <c r="AC12" s="50">
        <v>50.2</v>
      </c>
      <c r="AD12" s="50">
        <v>50.2</v>
      </c>
      <c r="AE12" s="50">
        <v>50.2</v>
      </c>
      <c r="AF12" s="50">
        <v>50.2</v>
      </c>
      <c r="AG12" s="134">
        <v>50</v>
      </c>
      <c r="AH12" s="54">
        <f t="shared" ref="AH12:AH79" si="2">MAX(B12:AF12)</f>
        <v>50.6</v>
      </c>
      <c r="AI12" s="55">
        <f t="shared" ref="AI12:AI79" si="3">MIN(B12:AF12)</f>
        <v>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45.8</v>
      </c>
      <c r="C13" s="50">
        <v>45.8</v>
      </c>
      <c r="D13" s="50">
        <v>45.8</v>
      </c>
      <c r="E13" s="50">
        <v>45.8</v>
      </c>
      <c r="F13" s="50">
        <v>45.8</v>
      </c>
      <c r="G13" s="50">
        <v>45.8</v>
      </c>
      <c r="H13" s="50">
        <v>45.8</v>
      </c>
      <c r="I13" s="50">
        <v>45.8</v>
      </c>
      <c r="J13" s="50">
        <v>45.8</v>
      </c>
      <c r="K13" s="50">
        <v>45.8</v>
      </c>
      <c r="L13" s="50">
        <v>45.8</v>
      </c>
      <c r="M13" s="50">
        <v>45.8</v>
      </c>
      <c r="N13" s="50">
        <v>45.8</v>
      </c>
      <c r="O13" s="50">
        <v>45.7</v>
      </c>
      <c r="P13" s="50">
        <v>45.9</v>
      </c>
      <c r="Q13" s="50">
        <v>45.6</v>
      </c>
      <c r="R13" s="50">
        <v>45.8</v>
      </c>
      <c r="S13" s="50">
        <v>45.8</v>
      </c>
      <c r="T13" s="50">
        <v>45.8</v>
      </c>
      <c r="U13" s="50">
        <v>45.8</v>
      </c>
      <c r="V13" s="50">
        <v>45.8</v>
      </c>
      <c r="W13" s="50">
        <v>45.8</v>
      </c>
      <c r="X13" s="50">
        <v>45.8</v>
      </c>
      <c r="Y13" s="50">
        <v>45.8</v>
      </c>
      <c r="Z13" s="50">
        <v>45.8</v>
      </c>
      <c r="AA13" s="50">
        <v>45.8</v>
      </c>
      <c r="AB13" s="50">
        <v>45.8</v>
      </c>
      <c r="AC13" s="50">
        <v>45.8</v>
      </c>
      <c r="AD13" s="50">
        <v>45.8</v>
      </c>
      <c r="AE13" s="50">
        <v>45.8</v>
      </c>
      <c r="AF13" s="50">
        <v>45.8</v>
      </c>
      <c r="AG13" s="134">
        <v>45</v>
      </c>
      <c r="AH13" s="54">
        <f t="shared" si="2"/>
        <v>45.9</v>
      </c>
      <c r="AI13" s="55">
        <f t="shared" si="3"/>
        <v>45.6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36</v>
      </c>
      <c r="C14" s="50">
        <v>36</v>
      </c>
      <c r="D14" s="50">
        <v>26</v>
      </c>
      <c r="E14" s="50">
        <v>26</v>
      </c>
      <c r="F14" s="50">
        <v>26</v>
      </c>
      <c r="G14" s="50">
        <v>36</v>
      </c>
      <c r="H14" s="50">
        <v>36</v>
      </c>
      <c r="I14" s="50">
        <v>26</v>
      </c>
      <c r="J14" s="50">
        <v>35</v>
      </c>
      <c r="K14" s="50">
        <v>36</v>
      </c>
      <c r="L14" s="50">
        <v>28</v>
      </c>
      <c r="M14" s="50">
        <v>28</v>
      </c>
      <c r="N14" s="50">
        <v>28</v>
      </c>
      <c r="O14" s="50">
        <v>28</v>
      </c>
      <c r="P14" s="50">
        <v>28</v>
      </c>
      <c r="Q14" s="50">
        <v>28</v>
      </c>
      <c r="R14" s="50">
        <v>28</v>
      </c>
      <c r="S14" s="50">
        <v>28</v>
      </c>
      <c r="T14" s="50">
        <v>28</v>
      </c>
      <c r="U14" s="50">
        <v>28</v>
      </c>
      <c r="V14" s="50">
        <v>28</v>
      </c>
      <c r="W14" s="50">
        <v>28</v>
      </c>
      <c r="X14" s="50">
        <v>28</v>
      </c>
      <c r="Y14" s="50">
        <v>28</v>
      </c>
      <c r="Z14" s="50">
        <v>28</v>
      </c>
      <c r="AA14" s="50">
        <v>28</v>
      </c>
      <c r="AB14" s="50">
        <v>28</v>
      </c>
      <c r="AC14" s="50">
        <v>28</v>
      </c>
      <c r="AD14" s="50">
        <v>30</v>
      </c>
      <c r="AE14" s="50">
        <v>35</v>
      </c>
      <c r="AF14" s="50">
        <v>28</v>
      </c>
      <c r="AG14" s="134">
        <v>42</v>
      </c>
      <c r="AH14" s="54">
        <f t="shared" si="2"/>
        <v>36</v>
      </c>
      <c r="AI14" s="55">
        <f t="shared" si="3"/>
        <v>26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0</v>
      </c>
      <c r="C15" s="50">
        <v>5</v>
      </c>
      <c r="D15" s="50">
        <v>0</v>
      </c>
      <c r="E15" s="50">
        <v>15</v>
      </c>
      <c r="F15" s="50">
        <v>15</v>
      </c>
      <c r="G15" s="50">
        <v>5</v>
      </c>
      <c r="H15" s="50">
        <v>15</v>
      </c>
      <c r="I15" s="50">
        <v>20</v>
      </c>
      <c r="J15" s="50">
        <v>30</v>
      </c>
      <c r="K15" s="50">
        <v>30</v>
      </c>
      <c r="L15" s="50">
        <v>30</v>
      </c>
      <c r="M15" s="50">
        <v>30</v>
      </c>
      <c r="N15" s="50">
        <v>30</v>
      </c>
      <c r="O15" s="50">
        <v>30</v>
      </c>
      <c r="P15" s="50">
        <v>30</v>
      </c>
      <c r="Q15" s="50">
        <v>30</v>
      </c>
      <c r="R15" s="50">
        <v>30</v>
      </c>
      <c r="S15" s="50">
        <v>30</v>
      </c>
      <c r="T15" s="50">
        <v>30</v>
      </c>
      <c r="U15" s="50">
        <v>30</v>
      </c>
      <c r="V15" s="50">
        <v>30</v>
      </c>
      <c r="W15" s="50">
        <v>30</v>
      </c>
      <c r="X15" s="50">
        <v>30</v>
      </c>
      <c r="Y15" s="50">
        <v>30</v>
      </c>
      <c r="Z15" s="50">
        <v>30</v>
      </c>
      <c r="AA15" s="50">
        <v>30</v>
      </c>
      <c r="AB15" s="50">
        <v>30</v>
      </c>
      <c r="AC15" s="50">
        <v>30</v>
      </c>
      <c r="AD15" s="50">
        <v>30</v>
      </c>
      <c r="AE15" s="50">
        <v>30</v>
      </c>
      <c r="AF15" s="50">
        <v>30</v>
      </c>
      <c r="AG15" s="135">
        <v>30</v>
      </c>
      <c r="AH15" s="54">
        <f t="shared" si="2"/>
        <v>30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26.1</v>
      </c>
      <c r="C16" s="50">
        <v>26.1</v>
      </c>
      <c r="D16" s="50">
        <v>26.1</v>
      </c>
      <c r="E16" s="50">
        <v>26.1</v>
      </c>
      <c r="F16" s="50">
        <v>26.1</v>
      </c>
      <c r="G16" s="50">
        <v>26.1</v>
      </c>
      <c r="H16" s="50">
        <v>25.5</v>
      </c>
      <c r="I16" s="50">
        <v>25.5</v>
      </c>
      <c r="J16" s="50">
        <v>25.5</v>
      </c>
      <c r="K16" s="50">
        <v>25.5</v>
      </c>
      <c r="L16" s="50">
        <v>25.5</v>
      </c>
      <c r="M16" s="50">
        <v>26</v>
      </c>
      <c r="N16" s="50">
        <v>26.1</v>
      </c>
      <c r="O16" s="50">
        <v>26.2</v>
      </c>
      <c r="P16" s="50">
        <v>26.4</v>
      </c>
      <c r="Q16" s="50">
        <v>26.4</v>
      </c>
      <c r="R16" s="50">
        <v>26.4</v>
      </c>
      <c r="S16" s="50">
        <v>26.4</v>
      </c>
      <c r="T16" s="50">
        <v>26.4</v>
      </c>
      <c r="U16" s="50">
        <v>26.4</v>
      </c>
      <c r="V16" s="50">
        <v>26.4</v>
      </c>
      <c r="W16" s="50">
        <v>26.4</v>
      </c>
      <c r="X16" s="50">
        <v>26.4</v>
      </c>
      <c r="Y16" s="50">
        <v>26.4</v>
      </c>
      <c r="Z16" s="50">
        <v>26.4</v>
      </c>
      <c r="AA16" s="50">
        <v>26.1</v>
      </c>
      <c r="AB16" s="50">
        <v>26.1</v>
      </c>
      <c r="AC16" s="50">
        <v>26.1</v>
      </c>
      <c r="AD16" s="50">
        <v>26.1</v>
      </c>
      <c r="AE16" s="50">
        <v>26.1</v>
      </c>
      <c r="AF16" s="50">
        <v>26.1</v>
      </c>
      <c r="AG16" s="134">
        <v>25</v>
      </c>
      <c r="AH16" s="54">
        <f t="shared" si="2"/>
        <v>26.4</v>
      </c>
      <c r="AI16" s="55">
        <f t="shared" si="3"/>
        <v>25.5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0</v>
      </c>
      <c r="O17" s="50">
        <v>0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25</v>
      </c>
      <c r="D18" s="50">
        <v>25</v>
      </c>
      <c r="E18" s="50">
        <v>25</v>
      </c>
      <c r="F18" s="50">
        <v>25</v>
      </c>
      <c r="G18" s="50">
        <v>25</v>
      </c>
      <c r="H18" s="50">
        <v>25</v>
      </c>
      <c r="I18" s="50">
        <v>25</v>
      </c>
      <c r="J18" s="50">
        <v>25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25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33.200000000000003</v>
      </c>
      <c r="C19" s="50">
        <v>33.200000000000003</v>
      </c>
      <c r="D19" s="50">
        <v>33.200000000000003</v>
      </c>
      <c r="E19" s="50">
        <v>33.200000000000003</v>
      </c>
      <c r="F19" s="50">
        <v>33.200000000000003</v>
      </c>
      <c r="G19" s="50">
        <v>33.200000000000003</v>
      </c>
      <c r="H19" s="50">
        <v>33.200000000000003</v>
      </c>
      <c r="I19" s="50">
        <v>33.200000000000003</v>
      </c>
      <c r="J19" s="50">
        <v>33.200000000000003</v>
      </c>
      <c r="K19" s="50">
        <v>33.200000000000003</v>
      </c>
      <c r="L19" s="50">
        <v>33.200000000000003</v>
      </c>
      <c r="M19" s="50">
        <v>33.200000000000003</v>
      </c>
      <c r="N19" s="50">
        <v>33.1</v>
      </c>
      <c r="O19" s="50">
        <v>33.1</v>
      </c>
      <c r="P19" s="50">
        <v>33.1</v>
      </c>
      <c r="Q19" s="50">
        <v>33.1</v>
      </c>
      <c r="R19" s="50">
        <v>33.200000000000003</v>
      </c>
      <c r="S19" s="50">
        <v>33.200000000000003</v>
      </c>
      <c r="T19" s="50">
        <v>33.200000000000003</v>
      </c>
      <c r="U19" s="50">
        <v>33.200000000000003</v>
      </c>
      <c r="V19" s="50">
        <v>33.200000000000003</v>
      </c>
      <c r="W19" s="50">
        <v>33.200000000000003</v>
      </c>
      <c r="X19" s="50">
        <v>33.200000000000003</v>
      </c>
      <c r="Y19" s="50">
        <v>33.200000000000003</v>
      </c>
      <c r="Z19" s="50">
        <v>33.200000000000003</v>
      </c>
      <c r="AA19" s="50">
        <v>33.200000000000003</v>
      </c>
      <c r="AB19" s="50">
        <v>33.200000000000003</v>
      </c>
      <c r="AC19" s="50">
        <v>33.200000000000003</v>
      </c>
      <c r="AD19" s="50">
        <v>33.200000000000003</v>
      </c>
      <c r="AE19" s="50">
        <v>33.200000000000003</v>
      </c>
      <c r="AF19" s="50">
        <v>33.200000000000003</v>
      </c>
      <c r="AG19" s="134">
        <v>24.2</v>
      </c>
      <c r="AH19" s="54">
        <f t="shared" si="2"/>
        <v>33.200000000000003</v>
      </c>
      <c r="AI19" s="55">
        <f t="shared" si="3"/>
        <v>33.1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23.7</v>
      </c>
      <c r="C20" s="50">
        <v>23.7</v>
      </c>
      <c r="D20" s="50">
        <v>23.7</v>
      </c>
      <c r="E20" s="50">
        <v>23.7</v>
      </c>
      <c r="F20" s="50">
        <v>23.7</v>
      </c>
      <c r="G20" s="50">
        <v>23.7</v>
      </c>
      <c r="H20" s="50">
        <v>23.7</v>
      </c>
      <c r="I20" s="50">
        <v>23.7</v>
      </c>
      <c r="J20" s="50">
        <v>24</v>
      </c>
      <c r="K20" s="50">
        <v>24</v>
      </c>
      <c r="L20" s="50">
        <v>24</v>
      </c>
      <c r="M20" s="50">
        <v>24</v>
      </c>
      <c r="N20" s="50">
        <v>24</v>
      </c>
      <c r="O20" s="50">
        <v>23.7</v>
      </c>
      <c r="P20" s="50">
        <v>23.7</v>
      </c>
      <c r="Q20" s="50">
        <v>23.7</v>
      </c>
      <c r="R20" s="50">
        <v>24</v>
      </c>
      <c r="S20" s="50">
        <v>24</v>
      </c>
      <c r="T20" s="50">
        <v>24</v>
      </c>
      <c r="U20" s="50">
        <v>24</v>
      </c>
      <c r="V20" s="50">
        <v>24</v>
      </c>
      <c r="W20" s="50">
        <v>24</v>
      </c>
      <c r="X20" s="50">
        <v>24</v>
      </c>
      <c r="Y20" s="50">
        <v>24</v>
      </c>
      <c r="Z20" s="50">
        <v>24</v>
      </c>
      <c r="AA20" s="50">
        <v>23.7</v>
      </c>
      <c r="AB20" s="50">
        <v>23.7</v>
      </c>
      <c r="AC20" s="50">
        <v>23.7</v>
      </c>
      <c r="AD20" s="50">
        <v>23.7</v>
      </c>
      <c r="AE20" s="50">
        <v>23.7</v>
      </c>
      <c r="AF20" s="50">
        <v>23.7</v>
      </c>
      <c r="AG20" s="134">
        <v>23.5</v>
      </c>
      <c r="AH20" s="54">
        <f t="shared" si="2"/>
        <v>24</v>
      </c>
      <c r="AI20" s="55">
        <f t="shared" si="3"/>
        <v>23.7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11</v>
      </c>
      <c r="C21" s="50">
        <v>11</v>
      </c>
      <c r="D21" s="50">
        <v>11</v>
      </c>
      <c r="E21" s="50">
        <v>11</v>
      </c>
      <c r="F21" s="50">
        <v>11</v>
      </c>
      <c r="G21" s="50">
        <v>11</v>
      </c>
      <c r="H21" s="50">
        <v>11</v>
      </c>
      <c r="I21" s="50">
        <v>11</v>
      </c>
      <c r="J21" s="50">
        <v>11</v>
      </c>
      <c r="K21" s="50">
        <v>11</v>
      </c>
      <c r="L21" s="50">
        <v>11</v>
      </c>
      <c r="M21" s="50">
        <v>11</v>
      </c>
      <c r="N21" s="50">
        <v>11</v>
      </c>
      <c r="O21" s="50">
        <v>11</v>
      </c>
      <c r="P21" s="50">
        <v>11</v>
      </c>
      <c r="Q21" s="50">
        <v>11</v>
      </c>
      <c r="R21" s="50">
        <v>11</v>
      </c>
      <c r="S21" s="50">
        <v>11</v>
      </c>
      <c r="T21" s="50">
        <v>16</v>
      </c>
      <c r="U21" s="50">
        <v>16</v>
      </c>
      <c r="V21" s="50">
        <v>16</v>
      </c>
      <c r="W21" s="50">
        <v>16</v>
      </c>
      <c r="X21" s="50">
        <v>16</v>
      </c>
      <c r="Y21" s="50">
        <v>16</v>
      </c>
      <c r="Z21" s="50">
        <v>16</v>
      </c>
      <c r="AA21" s="50">
        <v>16</v>
      </c>
      <c r="AB21" s="50">
        <v>16</v>
      </c>
      <c r="AC21" s="50">
        <v>16</v>
      </c>
      <c r="AD21" s="50">
        <v>16</v>
      </c>
      <c r="AE21" s="50">
        <v>16</v>
      </c>
      <c r="AF21" s="50">
        <v>16</v>
      </c>
      <c r="AG21" s="134">
        <v>22.2</v>
      </c>
      <c r="AH21" s="54">
        <f t="shared" si="2"/>
        <v>16</v>
      </c>
      <c r="AI21" s="55">
        <f t="shared" si="3"/>
        <v>11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134">
        <v>22.1</v>
      </c>
      <c r="AH22" s="54">
        <f t="shared" si="2"/>
        <v>22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11</v>
      </c>
      <c r="Q23" s="50">
        <v>11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11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22</v>
      </c>
      <c r="AI24" s="55">
        <f t="shared" si="3"/>
        <v>22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20</v>
      </c>
      <c r="C25" s="50">
        <v>20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10</v>
      </c>
      <c r="J25" s="50">
        <v>15</v>
      </c>
      <c r="K25" s="50">
        <v>20</v>
      </c>
      <c r="L25" s="50">
        <v>20</v>
      </c>
      <c r="M25" s="50">
        <v>20</v>
      </c>
      <c r="N25" s="50">
        <v>20</v>
      </c>
      <c r="O25" s="50">
        <v>20</v>
      </c>
      <c r="P25" s="50">
        <v>20</v>
      </c>
      <c r="Q25" s="50">
        <v>20</v>
      </c>
      <c r="R25" s="50">
        <v>20</v>
      </c>
      <c r="S25" s="50">
        <v>20</v>
      </c>
      <c r="T25" s="50">
        <v>20</v>
      </c>
      <c r="U25" s="50">
        <v>20</v>
      </c>
      <c r="V25" s="50">
        <v>20</v>
      </c>
      <c r="W25" s="50">
        <v>20</v>
      </c>
      <c r="X25" s="50">
        <v>20</v>
      </c>
      <c r="Y25" s="50">
        <v>20</v>
      </c>
      <c r="Z25" s="50">
        <v>20</v>
      </c>
      <c r="AA25" s="50">
        <v>20</v>
      </c>
      <c r="AB25" s="50">
        <v>20</v>
      </c>
      <c r="AC25" s="50">
        <v>20</v>
      </c>
      <c r="AD25" s="50">
        <v>20</v>
      </c>
      <c r="AE25" s="50">
        <v>20</v>
      </c>
      <c r="AF25" s="50">
        <v>20</v>
      </c>
      <c r="AG25" s="134">
        <v>20</v>
      </c>
      <c r="AH25" s="54">
        <f t="shared" si="2"/>
        <v>20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7.8</v>
      </c>
      <c r="C26" s="50">
        <v>7.8</v>
      </c>
      <c r="D26" s="50">
        <v>7.8</v>
      </c>
      <c r="E26" s="50">
        <v>7.8</v>
      </c>
      <c r="F26" s="50">
        <v>7.8</v>
      </c>
      <c r="G26" s="50">
        <v>7.8</v>
      </c>
      <c r="H26" s="50">
        <v>7.8</v>
      </c>
      <c r="I26" s="50">
        <v>7.8</v>
      </c>
      <c r="J26" s="50">
        <v>7.8</v>
      </c>
      <c r="K26" s="50">
        <v>7.8</v>
      </c>
      <c r="L26" s="50">
        <v>7.8</v>
      </c>
      <c r="M26" s="50">
        <v>7.8</v>
      </c>
      <c r="N26" s="50">
        <v>7.8</v>
      </c>
      <c r="O26" s="50">
        <v>7.8</v>
      </c>
      <c r="P26" s="50">
        <v>14.9</v>
      </c>
      <c r="Q26" s="50">
        <v>14.9</v>
      </c>
      <c r="R26" s="50">
        <v>14.9</v>
      </c>
      <c r="S26" s="50">
        <v>14.9</v>
      </c>
      <c r="T26" s="50">
        <v>14.9</v>
      </c>
      <c r="U26" s="50">
        <v>14.9</v>
      </c>
      <c r="V26" s="50">
        <v>14.9</v>
      </c>
      <c r="W26" s="50">
        <v>14.9</v>
      </c>
      <c r="X26" s="50">
        <v>14.9</v>
      </c>
      <c r="Y26" s="50">
        <v>14.9</v>
      </c>
      <c r="Z26" s="50">
        <v>14.9</v>
      </c>
      <c r="AA26" s="50">
        <v>7.8</v>
      </c>
      <c r="AB26" s="50">
        <v>7.8</v>
      </c>
      <c r="AC26" s="50">
        <v>7.8</v>
      </c>
      <c r="AD26" s="50">
        <v>7.8</v>
      </c>
      <c r="AE26" s="50">
        <v>7.8</v>
      </c>
      <c r="AF26" s="50">
        <v>7.8</v>
      </c>
      <c r="AG26" s="134">
        <v>14.9</v>
      </c>
      <c r="AH26" s="54">
        <f t="shared" si="2"/>
        <v>14.9</v>
      </c>
      <c r="AI26" s="55">
        <f t="shared" si="3"/>
        <v>7.8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0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134">
        <v>13.6</v>
      </c>
      <c r="AH27" s="54">
        <f t="shared" si="2"/>
        <v>0</v>
      </c>
      <c r="AI27" s="55">
        <f t="shared" si="3"/>
        <v>0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12</v>
      </c>
      <c r="C28" s="50">
        <v>12</v>
      </c>
      <c r="D28" s="50">
        <v>12</v>
      </c>
      <c r="E28" s="50">
        <v>12</v>
      </c>
      <c r="F28" s="50">
        <v>12</v>
      </c>
      <c r="G28" s="50">
        <v>12</v>
      </c>
      <c r="H28" s="50">
        <v>12</v>
      </c>
      <c r="I28" s="50">
        <v>12</v>
      </c>
      <c r="J28" s="50">
        <v>12</v>
      </c>
      <c r="K28" s="50">
        <v>12</v>
      </c>
      <c r="L28" s="50">
        <v>12</v>
      </c>
      <c r="M28" s="50">
        <v>12</v>
      </c>
      <c r="N28" s="50">
        <v>12</v>
      </c>
      <c r="O28" s="50">
        <v>12</v>
      </c>
      <c r="P28" s="50">
        <v>12</v>
      </c>
      <c r="Q28" s="50">
        <v>12</v>
      </c>
      <c r="R28" s="50">
        <v>12</v>
      </c>
      <c r="S28" s="50">
        <v>12</v>
      </c>
      <c r="T28" s="50">
        <v>12</v>
      </c>
      <c r="U28" s="50">
        <v>12</v>
      </c>
      <c r="V28" s="50">
        <v>12</v>
      </c>
      <c r="W28" s="50">
        <v>12</v>
      </c>
      <c r="X28" s="50">
        <v>12</v>
      </c>
      <c r="Y28" s="50">
        <v>12</v>
      </c>
      <c r="Z28" s="50">
        <v>12</v>
      </c>
      <c r="AA28" s="50">
        <v>12</v>
      </c>
      <c r="AB28" s="50">
        <v>12</v>
      </c>
      <c r="AC28" s="50">
        <v>12</v>
      </c>
      <c r="AD28" s="50">
        <v>12</v>
      </c>
      <c r="AE28" s="50">
        <v>12</v>
      </c>
      <c r="AF28" s="50">
        <v>12</v>
      </c>
      <c r="AG28" s="134">
        <v>13</v>
      </c>
      <c r="AH28" s="54">
        <f t="shared" si="2"/>
        <v>12</v>
      </c>
      <c r="AI28" s="55">
        <f t="shared" si="3"/>
        <v>12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8</v>
      </c>
      <c r="C29" s="50">
        <v>8</v>
      </c>
      <c r="D29" s="50">
        <v>8</v>
      </c>
      <c r="E29" s="50">
        <v>8</v>
      </c>
      <c r="F29" s="50">
        <v>8</v>
      </c>
      <c r="G29" s="50">
        <v>8</v>
      </c>
      <c r="H29" s="50">
        <v>8</v>
      </c>
      <c r="I29" s="50">
        <v>8</v>
      </c>
      <c r="J29" s="50">
        <v>0</v>
      </c>
      <c r="K29" s="50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134">
        <v>12</v>
      </c>
      <c r="AH29" s="54">
        <f t="shared" si="2"/>
        <v>12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7</v>
      </c>
      <c r="C30" s="50">
        <v>7</v>
      </c>
      <c r="D30" s="50">
        <v>7</v>
      </c>
      <c r="E30" s="50">
        <v>7</v>
      </c>
      <c r="F30" s="50">
        <v>7</v>
      </c>
      <c r="G30" s="50">
        <v>7</v>
      </c>
      <c r="H30" s="50">
        <v>7</v>
      </c>
      <c r="I30" s="50">
        <v>7</v>
      </c>
      <c r="J30" s="50">
        <v>7</v>
      </c>
      <c r="K30" s="50">
        <v>7</v>
      </c>
      <c r="L30" s="50">
        <v>7</v>
      </c>
      <c r="M30" s="50">
        <v>7</v>
      </c>
      <c r="N30" s="50">
        <v>7</v>
      </c>
      <c r="O30" s="50">
        <v>7</v>
      </c>
      <c r="P30" s="50">
        <v>7</v>
      </c>
      <c r="Q30" s="50">
        <v>7</v>
      </c>
      <c r="R30" s="50">
        <v>7</v>
      </c>
      <c r="S30" s="50">
        <v>7</v>
      </c>
      <c r="T30" s="50">
        <v>7</v>
      </c>
      <c r="U30" s="50">
        <v>7</v>
      </c>
      <c r="V30" s="50">
        <v>7</v>
      </c>
      <c r="W30" s="50">
        <v>7</v>
      </c>
      <c r="X30" s="50">
        <v>7</v>
      </c>
      <c r="Y30" s="50">
        <v>7</v>
      </c>
      <c r="Z30" s="50">
        <v>7</v>
      </c>
      <c r="AA30" s="50">
        <v>7</v>
      </c>
      <c r="AB30" s="50">
        <v>7</v>
      </c>
      <c r="AC30" s="50">
        <v>7</v>
      </c>
      <c r="AD30" s="50">
        <v>7</v>
      </c>
      <c r="AE30" s="50">
        <v>7</v>
      </c>
      <c r="AF30" s="50">
        <v>7</v>
      </c>
      <c r="AG30" s="134">
        <v>12</v>
      </c>
      <c r="AH30" s="54">
        <f t="shared" si="2"/>
        <v>7</v>
      </c>
      <c r="AI30" s="55">
        <f t="shared" si="3"/>
        <v>7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8.5</v>
      </c>
      <c r="C31" s="50">
        <v>8.5</v>
      </c>
      <c r="D31" s="50">
        <v>8.5</v>
      </c>
      <c r="E31" s="50">
        <v>8.5</v>
      </c>
      <c r="F31" s="50">
        <v>8.5</v>
      </c>
      <c r="G31" s="50">
        <v>8.5</v>
      </c>
      <c r="H31" s="50">
        <v>8.5</v>
      </c>
      <c r="I31" s="50">
        <v>8.5</v>
      </c>
      <c r="J31" s="50">
        <v>8.5</v>
      </c>
      <c r="K31" s="50">
        <v>8.5</v>
      </c>
      <c r="L31" s="50">
        <v>8.5</v>
      </c>
      <c r="M31" s="50">
        <v>8.5</v>
      </c>
      <c r="N31" s="50">
        <v>8.5</v>
      </c>
      <c r="O31" s="50">
        <v>8.5</v>
      </c>
      <c r="P31" s="50">
        <v>8.5</v>
      </c>
      <c r="Q31" s="50">
        <v>8.5</v>
      </c>
      <c r="R31" s="50">
        <v>8.5</v>
      </c>
      <c r="S31" s="50">
        <v>8.5</v>
      </c>
      <c r="T31" s="50">
        <v>8.5</v>
      </c>
      <c r="U31" s="50">
        <v>8.5</v>
      </c>
      <c r="V31" s="50">
        <v>8.5</v>
      </c>
      <c r="W31" s="50">
        <v>8.5</v>
      </c>
      <c r="X31" s="50">
        <v>8.5</v>
      </c>
      <c r="Y31" s="50">
        <v>8.5</v>
      </c>
      <c r="Z31" s="50">
        <v>8.5</v>
      </c>
      <c r="AA31" s="50">
        <v>8.5</v>
      </c>
      <c r="AB31" s="50">
        <v>8.5</v>
      </c>
      <c r="AC31" s="50">
        <v>8.5</v>
      </c>
      <c r="AD31" s="50">
        <v>8.5</v>
      </c>
      <c r="AE31" s="50">
        <v>8.5</v>
      </c>
      <c r="AF31" s="50">
        <v>8.5</v>
      </c>
      <c r="AG31" s="178">
        <v>22</v>
      </c>
      <c r="AH31" s="54">
        <f>MAX(B31:AF31)</f>
        <v>8.5</v>
      </c>
      <c r="AI31" s="55">
        <f>MIN(B31:AF31)</f>
        <v>8.5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11.8</v>
      </c>
      <c r="C32" s="50">
        <v>11.8</v>
      </c>
      <c r="D32" s="50">
        <v>11.8</v>
      </c>
      <c r="E32" s="50">
        <v>11.8</v>
      </c>
      <c r="F32" s="50">
        <v>11.8</v>
      </c>
      <c r="G32" s="50">
        <v>11.8</v>
      </c>
      <c r="H32" s="50">
        <v>11.8</v>
      </c>
      <c r="I32" s="50">
        <v>11.8</v>
      </c>
      <c r="J32" s="50">
        <v>11.8</v>
      </c>
      <c r="K32" s="50">
        <v>11.8</v>
      </c>
      <c r="L32" s="50">
        <v>11.8</v>
      </c>
      <c r="M32" s="50">
        <v>11.8</v>
      </c>
      <c r="N32" s="50">
        <v>11.8</v>
      </c>
      <c r="O32" s="50">
        <v>11.8</v>
      </c>
      <c r="P32" s="50">
        <v>11.8</v>
      </c>
      <c r="Q32" s="50">
        <v>11.8</v>
      </c>
      <c r="R32" s="50">
        <v>11.8</v>
      </c>
      <c r="S32" s="50">
        <v>11.8</v>
      </c>
      <c r="T32" s="50">
        <v>11.8</v>
      </c>
      <c r="U32" s="50">
        <v>11.8</v>
      </c>
      <c r="V32" s="50">
        <v>11.8</v>
      </c>
      <c r="W32" s="50">
        <v>11.8</v>
      </c>
      <c r="X32" s="50">
        <v>11.8</v>
      </c>
      <c r="Y32" s="50">
        <v>11.8</v>
      </c>
      <c r="Z32" s="50">
        <v>11.8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135">
        <v>11.88</v>
      </c>
      <c r="AH32" s="54">
        <f t="shared" si="2"/>
        <v>11.8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11</v>
      </c>
      <c r="D33" s="50">
        <v>11</v>
      </c>
      <c r="E33" s="50">
        <v>11</v>
      </c>
      <c r="F33" s="50">
        <v>11</v>
      </c>
      <c r="G33" s="50">
        <v>11</v>
      </c>
      <c r="H33" s="50">
        <v>11</v>
      </c>
      <c r="I33" s="50">
        <v>11</v>
      </c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11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8.3000000000000007</v>
      </c>
      <c r="C34" s="50">
        <v>8.3000000000000007</v>
      </c>
      <c r="D34" s="50">
        <v>8.3000000000000007</v>
      </c>
      <c r="E34" s="50">
        <v>8.3000000000000007</v>
      </c>
      <c r="F34" s="50">
        <v>8.3000000000000007</v>
      </c>
      <c r="G34" s="50">
        <v>8.3000000000000007</v>
      </c>
      <c r="H34" s="50">
        <v>8.3000000000000007</v>
      </c>
      <c r="I34" s="50">
        <v>8.3000000000000007</v>
      </c>
      <c r="J34" s="50">
        <v>8.3000000000000007</v>
      </c>
      <c r="K34" s="50">
        <v>8.3000000000000007</v>
      </c>
      <c r="L34" s="50">
        <v>8.3000000000000007</v>
      </c>
      <c r="M34" s="50">
        <v>8.3000000000000007</v>
      </c>
      <c r="N34" s="50">
        <v>8.3000000000000007</v>
      </c>
      <c r="O34" s="50">
        <v>8.3000000000000007</v>
      </c>
      <c r="P34" s="50">
        <v>8.3000000000000007</v>
      </c>
      <c r="Q34" s="50">
        <v>8.3000000000000007</v>
      </c>
      <c r="R34" s="50">
        <v>8.3000000000000007</v>
      </c>
      <c r="S34" s="50">
        <v>8.3000000000000007</v>
      </c>
      <c r="T34" s="50">
        <v>8.3000000000000007</v>
      </c>
      <c r="U34" s="50">
        <v>8.3000000000000007</v>
      </c>
      <c r="V34" s="50">
        <v>8.3000000000000007</v>
      </c>
      <c r="W34" s="50">
        <v>8.3000000000000007</v>
      </c>
      <c r="X34" s="50">
        <v>8.3000000000000007</v>
      </c>
      <c r="Y34" s="50">
        <v>8.3000000000000007</v>
      </c>
      <c r="Z34" s="50">
        <v>8.3000000000000007</v>
      </c>
      <c r="AA34" s="50">
        <v>8.3000000000000007</v>
      </c>
      <c r="AB34" s="50">
        <v>8.3000000000000007</v>
      </c>
      <c r="AC34" s="50">
        <v>8.3000000000000007</v>
      </c>
      <c r="AD34" s="50">
        <v>8.3000000000000007</v>
      </c>
      <c r="AE34" s="50">
        <v>8.3000000000000007</v>
      </c>
      <c r="AF34" s="50">
        <v>8.3000000000000007</v>
      </c>
      <c r="AG34" s="136">
        <v>10</v>
      </c>
      <c r="AH34" s="54">
        <f t="shared" si="2"/>
        <v>8.3000000000000007</v>
      </c>
      <c r="AI34" s="55">
        <f t="shared" si="3"/>
        <v>8.3000000000000007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5</v>
      </c>
      <c r="N35" s="50">
        <v>5</v>
      </c>
      <c r="O35" s="50">
        <v>5</v>
      </c>
      <c r="P35" s="50">
        <v>5</v>
      </c>
      <c r="Q35" s="50">
        <v>5</v>
      </c>
      <c r="R35" s="50">
        <v>5</v>
      </c>
      <c r="S35" s="50">
        <v>5</v>
      </c>
      <c r="T35" s="50">
        <v>5</v>
      </c>
      <c r="U35" s="50">
        <v>5</v>
      </c>
      <c r="V35" s="50">
        <v>5</v>
      </c>
      <c r="W35" s="50">
        <v>5</v>
      </c>
      <c r="X35" s="50">
        <v>5</v>
      </c>
      <c r="Y35" s="50">
        <v>5</v>
      </c>
      <c r="Z35" s="50">
        <v>5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136">
        <v>10</v>
      </c>
      <c r="AH35" s="54">
        <f t="shared" si="2"/>
        <v>5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300</v>
      </c>
      <c r="C36" s="62">
        <v>300</v>
      </c>
      <c r="D36" s="62">
        <v>300</v>
      </c>
      <c r="E36" s="62">
        <v>300</v>
      </c>
      <c r="F36" s="62">
        <v>300</v>
      </c>
      <c r="G36" s="62">
        <v>300</v>
      </c>
      <c r="H36" s="62">
        <v>300</v>
      </c>
      <c r="I36" s="62">
        <v>300</v>
      </c>
      <c r="J36" s="62">
        <v>300</v>
      </c>
      <c r="K36" s="62">
        <v>300</v>
      </c>
      <c r="L36" s="62">
        <v>300</v>
      </c>
      <c r="M36" s="62">
        <v>300</v>
      </c>
      <c r="N36" s="62">
        <v>300</v>
      </c>
      <c r="O36" s="62">
        <v>300</v>
      </c>
      <c r="P36" s="62">
        <v>300</v>
      </c>
      <c r="Q36" s="62">
        <v>300</v>
      </c>
      <c r="R36" s="62">
        <v>300</v>
      </c>
      <c r="S36" s="62">
        <v>300</v>
      </c>
      <c r="T36" s="62">
        <v>300</v>
      </c>
      <c r="U36" s="62">
        <v>300</v>
      </c>
      <c r="V36" s="62">
        <v>300</v>
      </c>
      <c r="W36" s="62">
        <v>300</v>
      </c>
      <c r="X36" s="62">
        <v>300</v>
      </c>
      <c r="Y36" s="62">
        <v>300</v>
      </c>
      <c r="Z36" s="62">
        <v>300</v>
      </c>
      <c r="AA36" s="62">
        <v>300</v>
      </c>
      <c r="AB36" s="62">
        <v>300</v>
      </c>
      <c r="AC36" s="62">
        <v>300</v>
      </c>
      <c r="AD36" s="62">
        <v>300</v>
      </c>
      <c r="AE36" s="62">
        <v>300</v>
      </c>
      <c r="AF36" s="62">
        <v>300</v>
      </c>
      <c r="AG36" s="136">
        <v>85</v>
      </c>
      <c r="AH36" s="54">
        <f t="shared" si="2"/>
        <v>300</v>
      </c>
      <c r="AI36" s="55">
        <f t="shared" si="3"/>
        <v>300</v>
      </c>
      <c r="AK36" s="56"/>
    </row>
    <row r="37" spans="1:88" ht="15.75" thickBot="1" x14ac:dyDescent="0.3">
      <c r="A37" s="63" t="s">
        <v>21</v>
      </c>
      <c r="B37" s="64">
        <f>98.3+58.6</f>
        <v>156.9</v>
      </c>
      <c r="C37" s="64">
        <f>98.3+58.6</f>
        <v>156.9</v>
      </c>
      <c r="D37" s="64">
        <f>98.3+58.6</f>
        <v>156.9</v>
      </c>
      <c r="E37" s="62">
        <f>65.9+98.6</f>
        <v>164.5</v>
      </c>
      <c r="F37" s="62">
        <f>66+98.7</f>
        <v>164.7</v>
      </c>
      <c r="G37" s="62">
        <f>66+98.4</f>
        <v>164.4</v>
      </c>
      <c r="H37" s="62">
        <f>66+98.4</f>
        <v>164.4</v>
      </c>
      <c r="I37" s="62">
        <f>64.7+98.1</f>
        <v>162.80000000000001</v>
      </c>
      <c r="J37" s="62">
        <f>64.7+98.1</f>
        <v>162.80000000000001</v>
      </c>
      <c r="K37" s="62">
        <f>65.3+97.3</f>
        <v>162.6</v>
      </c>
      <c r="L37" s="62">
        <f>66.2+97.3</f>
        <v>163.5</v>
      </c>
      <c r="M37" s="62">
        <f>97.4+65.9</f>
        <v>163.30000000000001</v>
      </c>
      <c r="N37" s="62">
        <f>132.2</f>
        <v>132.19999999999999</v>
      </c>
      <c r="O37" s="62">
        <f>87.8+32.2</f>
        <v>120</v>
      </c>
      <c r="P37" s="62">
        <f>88.4+72.7</f>
        <v>161.10000000000002</v>
      </c>
      <c r="Q37" s="62">
        <f>86.6+73.1</f>
        <v>159.69999999999999</v>
      </c>
      <c r="R37" s="62">
        <f t="shared" ref="R37:X37" si="4">98.8+73.3</f>
        <v>172.1</v>
      </c>
      <c r="S37" s="62">
        <f t="shared" si="4"/>
        <v>172.1</v>
      </c>
      <c r="T37" s="62">
        <f t="shared" si="4"/>
        <v>172.1</v>
      </c>
      <c r="U37" s="62">
        <f t="shared" si="4"/>
        <v>172.1</v>
      </c>
      <c r="V37" s="62">
        <f t="shared" si="4"/>
        <v>172.1</v>
      </c>
      <c r="W37" s="62">
        <f t="shared" si="4"/>
        <v>172.1</v>
      </c>
      <c r="X37" s="62">
        <f t="shared" si="4"/>
        <v>172.1</v>
      </c>
      <c r="Y37" s="64">
        <v>172</v>
      </c>
      <c r="Z37" s="64">
        <f>60+62</f>
        <v>122</v>
      </c>
      <c r="AA37" s="64">
        <v>137</v>
      </c>
      <c r="AB37" s="64">
        <f>61.2+76.1</f>
        <v>137.30000000000001</v>
      </c>
      <c r="AC37" s="64">
        <f>54.4+76.9</f>
        <v>131.30000000000001</v>
      </c>
      <c r="AD37" s="64">
        <f t="shared" ref="AD37:AE37" si="5">54.4+76.9</f>
        <v>131.30000000000001</v>
      </c>
      <c r="AE37" s="64">
        <f t="shared" si="5"/>
        <v>131.30000000000001</v>
      </c>
      <c r="AF37" s="64">
        <f>63+95.7</f>
        <v>158.69999999999999</v>
      </c>
      <c r="AG37" s="136">
        <v>240</v>
      </c>
      <c r="AH37" s="54">
        <f t="shared" si="2"/>
        <v>172.1</v>
      </c>
      <c r="AI37" s="55">
        <f t="shared" si="3"/>
        <v>120</v>
      </c>
      <c r="AK37" s="56"/>
    </row>
    <row r="38" spans="1:88" ht="15.75" thickBot="1" x14ac:dyDescent="0.3">
      <c r="A38" s="131" t="s">
        <v>22</v>
      </c>
      <c r="B38" s="66">
        <f t="shared" ref="B38:AG38" si="6">SUM(B11:B36)</f>
        <v>739.2</v>
      </c>
      <c r="C38" s="66">
        <f t="shared" si="6"/>
        <v>794.8</v>
      </c>
      <c r="D38" s="66">
        <f t="shared" si="6"/>
        <v>759.8</v>
      </c>
      <c r="E38" s="66">
        <f t="shared" si="6"/>
        <v>774.8</v>
      </c>
      <c r="F38" s="66">
        <f t="shared" si="6"/>
        <v>774.8</v>
      </c>
      <c r="G38" s="66">
        <f t="shared" si="6"/>
        <v>774.8</v>
      </c>
      <c r="H38" s="66">
        <f t="shared" si="6"/>
        <v>784.2</v>
      </c>
      <c r="I38" s="66">
        <f t="shared" si="6"/>
        <v>789.2</v>
      </c>
      <c r="J38" s="66">
        <f t="shared" si="6"/>
        <v>805.5</v>
      </c>
      <c r="K38" s="66">
        <f t="shared" si="6"/>
        <v>823.5</v>
      </c>
      <c r="L38" s="66">
        <f t="shared" si="6"/>
        <v>815.5</v>
      </c>
      <c r="M38" s="66">
        <f t="shared" si="6"/>
        <v>821</v>
      </c>
      <c r="N38" s="66">
        <f t="shared" si="6"/>
        <v>796</v>
      </c>
      <c r="O38" s="66">
        <f t="shared" si="6"/>
        <v>795.30000000000007</v>
      </c>
      <c r="P38" s="66">
        <f t="shared" si="6"/>
        <v>817.1</v>
      </c>
      <c r="Q38" s="66">
        <f t="shared" si="6"/>
        <v>816.7</v>
      </c>
      <c r="R38" s="66">
        <f t="shared" si="6"/>
        <v>828.49999999999989</v>
      </c>
      <c r="S38" s="66">
        <f t="shared" si="6"/>
        <v>828.49999999999989</v>
      </c>
      <c r="T38" s="66">
        <f t="shared" si="6"/>
        <v>833.49999999999989</v>
      </c>
      <c r="U38" s="66">
        <f t="shared" si="6"/>
        <v>833.49999999999989</v>
      </c>
      <c r="V38" s="66">
        <f t="shared" si="6"/>
        <v>833.49999999999989</v>
      </c>
      <c r="W38" s="66">
        <f t="shared" si="6"/>
        <v>833.49999999999989</v>
      </c>
      <c r="X38" s="66">
        <f t="shared" si="6"/>
        <v>833.49999999999989</v>
      </c>
      <c r="Y38" s="66">
        <f t="shared" si="6"/>
        <v>833.49999999999989</v>
      </c>
      <c r="Z38" s="66">
        <f t="shared" si="6"/>
        <v>833.49999999999989</v>
      </c>
      <c r="AA38" s="66">
        <f t="shared" si="6"/>
        <v>800.8</v>
      </c>
      <c r="AB38" s="66">
        <f t="shared" si="6"/>
        <v>800.8</v>
      </c>
      <c r="AC38" s="66">
        <f t="shared" si="6"/>
        <v>800.6</v>
      </c>
      <c r="AD38" s="66">
        <f t="shared" si="6"/>
        <v>802.6</v>
      </c>
      <c r="AE38" s="66">
        <f t="shared" si="6"/>
        <v>807.6</v>
      </c>
      <c r="AF38" s="66">
        <f t="shared" si="6"/>
        <v>800.6</v>
      </c>
      <c r="AG38" s="143">
        <f t="shared" si="6"/>
        <v>665.78</v>
      </c>
      <c r="AH38" s="54">
        <f t="shared" si="2"/>
        <v>833.49999999999989</v>
      </c>
      <c r="AI38" s="55">
        <f t="shared" si="3"/>
        <v>739.2</v>
      </c>
      <c r="AK38" s="56"/>
    </row>
    <row r="39" spans="1:88" x14ac:dyDescent="0.25">
      <c r="A39" s="159" t="s">
        <v>130</v>
      </c>
      <c r="B39" s="50">
        <v>456</v>
      </c>
      <c r="C39" s="50">
        <v>456</v>
      </c>
      <c r="D39" s="50">
        <v>456</v>
      </c>
      <c r="E39" s="50">
        <v>456</v>
      </c>
      <c r="F39" s="50">
        <v>456</v>
      </c>
      <c r="G39" s="50">
        <v>456</v>
      </c>
      <c r="H39" s="50">
        <v>456</v>
      </c>
      <c r="I39" s="50">
        <v>456</v>
      </c>
      <c r="J39" s="50">
        <v>456</v>
      </c>
      <c r="K39" s="50">
        <v>456</v>
      </c>
      <c r="L39" s="50">
        <v>456</v>
      </c>
      <c r="M39" s="50">
        <v>456</v>
      </c>
      <c r="N39" s="50">
        <v>456</v>
      </c>
      <c r="O39" s="50">
        <v>456</v>
      </c>
      <c r="P39" s="50">
        <v>456</v>
      </c>
      <c r="Q39" s="50">
        <v>456</v>
      </c>
      <c r="R39" s="50">
        <v>456</v>
      </c>
      <c r="S39" s="50">
        <v>456</v>
      </c>
      <c r="T39" s="50">
        <v>456</v>
      </c>
      <c r="U39" s="50">
        <v>456</v>
      </c>
      <c r="V39" s="50">
        <v>456</v>
      </c>
      <c r="W39" s="50">
        <v>456</v>
      </c>
      <c r="X39" s="50">
        <v>456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456</v>
      </c>
      <c r="AF39" s="50">
        <v>456</v>
      </c>
      <c r="AG39" s="135">
        <v>456</v>
      </c>
      <c r="AH39" s="54">
        <f t="shared" si="2"/>
        <v>456</v>
      </c>
      <c r="AI39" s="55">
        <f t="shared" si="3"/>
        <v>456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0</v>
      </c>
      <c r="O41" s="70">
        <v>0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0</v>
      </c>
      <c r="AK41" s="56"/>
    </row>
    <row r="42" spans="1:88" ht="15.75" thickBot="1" x14ac:dyDescent="0.3">
      <c r="A42" s="132" t="s">
        <v>129</v>
      </c>
      <c r="B42" s="66">
        <f>SUM(B39:B41)</f>
        <v>538</v>
      </c>
      <c r="C42" s="66">
        <f t="shared" ref="C42:AG42" si="7">SUM(C39:C41)</f>
        <v>538</v>
      </c>
      <c r="D42" s="66">
        <f t="shared" si="7"/>
        <v>538</v>
      </c>
      <c r="E42" s="66">
        <f t="shared" si="7"/>
        <v>538</v>
      </c>
      <c r="F42" s="66">
        <f t="shared" si="7"/>
        <v>538</v>
      </c>
      <c r="G42" s="66">
        <f t="shared" si="7"/>
        <v>538</v>
      </c>
      <c r="H42" s="66">
        <f t="shared" si="7"/>
        <v>538</v>
      </c>
      <c r="I42" s="66">
        <f t="shared" si="7"/>
        <v>538</v>
      </c>
      <c r="J42" s="66">
        <f t="shared" si="7"/>
        <v>538</v>
      </c>
      <c r="K42" s="66">
        <f t="shared" si="7"/>
        <v>538</v>
      </c>
      <c r="L42" s="66">
        <f t="shared" si="7"/>
        <v>538</v>
      </c>
      <c r="M42" s="66">
        <f t="shared" si="7"/>
        <v>538</v>
      </c>
      <c r="N42" s="66">
        <f t="shared" si="7"/>
        <v>516</v>
      </c>
      <c r="O42" s="66">
        <f t="shared" si="7"/>
        <v>516</v>
      </c>
      <c r="P42" s="66">
        <f t="shared" si="7"/>
        <v>538</v>
      </c>
      <c r="Q42" s="66">
        <f t="shared" si="7"/>
        <v>538</v>
      </c>
      <c r="R42" s="66">
        <f t="shared" si="7"/>
        <v>538</v>
      </c>
      <c r="S42" s="66">
        <f t="shared" si="7"/>
        <v>538</v>
      </c>
      <c r="T42" s="66">
        <f t="shared" si="7"/>
        <v>538</v>
      </c>
      <c r="U42" s="66">
        <f t="shared" si="7"/>
        <v>538</v>
      </c>
      <c r="V42" s="66">
        <f t="shared" si="7"/>
        <v>538</v>
      </c>
      <c r="W42" s="66">
        <f t="shared" si="7"/>
        <v>538</v>
      </c>
      <c r="X42" s="66">
        <f t="shared" si="7"/>
        <v>538</v>
      </c>
      <c r="Y42" s="66">
        <f t="shared" si="7"/>
        <v>538</v>
      </c>
      <c r="Z42" s="66">
        <f t="shared" si="7"/>
        <v>538</v>
      </c>
      <c r="AA42" s="66">
        <f t="shared" si="7"/>
        <v>538</v>
      </c>
      <c r="AB42" s="66">
        <f t="shared" si="7"/>
        <v>538</v>
      </c>
      <c r="AC42" s="66">
        <f t="shared" si="7"/>
        <v>538</v>
      </c>
      <c r="AD42" s="66">
        <f t="shared" si="7"/>
        <v>538</v>
      </c>
      <c r="AE42" s="66">
        <f t="shared" si="7"/>
        <v>538</v>
      </c>
      <c r="AF42" s="66">
        <f t="shared" si="7"/>
        <v>538</v>
      </c>
      <c r="AG42" s="143">
        <f t="shared" si="7"/>
        <v>538.1</v>
      </c>
      <c r="AH42" s="54">
        <f t="shared" si="2"/>
        <v>538</v>
      </c>
      <c r="AI42" s="55">
        <f t="shared" si="3"/>
        <v>516</v>
      </c>
      <c r="AK42" s="56"/>
    </row>
    <row r="43" spans="1:88" x14ac:dyDescent="0.25">
      <c r="A43" s="57" t="s">
        <v>23</v>
      </c>
      <c r="B43" s="50">
        <v>138</v>
      </c>
      <c r="C43" s="50">
        <v>138</v>
      </c>
      <c r="D43" s="50">
        <v>138</v>
      </c>
      <c r="E43" s="50">
        <v>138</v>
      </c>
      <c r="F43" s="50">
        <v>136.6</v>
      </c>
      <c r="G43" s="50">
        <v>137.30000000000001</v>
      </c>
      <c r="H43" s="50">
        <v>137.30000000000001</v>
      </c>
      <c r="I43" s="50">
        <v>138.1</v>
      </c>
      <c r="J43" s="50">
        <v>138.6</v>
      </c>
      <c r="K43" s="50">
        <v>138.30000000000001</v>
      </c>
      <c r="L43" s="50">
        <v>138.1</v>
      </c>
      <c r="M43" s="50">
        <v>138.30000000000001</v>
      </c>
      <c r="N43" s="50">
        <v>138.1</v>
      </c>
      <c r="O43" s="50">
        <v>137.69999999999999</v>
      </c>
      <c r="P43" s="50">
        <v>137.6</v>
      </c>
      <c r="Q43" s="50">
        <v>136</v>
      </c>
      <c r="R43" s="50">
        <v>136.5</v>
      </c>
      <c r="S43" s="50">
        <v>137</v>
      </c>
      <c r="T43" s="50">
        <v>137</v>
      </c>
      <c r="U43" s="50">
        <v>137</v>
      </c>
      <c r="V43" s="50">
        <v>137</v>
      </c>
      <c r="W43" s="50">
        <v>137</v>
      </c>
      <c r="X43" s="50">
        <v>137</v>
      </c>
      <c r="Y43" s="50">
        <v>137</v>
      </c>
      <c r="Z43" s="50">
        <v>137</v>
      </c>
      <c r="AA43" s="50">
        <v>137</v>
      </c>
      <c r="AB43" s="50">
        <v>137</v>
      </c>
      <c r="AC43" s="50">
        <v>137</v>
      </c>
      <c r="AD43" s="50">
        <v>137</v>
      </c>
      <c r="AE43" s="50">
        <v>137</v>
      </c>
      <c r="AF43" s="50">
        <v>137</v>
      </c>
      <c r="AG43" s="135">
        <v>144</v>
      </c>
      <c r="AH43" s="54">
        <f t="shared" si="2"/>
        <v>138.6</v>
      </c>
      <c r="AI43" s="55">
        <f t="shared" si="3"/>
        <v>136</v>
      </c>
      <c r="AK43" s="56"/>
    </row>
    <row r="44" spans="1:88" x14ac:dyDescent="0.25">
      <c r="A44" s="60" t="s">
        <v>24</v>
      </c>
      <c r="B44" s="48">
        <v>0</v>
      </c>
      <c r="C44" s="48">
        <v>50.8</v>
      </c>
      <c r="D44" s="48">
        <v>55.4</v>
      </c>
      <c r="E44" s="48">
        <v>0</v>
      </c>
      <c r="F44" s="48">
        <v>69.7</v>
      </c>
      <c r="G44" s="48">
        <v>70.099999999999994</v>
      </c>
      <c r="H44" s="48">
        <v>70.5</v>
      </c>
      <c r="I44" s="48">
        <v>70.2</v>
      </c>
      <c r="J44" s="48">
        <v>71.5</v>
      </c>
      <c r="K44" s="48">
        <v>70.599999999999994</v>
      </c>
      <c r="L44" s="48">
        <v>70.7</v>
      </c>
      <c r="M44" s="50">
        <v>70.2</v>
      </c>
      <c r="N44" s="50">
        <v>70</v>
      </c>
      <c r="O44" s="50">
        <v>70.7</v>
      </c>
      <c r="P44" s="50">
        <v>70.900000000000006</v>
      </c>
      <c r="Q44" s="50">
        <v>71</v>
      </c>
      <c r="R44" s="50">
        <v>71.900000000000006</v>
      </c>
      <c r="S44" s="48">
        <v>70</v>
      </c>
      <c r="T44" s="48">
        <v>70</v>
      </c>
      <c r="U44" s="48">
        <v>70</v>
      </c>
      <c r="V44" s="48">
        <v>71.599999999999994</v>
      </c>
      <c r="W44" s="48">
        <v>71.599999999999994</v>
      </c>
      <c r="X44" s="48">
        <v>71.599999999999994</v>
      </c>
      <c r="Y44" s="48">
        <v>71.599999999999994</v>
      </c>
      <c r="Z44" s="48">
        <v>71.599999999999994</v>
      </c>
      <c r="AA44" s="48">
        <v>71.599999999999994</v>
      </c>
      <c r="AB44" s="48">
        <v>71.599999999999994</v>
      </c>
      <c r="AC44" s="48">
        <v>71.599999999999994</v>
      </c>
      <c r="AD44" s="48">
        <v>71.599999999999994</v>
      </c>
      <c r="AE44" s="48">
        <v>71.599999999999994</v>
      </c>
      <c r="AF44" s="48">
        <v>71.599999999999994</v>
      </c>
      <c r="AG44" s="136">
        <v>70</v>
      </c>
      <c r="AH44" s="54">
        <f t="shared" si="2"/>
        <v>71.900000000000006</v>
      </c>
      <c r="AI44" s="55">
        <f t="shared" si="3"/>
        <v>0</v>
      </c>
      <c r="AK44" s="56"/>
    </row>
    <row r="45" spans="1:88" x14ac:dyDescent="0.25">
      <c r="A45" s="60" t="s">
        <v>25</v>
      </c>
      <c r="B45" s="48">
        <v>62</v>
      </c>
      <c r="C45" s="48">
        <v>52.5</v>
      </c>
      <c r="D45" s="48">
        <v>62</v>
      </c>
      <c r="E45" s="48">
        <v>62</v>
      </c>
      <c r="F45" s="48">
        <v>62.1</v>
      </c>
      <c r="G45" s="48">
        <v>62.1</v>
      </c>
      <c r="H45" s="48">
        <v>61.1</v>
      </c>
      <c r="I45" s="48">
        <v>61.6</v>
      </c>
      <c r="J45" s="48">
        <v>61.6</v>
      </c>
      <c r="K45" s="48">
        <v>61.1</v>
      </c>
      <c r="L45" s="48">
        <v>60.5</v>
      </c>
      <c r="M45" s="50">
        <v>60.5</v>
      </c>
      <c r="N45" s="50">
        <v>60.5</v>
      </c>
      <c r="O45" s="50">
        <v>60.6</v>
      </c>
      <c r="P45" s="50">
        <v>60.8</v>
      </c>
      <c r="Q45" s="50">
        <v>61.2</v>
      </c>
      <c r="R45" s="50">
        <v>61.5</v>
      </c>
      <c r="S45" s="48">
        <v>62</v>
      </c>
      <c r="T45" s="48">
        <v>62</v>
      </c>
      <c r="U45" s="48">
        <v>62</v>
      </c>
      <c r="V45" s="48">
        <v>62</v>
      </c>
      <c r="W45" s="48">
        <v>62</v>
      </c>
      <c r="X45" s="48">
        <v>62</v>
      </c>
      <c r="Y45" s="48">
        <v>62</v>
      </c>
      <c r="Z45" s="48">
        <v>62</v>
      </c>
      <c r="AA45" s="48">
        <v>62</v>
      </c>
      <c r="AB45" s="48">
        <v>62</v>
      </c>
      <c r="AC45" s="48">
        <v>62</v>
      </c>
      <c r="AD45" s="48">
        <v>62</v>
      </c>
      <c r="AE45" s="48">
        <v>62</v>
      </c>
      <c r="AF45" s="48">
        <v>62</v>
      </c>
      <c r="AG45" s="136">
        <v>69</v>
      </c>
      <c r="AH45" s="54">
        <f t="shared" si="2"/>
        <v>62.1</v>
      </c>
      <c r="AI45" s="55">
        <f t="shared" si="3"/>
        <v>52.5</v>
      </c>
      <c r="AK45" s="56"/>
    </row>
    <row r="46" spans="1:88" x14ac:dyDescent="0.25">
      <c r="A46" s="60" t="s">
        <v>26</v>
      </c>
      <c r="B46" s="50">
        <v>53.2</v>
      </c>
      <c r="C46" s="50">
        <v>53.2</v>
      </c>
      <c r="D46" s="50">
        <v>30.5</v>
      </c>
      <c r="E46" s="50">
        <v>30.5</v>
      </c>
      <c r="F46" s="62">
        <v>30.5</v>
      </c>
      <c r="G46" s="62">
        <v>30.5</v>
      </c>
      <c r="H46" s="62">
        <v>30.5</v>
      </c>
      <c r="I46" s="62">
        <v>30.5</v>
      </c>
      <c r="J46" s="62">
        <v>30.5</v>
      </c>
      <c r="K46" s="62">
        <v>30.5</v>
      </c>
      <c r="L46" s="62">
        <v>30.5</v>
      </c>
      <c r="M46" s="50">
        <v>30.2</v>
      </c>
      <c r="N46" s="50">
        <v>30.2</v>
      </c>
      <c r="O46" s="50">
        <v>30.2</v>
      </c>
      <c r="P46" s="50">
        <v>30.2</v>
      </c>
      <c r="Q46" s="50">
        <v>30.2</v>
      </c>
      <c r="R46" s="50">
        <v>30.2</v>
      </c>
      <c r="S46" s="50">
        <v>30.2</v>
      </c>
      <c r="T46" s="50">
        <v>30.2</v>
      </c>
      <c r="U46" s="50">
        <v>30.2</v>
      </c>
      <c r="V46" s="50">
        <v>30.2</v>
      </c>
      <c r="W46" s="50">
        <v>30.2</v>
      </c>
      <c r="X46" s="50">
        <v>30.2</v>
      </c>
      <c r="Y46" s="50">
        <v>30.2</v>
      </c>
      <c r="Z46" s="50">
        <v>30.2</v>
      </c>
      <c r="AA46" s="50">
        <v>30.2</v>
      </c>
      <c r="AB46" s="50">
        <v>30.2</v>
      </c>
      <c r="AC46" s="50">
        <v>30.2</v>
      </c>
      <c r="AD46" s="50">
        <v>30.2</v>
      </c>
      <c r="AE46" s="50">
        <v>30.2</v>
      </c>
      <c r="AF46" s="50">
        <v>30.2</v>
      </c>
      <c r="AG46" s="136">
        <v>60</v>
      </c>
      <c r="AH46" s="54">
        <f t="shared" si="2"/>
        <v>53.2</v>
      </c>
      <c r="AI46" s="55">
        <f t="shared" si="3"/>
        <v>30.2</v>
      </c>
      <c r="AK46" s="56"/>
    </row>
    <row r="47" spans="1:88" x14ac:dyDescent="0.25">
      <c r="A47" s="60" t="s">
        <v>27</v>
      </c>
      <c r="B47" s="50">
        <v>28.2</v>
      </c>
      <c r="C47" s="50">
        <v>28.2</v>
      </c>
      <c r="D47" s="50">
        <v>28</v>
      </c>
      <c r="E47" s="50">
        <v>20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0</v>
      </c>
      <c r="N47" s="50">
        <v>0</v>
      </c>
      <c r="O47" s="50">
        <v>0</v>
      </c>
      <c r="P47" s="50">
        <v>0</v>
      </c>
      <c r="Q47" s="50">
        <v>0</v>
      </c>
      <c r="R47" s="50">
        <v>0</v>
      </c>
      <c r="S47" s="50">
        <v>0</v>
      </c>
      <c r="T47" s="50">
        <v>0</v>
      </c>
      <c r="U47" s="50">
        <v>0</v>
      </c>
      <c r="V47" s="50">
        <v>28</v>
      </c>
      <c r="W47" s="50">
        <v>28</v>
      </c>
      <c r="X47" s="50">
        <v>28</v>
      </c>
      <c r="Y47" s="50">
        <v>28</v>
      </c>
      <c r="Z47" s="50">
        <v>28</v>
      </c>
      <c r="AA47" s="50">
        <v>28</v>
      </c>
      <c r="AB47" s="50">
        <v>28</v>
      </c>
      <c r="AC47" s="50">
        <v>28</v>
      </c>
      <c r="AD47" s="50">
        <v>28</v>
      </c>
      <c r="AE47" s="50">
        <v>28</v>
      </c>
      <c r="AF47" s="50">
        <v>28</v>
      </c>
      <c r="AG47" s="136">
        <v>30</v>
      </c>
      <c r="AH47" s="54">
        <f t="shared" si="2"/>
        <v>28.2</v>
      </c>
      <c r="AI47" s="55">
        <f t="shared" si="3"/>
        <v>0</v>
      </c>
      <c r="AK47" s="56"/>
    </row>
    <row r="48" spans="1:88" x14ac:dyDescent="0.25">
      <c r="A48" s="60" t="s">
        <v>28</v>
      </c>
      <c r="B48" s="50">
        <v>0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8</v>
      </c>
      <c r="N48" s="50">
        <v>8</v>
      </c>
      <c r="O48" s="50">
        <v>8</v>
      </c>
      <c r="P48" s="50">
        <v>8</v>
      </c>
      <c r="Q48" s="50">
        <v>8</v>
      </c>
      <c r="R48" s="50">
        <v>8</v>
      </c>
      <c r="S48" s="50">
        <v>8</v>
      </c>
      <c r="T48" s="50">
        <v>8</v>
      </c>
      <c r="U48" s="50">
        <v>8</v>
      </c>
      <c r="V48" s="50">
        <v>8</v>
      </c>
      <c r="W48" s="50">
        <v>8</v>
      </c>
      <c r="X48" s="50">
        <v>8</v>
      </c>
      <c r="Y48" s="50">
        <v>8</v>
      </c>
      <c r="Z48" s="50">
        <v>8</v>
      </c>
      <c r="AA48" s="50">
        <v>8</v>
      </c>
      <c r="AB48" s="50">
        <v>8</v>
      </c>
      <c r="AC48" s="50">
        <v>8</v>
      </c>
      <c r="AD48" s="50">
        <v>8</v>
      </c>
      <c r="AE48" s="50">
        <v>8</v>
      </c>
      <c r="AF48" s="50">
        <v>8</v>
      </c>
      <c r="AG48" s="136">
        <v>25</v>
      </c>
      <c r="AH48" s="54">
        <f t="shared" si="2"/>
        <v>8</v>
      </c>
      <c r="AI48" s="55">
        <f t="shared" si="3"/>
        <v>0</v>
      </c>
      <c r="AK48" s="56"/>
    </row>
    <row r="49" spans="1:41" x14ac:dyDescent="0.25">
      <c r="A49" s="60" t="s">
        <v>29</v>
      </c>
      <c r="B49" s="50">
        <v>16.8</v>
      </c>
      <c r="C49" s="50">
        <v>16.8</v>
      </c>
      <c r="D49" s="50">
        <v>16.8</v>
      </c>
      <c r="E49" s="50">
        <v>16.8</v>
      </c>
      <c r="F49" s="50">
        <v>16.8</v>
      </c>
      <c r="G49" s="50">
        <v>16.8</v>
      </c>
      <c r="H49" s="50">
        <v>16.8</v>
      </c>
      <c r="I49" s="50">
        <v>16.8</v>
      </c>
      <c r="J49" s="50">
        <v>16.8</v>
      </c>
      <c r="K49" s="50">
        <v>16.8</v>
      </c>
      <c r="L49" s="50">
        <v>16.8</v>
      </c>
      <c r="M49" s="50">
        <v>16</v>
      </c>
      <c r="N49" s="50">
        <v>15.9</v>
      </c>
      <c r="O49" s="50">
        <v>15.8</v>
      </c>
      <c r="P49" s="50">
        <v>15.8</v>
      </c>
      <c r="Q49" s="50">
        <v>15.8</v>
      </c>
      <c r="R49" s="50">
        <v>16.3</v>
      </c>
      <c r="S49" s="50">
        <v>16.3</v>
      </c>
      <c r="T49" s="50">
        <v>16.3</v>
      </c>
      <c r="U49" s="50">
        <v>16.3</v>
      </c>
      <c r="V49" s="50">
        <v>16.3</v>
      </c>
      <c r="W49" s="50">
        <v>16.3</v>
      </c>
      <c r="X49" s="50">
        <v>16.3</v>
      </c>
      <c r="Y49" s="50">
        <v>16.3</v>
      </c>
      <c r="Z49" s="50">
        <v>16.3</v>
      </c>
      <c r="AA49" s="50">
        <v>16.3</v>
      </c>
      <c r="AB49" s="50">
        <v>16.3</v>
      </c>
      <c r="AC49" s="50">
        <v>16.3</v>
      </c>
      <c r="AD49" s="50">
        <v>16.3</v>
      </c>
      <c r="AE49" s="50">
        <v>16.3</v>
      </c>
      <c r="AF49" s="50">
        <v>16.3</v>
      </c>
      <c r="AG49" s="136">
        <v>24</v>
      </c>
      <c r="AH49" s="54">
        <f t="shared" si="2"/>
        <v>16.8</v>
      </c>
      <c r="AI49" s="55">
        <f t="shared" si="3"/>
        <v>15.8</v>
      </c>
      <c r="AK49" s="56"/>
    </row>
    <row r="50" spans="1:41" x14ac:dyDescent="0.25">
      <c r="A50" s="60" t="s">
        <v>30</v>
      </c>
      <c r="B50" s="50">
        <v>0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0</v>
      </c>
      <c r="N50" s="50">
        <v>0</v>
      </c>
      <c r="O50" s="50">
        <v>0</v>
      </c>
      <c r="P50" s="50">
        <v>0</v>
      </c>
      <c r="Q50" s="50">
        <v>0</v>
      </c>
      <c r="R50" s="50">
        <v>0</v>
      </c>
      <c r="S50" s="50">
        <v>0</v>
      </c>
      <c r="T50" s="50">
        <v>0</v>
      </c>
      <c r="U50" s="50">
        <v>0</v>
      </c>
      <c r="V50" s="50">
        <v>0</v>
      </c>
      <c r="W50" s="50">
        <v>0</v>
      </c>
      <c r="X50" s="50">
        <v>0</v>
      </c>
      <c r="Y50" s="50">
        <v>0</v>
      </c>
      <c r="Z50" s="50">
        <v>0</v>
      </c>
      <c r="AA50" s="50">
        <v>0</v>
      </c>
      <c r="AB50" s="50">
        <v>0</v>
      </c>
      <c r="AC50" s="50">
        <v>0</v>
      </c>
      <c r="AD50" s="50">
        <v>0</v>
      </c>
      <c r="AE50" s="50">
        <v>0</v>
      </c>
      <c r="AF50" s="50">
        <v>0</v>
      </c>
      <c r="AG50" s="136">
        <v>15</v>
      </c>
      <c r="AH50" s="54">
        <f t="shared" si="2"/>
        <v>0</v>
      </c>
      <c r="AI50" s="55">
        <f t="shared" si="3"/>
        <v>0</v>
      </c>
      <c r="AK50" s="56"/>
      <c r="AL50" s="67"/>
      <c r="AO50" s="67"/>
    </row>
    <row r="51" spans="1:41" s="67" customFormat="1" x14ac:dyDescent="0.25">
      <c r="A51" s="60" t="s">
        <v>31</v>
      </c>
      <c r="B51" s="50">
        <v>13</v>
      </c>
      <c r="C51" s="50">
        <v>13</v>
      </c>
      <c r="D51" s="50">
        <v>13.4</v>
      </c>
      <c r="E51" s="50">
        <v>13.4</v>
      </c>
      <c r="F51" s="50">
        <v>13.4</v>
      </c>
      <c r="G51" s="50">
        <v>13.4</v>
      </c>
      <c r="H51" s="50">
        <v>13.4</v>
      </c>
      <c r="I51" s="50">
        <v>13.4</v>
      </c>
      <c r="J51" s="50">
        <v>13.4</v>
      </c>
      <c r="K51" s="50">
        <v>13.4</v>
      </c>
      <c r="L51" s="50">
        <v>13.4</v>
      </c>
      <c r="M51" s="50">
        <v>9</v>
      </c>
      <c r="N51" s="50">
        <v>9</v>
      </c>
      <c r="O51" s="50">
        <v>9</v>
      </c>
      <c r="P51" s="50">
        <v>9</v>
      </c>
      <c r="Q51" s="50">
        <v>9</v>
      </c>
      <c r="R51" s="50">
        <v>9</v>
      </c>
      <c r="S51" s="50">
        <v>9</v>
      </c>
      <c r="T51" s="50">
        <v>9</v>
      </c>
      <c r="U51" s="50">
        <v>9</v>
      </c>
      <c r="V51" s="50">
        <v>9</v>
      </c>
      <c r="W51" s="50">
        <v>9</v>
      </c>
      <c r="X51" s="50">
        <v>9</v>
      </c>
      <c r="Y51" s="50">
        <v>9</v>
      </c>
      <c r="Z51" s="50">
        <v>9</v>
      </c>
      <c r="AA51" s="50">
        <v>9</v>
      </c>
      <c r="AB51" s="50">
        <v>9</v>
      </c>
      <c r="AC51" s="50">
        <v>9</v>
      </c>
      <c r="AD51" s="50">
        <v>9</v>
      </c>
      <c r="AE51" s="50">
        <v>9</v>
      </c>
      <c r="AF51" s="50">
        <v>9</v>
      </c>
      <c r="AG51" s="136">
        <v>14.1</v>
      </c>
      <c r="AH51" s="54">
        <f t="shared" si="2"/>
        <v>13.4</v>
      </c>
      <c r="AI51" s="55">
        <f t="shared" si="3"/>
        <v>9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50">
        <v>6.9</v>
      </c>
      <c r="C52" s="50">
        <v>13</v>
      </c>
      <c r="D52" s="50">
        <v>13.1</v>
      </c>
      <c r="E52" s="50">
        <v>13.1</v>
      </c>
      <c r="F52" s="50">
        <v>13.1</v>
      </c>
      <c r="G52" s="50">
        <v>13.1</v>
      </c>
      <c r="H52" s="50">
        <v>13.1</v>
      </c>
      <c r="I52" s="50">
        <v>13.1</v>
      </c>
      <c r="J52" s="50">
        <v>13.1</v>
      </c>
      <c r="K52" s="50">
        <v>13.1</v>
      </c>
      <c r="L52" s="50">
        <v>13.1</v>
      </c>
      <c r="M52" s="50">
        <v>14</v>
      </c>
      <c r="N52" s="50">
        <v>14</v>
      </c>
      <c r="O52" s="50">
        <v>14</v>
      </c>
      <c r="P52" s="50">
        <v>14</v>
      </c>
      <c r="Q52" s="50">
        <v>14</v>
      </c>
      <c r="R52" s="50">
        <v>14</v>
      </c>
      <c r="S52" s="50">
        <v>14</v>
      </c>
      <c r="T52" s="50">
        <v>14</v>
      </c>
      <c r="U52" s="50">
        <v>14</v>
      </c>
      <c r="V52" s="50">
        <v>14</v>
      </c>
      <c r="W52" s="50">
        <v>14</v>
      </c>
      <c r="X52" s="50">
        <v>14</v>
      </c>
      <c r="Y52" s="50">
        <v>14</v>
      </c>
      <c r="Z52" s="50">
        <v>14</v>
      </c>
      <c r="AA52" s="50">
        <v>14</v>
      </c>
      <c r="AB52" s="50">
        <v>14</v>
      </c>
      <c r="AC52" s="50">
        <v>14</v>
      </c>
      <c r="AD52" s="50">
        <v>14</v>
      </c>
      <c r="AE52" s="50">
        <v>14</v>
      </c>
      <c r="AF52" s="50">
        <v>14</v>
      </c>
      <c r="AG52" s="136">
        <v>14</v>
      </c>
      <c r="AH52" s="54">
        <f t="shared" si="2"/>
        <v>14</v>
      </c>
      <c r="AI52" s="55">
        <f t="shared" si="3"/>
        <v>6.9</v>
      </c>
      <c r="AK52" s="56"/>
    </row>
    <row r="53" spans="1:41" x14ac:dyDescent="0.25">
      <c r="A53" s="60" t="s">
        <v>33</v>
      </c>
      <c r="B53" s="50">
        <v>8</v>
      </c>
      <c r="C53" s="50">
        <v>8</v>
      </c>
      <c r="D53" s="50">
        <v>8</v>
      </c>
      <c r="E53" s="50">
        <v>8</v>
      </c>
      <c r="F53" s="50">
        <v>8</v>
      </c>
      <c r="G53" s="50">
        <v>8</v>
      </c>
      <c r="H53" s="50">
        <v>8</v>
      </c>
      <c r="I53" s="50">
        <v>8</v>
      </c>
      <c r="J53" s="50">
        <v>8</v>
      </c>
      <c r="K53" s="50">
        <v>8</v>
      </c>
      <c r="L53" s="50">
        <v>8</v>
      </c>
      <c r="M53" s="50">
        <v>0</v>
      </c>
      <c r="N53" s="50">
        <v>0</v>
      </c>
      <c r="O53" s="50">
        <v>7</v>
      </c>
      <c r="P53" s="50">
        <v>7</v>
      </c>
      <c r="Q53" s="50">
        <v>7</v>
      </c>
      <c r="R53" s="50">
        <v>7</v>
      </c>
      <c r="S53" s="50">
        <v>7</v>
      </c>
      <c r="T53" s="50">
        <v>7</v>
      </c>
      <c r="U53" s="50">
        <v>7</v>
      </c>
      <c r="V53" s="50">
        <v>7</v>
      </c>
      <c r="W53" s="50">
        <v>7</v>
      </c>
      <c r="X53" s="50">
        <v>7</v>
      </c>
      <c r="Y53" s="50">
        <v>7</v>
      </c>
      <c r="Z53" s="50">
        <v>7</v>
      </c>
      <c r="AA53" s="50">
        <v>7</v>
      </c>
      <c r="AB53" s="50">
        <v>7</v>
      </c>
      <c r="AC53" s="50">
        <v>7</v>
      </c>
      <c r="AD53" s="50">
        <v>7</v>
      </c>
      <c r="AE53" s="50">
        <v>7</v>
      </c>
      <c r="AF53" s="50">
        <v>7</v>
      </c>
      <c r="AG53" s="136">
        <v>10.050000000000001</v>
      </c>
      <c r="AH53" s="54">
        <f t="shared" si="2"/>
        <v>8</v>
      </c>
      <c r="AI53" s="55">
        <f t="shared" si="3"/>
        <v>0</v>
      </c>
      <c r="AK53" s="56"/>
    </row>
    <row r="54" spans="1:41" x14ac:dyDescent="0.25">
      <c r="A54" s="60" t="s">
        <v>34</v>
      </c>
      <c r="B54" s="50">
        <v>6.2</v>
      </c>
      <c r="C54" s="50">
        <v>6.2</v>
      </c>
      <c r="D54" s="50">
        <v>6.2</v>
      </c>
      <c r="E54" s="50">
        <v>6.2</v>
      </c>
      <c r="F54" s="50">
        <v>6.2</v>
      </c>
      <c r="G54" s="50">
        <v>6.2</v>
      </c>
      <c r="H54" s="50">
        <v>6.2</v>
      </c>
      <c r="I54" s="50">
        <v>6.2</v>
      </c>
      <c r="J54" s="50">
        <v>6.2</v>
      </c>
      <c r="K54" s="50">
        <v>6.2</v>
      </c>
      <c r="L54" s="50">
        <v>6.2</v>
      </c>
      <c r="M54" s="50">
        <v>6.2</v>
      </c>
      <c r="N54" s="50">
        <v>6.2</v>
      </c>
      <c r="O54" s="50">
        <v>6.2</v>
      </c>
      <c r="P54" s="50">
        <v>6.2</v>
      </c>
      <c r="Q54" s="50">
        <v>6.2</v>
      </c>
      <c r="R54" s="50">
        <v>6.2</v>
      </c>
      <c r="S54" s="50">
        <v>6.2</v>
      </c>
      <c r="T54" s="50">
        <v>6.2</v>
      </c>
      <c r="U54" s="50">
        <v>6.2</v>
      </c>
      <c r="V54" s="50">
        <v>6.2</v>
      </c>
      <c r="W54" s="50">
        <v>6.2</v>
      </c>
      <c r="X54" s="50">
        <v>6.2</v>
      </c>
      <c r="Y54" s="50">
        <v>6.2</v>
      </c>
      <c r="Z54" s="50">
        <v>6.2</v>
      </c>
      <c r="AA54" s="50">
        <v>6.2</v>
      </c>
      <c r="AB54" s="50">
        <v>6.2</v>
      </c>
      <c r="AC54" s="50">
        <v>6.2</v>
      </c>
      <c r="AD54" s="50">
        <v>6.2</v>
      </c>
      <c r="AE54" s="50">
        <v>6.2</v>
      </c>
      <c r="AF54" s="50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8">AG220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>SUM(B43:B55)</f>
        <v>335.84</v>
      </c>
      <c r="C56" s="66">
        <f t="shared" ref="C56:AG56" si="9">SUM(C43:C55)</f>
        <v>383.24</v>
      </c>
      <c r="D56" s="66">
        <f t="shared" si="9"/>
        <v>374.94</v>
      </c>
      <c r="E56" s="66">
        <f t="shared" si="9"/>
        <v>311.54000000000002</v>
      </c>
      <c r="F56" s="66">
        <f t="shared" si="9"/>
        <v>359.94000000000005</v>
      </c>
      <c r="G56" s="66">
        <f t="shared" si="9"/>
        <v>361.04</v>
      </c>
      <c r="H56" s="66">
        <f t="shared" si="9"/>
        <v>360.44000000000005</v>
      </c>
      <c r="I56" s="66">
        <f t="shared" si="9"/>
        <v>361.44000000000005</v>
      </c>
      <c r="J56" s="66">
        <f t="shared" si="9"/>
        <v>363.24</v>
      </c>
      <c r="K56" s="66">
        <f t="shared" si="9"/>
        <v>361.54</v>
      </c>
      <c r="L56" s="66">
        <f t="shared" si="9"/>
        <v>360.84000000000003</v>
      </c>
      <c r="M56" s="66">
        <f t="shared" si="9"/>
        <v>355.94</v>
      </c>
      <c r="N56" s="66">
        <f t="shared" si="9"/>
        <v>355.44</v>
      </c>
      <c r="O56" s="66">
        <f t="shared" si="9"/>
        <v>362.74</v>
      </c>
      <c r="P56" s="66">
        <f t="shared" si="9"/>
        <v>363.04</v>
      </c>
      <c r="Q56" s="66">
        <f t="shared" si="9"/>
        <v>361.94</v>
      </c>
      <c r="R56" s="66">
        <f t="shared" si="9"/>
        <v>364.14</v>
      </c>
      <c r="S56" s="66">
        <f t="shared" si="9"/>
        <v>363.24</v>
      </c>
      <c r="T56" s="66">
        <f t="shared" si="9"/>
        <v>363.24</v>
      </c>
      <c r="U56" s="66">
        <f t="shared" si="9"/>
        <v>363.24</v>
      </c>
      <c r="V56" s="66">
        <f t="shared" si="9"/>
        <v>392.84000000000003</v>
      </c>
      <c r="W56" s="66">
        <f t="shared" si="9"/>
        <v>392.84000000000003</v>
      </c>
      <c r="X56" s="66">
        <f t="shared" si="9"/>
        <v>392.84000000000003</v>
      </c>
      <c r="Y56" s="66">
        <f t="shared" si="9"/>
        <v>392.84000000000003</v>
      </c>
      <c r="Z56" s="66">
        <f t="shared" si="9"/>
        <v>392.84000000000003</v>
      </c>
      <c r="AA56" s="66">
        <f t="shared" si="9"/>
        <v>392.84000000000003</v>
      </c>
      <c r="AB56" s="66">
        <f t="shared" si="9"/>
        <v>392.84000000000003</v>
      </c>
      <c r="AC56" s="66">
        <f t="shared" si="9"/>
        <v>392.84000000000003</v>
      </c>
      <c r="AD56" s="66">
        <f t="shared" si="9"/>
        <v>392.84000000000003</v>
      </c>
      <c r="AE56" s="66">
        <f t="shared" si="9"/>
        <v>392.84000000000003</v>
      </c>
      <c r="AF56" s="66">
        <f t="shared" si="9"/>
        <v>392.84000000000003</v>
      </c>
      <c r="AG56" s="143">
        <f t="shared" si="9"/>
        <v>489.91</v>
      </c>
      <c r="AH56" s="54">
        <f t="shared" si="2"/>
        <v>392.84000000000003</v>
      </c>
      <c r="AI56" s="55">
        <f t="shared" si="3"/>
        <v>311.54000000000002</v>
      </c>
      <c r="AK56" s="56"/>
    </row>
    <row r="57" spans="1:41" x14ac:dyDescent="0.25">
      <c r="A57" s="57" t="s">
        <v>37</v>
      </c>
      <c r="B57" s="50">
        <v>29.3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29.6</v>
      </c>
      <c r="M57" s="50">
        <v>53.1</v>
      </c>
      <c r="N57" s="50">
        <v>29.5</v>
      </c>
      <c r="O57" s="50">
        <v>60.6</v>
      </c>
      <c r="P57" s="50">
        <v>29.9</v>
      </c>
      <c r="Q57" s="50">
        <v>30.2</v>
      </c>
      <c r="R57" s="50">
        <v>13.4</v>
      </c>
      <c r="S57" s="50">
        <v>39</v>
      </c>
      <c r="T57" s="50">
        <v>14</v>
      </c>
      <c r="U57" s="50">
        <v>14</v>
      </c>
      <c r="V57" s="50">
        <v>13</v>
      </c>
      <c r="W57" s="50">
        <v>25</v>
      </c>
      <c r="X57" s="50">
        <v>25</v>
      </c>
      <c r="Y57" s="50">
        <v>29.9</v>
      </c>
      <c r="Z57" s="50">
        <v>44</v>
      </c>
      <c r="AA57" s="50">
        <v>59.8</v>
      </c>
      <c r="AB57" s="50">
        <v>59.8</v>
      </c>
      <c r="AC57" s="50">
        <v>59.8</v>
      </c>
      <c r="AD57" s="50">
        <v>48</v>
      </c>
      <c r="AE57" s="50">
        <v>30</v>
      </c>
      <c r="AF57" s="50">
        <v>20</v>
      </c>
      <c r="AG57" s="135">
        <v>60</v>
      </c>
      <c r="AH57" s="54">
        <f t="shared" si="2"/>
        <v>60.6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14.3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8.4</v>
      </c>
      <c r="M58" s="48">
        <v>20.3</v>
      </c>
      <c r="N58" s="48">
        <v>15.2</v>
      </c>
      <c r="O58" s="48">
        <v>30.4</v>
      </c>
      <c r="P58" s="48">
        <v>5.7</v>
      </c>
      <c r="Q58" s="48">
        <v>16.2</v>
      </c>
      <c r="R58" s="48">
        <v>6</v>
      </c>
      <c r="S58" s="48">
        <v>16</v>
      </c>
      <c r="T58" s="48">
        <v>10</v>
      </c>
      <c r="U58" s="48">
        <v>10</v>
      </c>
      <c r="V58" s="48">
        <v>5</v>
      </c>
      <c r="W58" s="48">
        <v>6</v>
      </c>
      <c r="X58" s="48">
        <v>13</v>
      </c>
      <c r="Y58" s="48">
        <v>10</v>
      </c>
      <c r="Z58" s="48">
        <v>14</v>
      </c>
      <c r="AA58" s="48">
        <v>29.1</v>
      </c>
      <c r="AB58" s="48">
        <v>29.1</v>
      </c>
      <c r="AC58" s="48">
        <v>29.1</v>
      </c>
      <c r="AD58" s="48">
        <v>18.399999999999999</v>
      </c>
      <c r="AE58" s="48">
        <v>15.8</v>
      </c>
      <c r="AF58" s="48">
        <v>10</v>
      </c>
      <c r="AG58" s="136">
        <v>32</v>
      </c>
      <c r="AH58" s="54">
        <f t="shared" si="2"/>
        <v>30.4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5.2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3.1</v>
      </c>
      <c r="M59" s="70">
        <v>7.4</v>
      </c>
      <c r="N59" s="70">
        <v>5.6</v>
      </c>
      <c r="O59" s="70">
        <v>11.1</v>
      </c>
      <c r="P59" s="70">
        <v>2.1</v>
      </c>
      <c r="Q59" s="70">
        <v>5.9</v>
      </c>
      <c r="R59" s="70">
        <v>2.2000000000000002</v>
      </c>
      <c r="S59" s="70">
        <v>4.2</v>
      </c>
      <c r="T59" s="70">
        <v>3.6</v>
      </c>
      <c r="U59" s="70">
        <v>3.6</v>
      </c>
      <c r="V59" s="70">
        <v>2</v>
      </c>
      <c r="W59" s="70">
        <v>2.2000000000000002</v>
      </c>
      <c r="X59" s="70">
        <v>5</v>
      </c>
      <c r="Y59" s="70">
        <v>4</v>
      </c>
      <c r="Z59" s="70">
        <v>5</v>
      </c>
      <c r="AA59" s="70">
        <v>10.6</v>
      </c>
      <c r="AB59" s="70">
        <v>10.6</v>
      </c>
      <c r="AC59" s="70">
        <v>10.6</v>
      </c>
      <c r="AD59" s="70">
        <v>6.8</v>
      </c>
      <c r="AE59" s="70">
        <v>5.8</v>
      </c>
      <c r="AF59" s="70">
        <v>3.7</v>
      </c>
      <c r="AG59" s="137">
        <v>14</v>
      </c>
      <c r="AH59" s="54">
        <f t="shared" si="2"/>
        <v>11.1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>SUM(B57:B59)</f>
        <v>48.800000000000004</v>
      </c>
      <c r="C60" s="66">
        <f t="shared" ref="C60:AG60" si="10">SUM(C57:C59)</f>
        <v>0</v>
      </c>
      <c r="D60" s="66">
        <f t="shared" si="10"/>
        <v>0</v>
      </c>
      <c r="E60" s="66">
        <f t="shared" si="10"/>
        <v>0</v>
      </c>
      <c r="F60" s="66">
        <f t="shared" si="10"/>
        <v>0</v>
      </c>
      <c r="G60" s="66">
        <f t="shared" si="10"/>
        <v>0</v>
      </c>
      <c r="H60" s="66">
        <f t="shared" si="10"/>
        <v>0</v>
      </c>
      <c r="I60" s="66">
        <f t="shared" si="10"/>
        <v>0</v>
      </c>
      <c r="J60" s="66">
        <f t="shared" si="10"/>
        <v>0</v>
      </c>
      <c r="K60" s="66">
        <f t="shared" si="10"/>
        <v>0</v>
      </c>
      <c r="L60" s="66">
        <f t="shared" si="10"/>
        <v>41.1</v>
      </c>
      <c r="M60" s="66">
        <f t="shared" si="10"/>
        <v>80.800000000000011</v>
      </c>
      <c r="N60" s="66">
        <f t="shared" si="10"/>
        <v>50.300000000000004</v>
      </c>
      <c r="O60" s="66">
        <f t="shared" si="10"/>
        <v>102.1</v>
      </c>
      <c r="P60" s="66">
        <f t="shared" si="10"/>
        <v>37.700000000000003</v>
      </c>
      <c r="Q60" s="66">
        <f t="shared" si="10"/>
        <v>52.3</v>
      </c>
      <c r="R60" s="66">
        <f t="shared" si="10"/>
        <v>21.599999999999998</v>
      </c>
      <c r="S60" s="66">
        <f t="shared" si="10"/>
        <v>59.2</v>
      </c>
      <c r="T60" s="66">
        <f t="shared" si="10"/>
        <v>27.6</v>
      </c>
      <c r="U60" s="66">
        <f t="shared" si="10"/>
        <v>27.6</v>
      </c>
      <c r="V60" s="66">
        <f t="shared" si="10"/>
        <v>20</v>
      </c>
      <c r="W60" s="66">
        <f t="shared" si="10"/>
        <v>33.200000000000003</v>
      </c>
      <c r="X60" s="66">
        <f t="shared" si="10"/>
        <v>43</v>
      </c>
      <c r="Y60" s="66">
        <f t="shared" si="10"/>
        <v>43.9</v>
      </c>
      <c r="Z60" s="66">
        <f t="shared" si="10"/>
        <v>63</v>
      </c>
      <c r="AA60" s="66">
        <f t="shared" si="10"/>
        <v>99.5</v>
      </c>
      <c r="AB60" s="66">
        <f t="shared" si="10"/>
        <v>99.5</v>
      </c>
      <c r="AC60" s="66">
        <v>73.3</v>
      </c>
      <c r="AD60" s="66">
        <f t="shared" si="10"/>
        <v>73.2</v>
      </c>
      <c r="AE60" s="66">
        <f t="shared" si="10"/>
        <v>51.599999999999994</v>
      </c>
      <c r="AF60" s="66">
        <f t="shared" si="10"/>
        <v>33.700000000000003</v>
      </c>
      <c r="AG60" s="143">
        <f t="shared" si="10"/>
        <v>106</v>
      </c>
      <c r="AH60" s="54">
        <f t="shared" si="2"/>
        <v>102.1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60.9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50">
        <v>0</v>
      </c>
      <c r="P61" s="50">
        <v>0</v>
      </c>
      <c r="Q61" s="50">
        <v>17.2</v>
      </c>
      <c r="R61" s="50">
        <v>18.2</v>
      </c>
      <c r="S61" s="50">
        <v>30</v>
      </c>
      <c r="T61" s="50">
        <v>22</v>
      </c>
      <c r="U61" s="50">
        <v>21</v>
      </c>
      <c r="V61" s="50">
        <v>17</v>
      </c>
      <c r="W61" s="50">
        <v>15</v>
      </c>
      <c r="X61" s="50">
        <v>18</v>
      </c>
      <c r="Y61" s="50">
        <v>33.5</v>
      </c>
      <c r="Z61" s="50">
        <v>50</v>
      </c>
      <c r="AA61" s="50">
        <v>55</v>
      </c>
      <c r="AB61" s="50">
        <v>76.7</v>
      </c>
      <c r="AC61" s="50">
        <v>76.7</v>
      </c>
      <c r="AD61" s="50">
        <v>70.7</v>
      </c>
      <c r="AE61" s="50">
        <v>70.7</v>
      </c>
      <c r="AF61" s="50">
        <v>44.2</v>
      </c>
      <c r="AG61" s="135"/>
      <c r="AH61" s="54">
        <f t="shared" si="2"/>
        <v>76.7</v>
      </c>
      <c r="AI61" s="55">
        <f t="shared" si="3"/>
        <v>0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-320</v>
      </c>
      <c r="C63" s="48">
        <v>-361</v>
      </c>
      <c r="D63" s="48">
        <v>-326</v>
      </c>
      <c r="E63" s="48">
        <v>-300</v>
      </c>
      <c r="F63" s="48">
        <v>-356</v>
      </c>
      <c r="G63" s="48">
        <v>-380.1</v>
      </c>
      <c r="H63" s="48">
        <v>-355.3</v>
      </c>
      <c r="I63" s="48">
        <v>-417.3</v>
      </c>
      <c r="J63" s="48">
        <v>-368</v>
      </c>
      <c r="K63" s="48">
        <v>-310</v>
      </c>
      <c r="L63" s="48">
        <v>-291</v>
      </c>
      <c r="M63" s="48">
        <v>-330</v>
      </c>
      <c r="N63" s="48">
        <v>-302.5</v>
      </c>
      <c r="O63" s="48">
        <v>-270.2</v>
      </c>
      <c r="P63" s="48">
        <v>-260.2</v>
      </c>
      <c r="Q63" s="48">
        <v>-285</v>
      </c>
      <c r="R63" s="48">
        <v>-300.5</v>
      </c>
      <c r="S63" s="48">
        <v>-275</v>
      </c>
      <c r="T63" s="48">
        <v>-292</v>
      </c>
      <c r="U63" s="48">
        <v>-285</v>
      </c>
      <c r="V63" s="48">
        <v>-287</v>
      </c>
      <c r="W63" s="48">
        <v>-338</v>
      </c>
      <c r="X63" s="48">
        <v>-336</v>
      </c>
      <c r="Y63" s="48">
        <v>-287</v>
      </c>
      <c r="Z63" s="48">
        <v>-238</v>
      </c>
      <c r="AA63" s="48">
        <v>-189</v>
      </c>
      <c r="AB63" s="48">
        <v>-200.6</v>
      </c>
      <c r="AC63" s="48">
        <v>-220</v>
      </c>
      <c r="AD63" s="48">
        <v>-300</v>
      </c>
      <c r="AE63" s="48">
        <v>-300</v>
      </c>
      <c r="AF63" s="48">
        <v>-315</v>
      </c>
      <c r="AG63" s="140"/>
      <c r="AH63" s="54">
        <f t="shared" si="2"/>
        <v>-189</v>
      </c>
      <c r="AI63" s="55">
        <f t="shared" si="3"/>
        <v>-417.3</v>
      </c>
      <c r="AK63" s="56"/>
    </row>
    <row r="64" spans="1:41" x14ac:dyDescent="0.25">
      <c r="A64" s="60" t="s">
        <v>44</v>
      </c>
      <c r="B64" s="71">
        <v>16.5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10</v>
      </c>
      <c r="P64" s="71">
        <v>10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140"/>
      <c r="AH64" s="54">
        <f t="shared" si="2"/>
        <v>16.5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0</v>
      </c>
      <c r="C66" s="72">
        <v>0</v>
      </c>
      <c r="D66" s="72">
        <v>0</v>
      </c>
      <c r="E66" s="72">
        <v>0</v>
      </c>
      <c r="F66" s="72">
        <v>0</v>
      </c>
      <c r="G66" s="72">
        <v>0</v>
      </c>
      <c r="H66" s="72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5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8</v>
      </c>
      <c r="AB66" s="72">
        <v>8</v>
      </c>
      <c r="AC66" s="72">
        <v>8</v>
      </c>
      <c r="AD66" s="72">
        <v>8</v>
      </c>
      <c r="AE66" s="72">
        <v>8</v>
      </c>
      <c r="AF66" s="72">
        <v>8</v>
      </c>
      <c r="AG66" s="140"/>
      <c r="AH66" s="54">
        <f t="shared" si="2"/>
        <v>8</v>
      </c>
      <c r="AI66" s="55">
        <f t="shared" si="3"/>
        <v>0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1">
        <v>0</v>
      </c>
      <c r="D68" s="71">
        <v>0</v>
      </c>
      <c r="E68" s="71">
        <v>0</v>
      </c>
      <c r="F68" s="71">
        <v>0</v>
      </c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1">
        <v>0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4">
        <v>0</v>
      </c>
      <c r="C70" s="74">
        <v>0</v>
      </c>
      <c r="D70" s="74">
        <v>0</v>
      </c>
      <c r="E70" s="74">
        <v>0</v>
      </c>
      <c r="F70" s="74">
        <v>0</v>
      </c>
      <c r="G70" s="74">
        <v>0</v>
      </c>
      <c r="H70" s="74">
        <v>0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4">
        <v>0</v>
      </c>
      <c r="C71" s="74">
        <v>0</v>
      </c>
      <c r="D71" s="74">
        <v>0</v>
      </c>
      <c r="E71" s="74">
        <v>0</v>
      </c>
      <c r="F71" s="74">
        <v>0</v>
      </c>
      <c r="G71" s="74">
        <v>0</v>
      </c>
      <c r="H71" s="74">
        <v>0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>SUMIF(B61:B71,"&gt;0")</f>
        <v>77.400000000000006</v>
      </c>
      <c r="C72" s="66">
        <f t="shared" ref="C72:L72" si="11">SUMIF(C61:C71,"&gt;0")</f>
        <v>0</v>
      </c>
      <c r="D72" s="66">
        <f t="shared" si="11"/>
        <v>0</v>
      </c>
      <c r="E72" s="66">
        <f t="shared" si="11"/>
        <v>0</v>
      </c>
      <c r="F72" s="66">
        <f t="shared" si="11"/>
        <v>0</v>
      </c>
      <c r="G72" s="66">
        <f t="shared" si="11"/>
        <v>0</v>
      </c>
      <c r="H72" s="66">
        <f t="shared" si="11"/>
        <v>0</v>
      </c>
      <c r="I72" s="66">
        <f t="shared" si="11"/>
        <v>0</v>
      </c>
      <c r="J72" s="66">
        <f t="shared" si="11"/>
        <v>0</v>
      </c>
      <c r="K72" s="66">
        <f t="shared" si="11"/>
        <v>0</v>
      </c>
      <c r="L72" s="66">
        <f t="shared" si="11"/>
        <v>0</v>
      </c>
      <c r="M72" s="66">
        <f>SUMIF(M61:M71,"&gt;0")</f>
        <v>0</v>
      </c>
      <c r="N72" s="66">
        <f t="shared" ref="N72:AF72" si="12">SUMIF(N61:N71,"&gt;0")</f>
        <v>0</v>
      </c>
      <c r="O72" s="66">
        <f t="shared" si="12"/>
        <v>10</v>
      </c>
      <c r="P72" s="66">
        <f t="shared" si="12"/>
        <v>10</v>
      </c>
      <c r="Q72" s="66">
        <f t="shared" si="12"/>
        <v>17.2</v>
      </c>
      <c r="R72" s="66">
        <f t="shared" si="12"/>
        <v>18.2</v>
      </c>
      <c r="S72" s="66">
        <f t="shared" si="12"/>
        <v>35</v>
      </c>
      <c r="T72" s="66">
        <f t="shared" si="12"/>
        <v>22</v>
      </c>
      <c r="U72" s="66">
        <f t="shared" si="12"/>
        <v>21</v>
      </c>
      <c r="V72" s="66">
        <f t="shared" si="12"/>
        <v>17</v>
      </c>
      <c r="W72" s="66">
        <f t="shared" si="12"/>
        <v>15</v>
      </c>
      <c r="X72" s="66">
        <f t="shared" si="12"/>
        <v>18</v>
      </c>
      <c r="Y72" s="66">
        <f t="shared" si="12"/>
        <v>33.5</v>
      </c>
      <c r="Z72" s="66">
        <f t="shared" si="12"/>
        <v>50</v>
      </c>
      <c r="AA72" s="66">
        <f t="shared" si="12"/>
        <v>63</v>
      </c>
      <c r="AB72" s="66">
        <f t="shared" si="12"/>
        <v>84.7</v>
      </c>
      <c r="AC72" s="66">
        <f t="shared" si="12"/>
        <v>84.7</v>
      </c>
      <c r="AD72" s="66">
        <f t="shared" si="12"/>
        <v>78.7</v>
      </c>
      <c r="AE72" s="66">
        <f t="shared" si="12"/>
        <v>78.7</v>
      </c>
      <c r="AF72" s="66">
        <f t="shared" si="12"/>
        <v>52.2</v>
      </c>
      <c r="AG72" s="138">
        <f>SUM(AG61:AG71)</f>
        <v>0</v>
      </c>
      <c r="AH72" s="54">
        <f t="shared" si="2"/>
        <v>84.7</v>
      </c>
      <c r="AI72" s="55">
        <f t="shared" si="3"/>
        <v>0</v>
      </c>
      <c r="AK72" s="56"/>
    </row>
    <row r="73" spans="1:88" x14ac:dyDescent="0.25">
      <c r="A73" s="57" t="s">
        <v>53</v>
      </c>
      <c r="B73" s="71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>
        <v>0</v>
      </c>
      <c r="C75" s="74">
        <v>0</v>
      </c>
      <c r="D75" s="74">
        <v>0</v>
      </c>
      <c r="E75" s="74">
        <v>0</v>
      </c>
      <c r="F75" s="74">
        <v>0</v>
      </c>
      <c r="G75" s="74">
        <v>0</v>
      </c>
      <c r="H75" s="74">
        <v>0</v>
      </c>
      <c r="I75" s="74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>B38+B42+B60+B56+B72+B76</f>
        <v>1739.24</v>
      </c>
      <c r="C77" s="75">
        <f t="shared" ref="C77:AF77" si="13">C38+C42+C60+C56+C72+C76</f>
        <v>1716.04</v>
      </c>
      <c r="D77" s="75">
        <f t="shared" si="13"/>
        <v>1672.74</v>
      </c>
      <c r="E77" s="75">
        <f t="shared" si="13"/>
        <v>1624.34</v>
      </c>
      <c r="F77" s="75">
        <f t="shared" si="13"/>
        <v>1672.74</v>
      </c>
      <c r="G77" s="75">
        <f t="shared" si="13"/>
        <v>1673.84</v>
      </c>
      <c r="H77" s="75">
        <f t="shared" si="13"/>
        <v>1682.64</v>
      </c>
      <c r="I77" s="75">
        <f t="shared" si="13"/>
        <v>1688.64</v>
      </c>
      <c r="J77" s="75">
        <f t="shared" si="13"/>
        <v>1706.74</v>
      </c>
      <c r="K77" s="75">
        <f t="shared" si="13"/>
        <v>1723.04</v>
      </c>
      <c r="L77" s="75">
        <f t="shared" si="13"/>
        <v>1755.44</v>
      </c>
      <c r="M77" s="75">
        <f t="shared" si="13"/>
        <v>1795.74</v>
      </c>
      <c r="N77" s="75">
        <f t="shared" si="13"/>
        <v>1717.74</v>
      </c>
      <c r="O77" s="75">
        <f t="shared" si="13"/>
        <v>1786.14</v>
      </c>
      <c r="P77" s="75">
        <f t="shared" si="13"/>
        <v>1765.84</v>
      </c>
      <c r="Q77" s="75">
        <f t="shared" si="13"/>
        <v>1786.14</v>
      </c>
      <c r="R77" s="75">
        <f t="shared" si="13"/>
        <v>1770.4399999999998</v>
      </c>
      <c r="S77" s="75">
        <f t="shared" si="13"/>
        <v>1823.94</v>
      </c>
      <c r="T77" s="75">
        <f t="shared" si="13"/>
        <v>1784.34</v>
      </c>
      <c r="U77" s="75">
        <f t="shared" si="13"/>
        <v>1783.34</v>
      </c>
      <c r="V77" s="75">
        <f t="shared" si="13"/>
        <v>1801.3400000000001</v>
      </c>
      <c r="W77" s="75">
        <f t="shared" si="13"/>
        <v>1812.54</v>
      </c>
      <c r="X77" s="75">
        <f t="shared" si="13"/>
        <v>1825.3400000000001</v>
      </c>
      <c r="Y77" s="75">
        <f t="shared" si="13"/>
        <v>1841.7400000000002</v>
      </c>
      <c r="Z77" s="75">
        <f t="shared" si="13"/>
        <v>1877.3400000000001</v>
      </c>
      <c r="AA77" s="75">
        <f t="shared" si="13"/>
        <v>1894.1399999999999</v>
      </c>
      <c r="AB77" s="75">
        <f t="shared" si="13"/>
        <v>1915.84</v>
      </c>
      <c r="AC77" s="75">
        <f t="shared" si="13"/>
        <v>1889.4399999999998</v>
      </c>
      <c r="AD77" s="75">
        <f t="shared" si="13"/>
        <v>1885.34</v>
      </c>
      <c r="AE77" s="75">
        <f t="shared" si="13"/>
        <v>1868.74</v>
      </c>
      <c r="AF77" s="75">
        <f t="shared" si="13"/>
        <v>1817.34</v>
      </c>
      <c r="AG77" s="143">
        <f>AG38+AG42+AG60+AG56+AG72+AG76</f>
        <v>1855.1900000000003</v>
      </c>
      <c r="AH77" s="54">
        <f t="shared" si="2"/>
        <v>1915.84</v>
      </c>
      <c r="AI77" s="55">
        <f t="shared" si="3"/>
        <v>1624.34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0</v>
      </c>
      <c r="AI78" s="55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>B77+B78</f>
        <v>1739.24</v>
      </c>
      <c r="C79" s="75">
        <f t="shared" ref="C79:AF79" si="14">C77+C78</f>
        <v>1716.04</v>
      </c>
      <c r="D79" s="75">
        <f t="shared" si="14"/>
        <v>1672.74</v>
      </c>
      <c r="E79" s="75">
        <f t="shared" si="14"/>
        <v>1624.34</v>
      </c>
      <c r="F79" s="75">
        <f t="shared" si="14"/>
        <v>1672.74</v>
      </c>
      <c r="G79" s="75">
        <f t="shared" si="14"/>
        <v>1673.84</v>
      </c>
      <c r="H79" s="75">
        <f t="shared" si="14"/>
        <v>1682.64</v>
      </c>
      <c r="I79" s="75">
        <f t="shared" si="14"/>
        <v>1688.64</v>
      </c>
      <c r="J79" s="75">
        <f t="shared" si="14"/>
        <v>1706.74</v>
      </c>
      <c r="K79" s="75">
        <f t="shared" si="14"/>
        <v>1723.04</v>
      </c>
      <c r="L79" s="75">
        <f t="shared" si="14"/>
        <v>1755.44</v>
      </c>
      <c r="M79" s="75">
        <f t="shared" si="14"/>
        <v>1795.74</v>
      </c>
      <c r="N79" s="75">
        <f t="shared" si="14"/>
        <v>1717.74</v>
      </c>
      <c r="O79" s="75">
        <f t="shared" si="14"/>
        <v>1786.14</v>
      </c>
      <c r="P79" s="75">
        <f t="shared" si="14"/>
        <v>1765.84</v>
      </c>
      <c r="Q79" s="75">
        <f t="shared" si="14"/>
        <v>1786.14</v>
      </c>
      <c r="R79" s="75">
        <f t="shared" si="14"/>
        <v>1770.4399999999998</v>
      </c>
      <c r="S79" s="75">
        <f t="shared" si="14"/>
        <v>1823.94</v>
      </c>
      <c r="T79" s="75">
        <f t="shared" si="14"/>
        <v>1784.34</v>
      </c>
      <c r="U79" s="75">
        <f t="shared" si="14"/>
        <v>1783.34</v>
      </c>
      <c r="V79" s="75">
        <f t="shared" si="14"/>
        <v>1801.3400000000001</v>
      </c>
      <c r="W79" s="75">
        <f t="shared" si="14"/>
        <v>1812.54</v>
      </c>
      <c r="X79" s="75">
        <f t="shared" si="14"/>
        <v>1825.3400000000001</v>
      </c>
      <c r="Y79" s="75">
        <f t="shared" si="14"/>
        <v>1841.7400000000002</v>
      </c>
      <c r="Z79" s="75">
        <f t="shared" si="14"/>
        <v>1877.3400000000001</v>
      </c>
      <c r="AA79" s="75">
        <f t="shared" si="14"/>
        <v>1894.1399999999999</v>
      </c>
      <c r="AB79" s="75">
        <f t="shared" si="14"/>
        <v>1915.84</v>
      </c>
      <c r="AC79" s="75">
        <f t="shared" si="14"/>
        <v>1889.4399999999998</v>
      </c>
      <c r="AD79" s="75">
        <f t="shared" si="14"/>
        <v>1885.34</v>
      </c>
      <c r="AE79" s="75">
        <f t="shared" si="14"/>
        <v>1868.74</v>
      </c>
      <c r="AF79" s="75">
        <f t="shared" si="14"/>
        <v>1817.34</v>
      </c>
      <c r="AG79" s="138">
        <f>AG76+AG72+AG60+AG56+AG38+AG78</f>
        <v>1317.0900000000001</v>
      </c>
      <c r="AH79" s="54">
        <f t="shared" si="2"/>
        <v>1915.84</v>
      </c>
      <c r="AI79" s="55">
        <f t="shared" si="3"/>
        <v>1624.34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:AF80" si="15">B79-B87</f>
        <v>1419.24</v>
      </c>
      <c r="C80" s="75">
        <f t="shared" si="15"/>
        <v>1355.04</v>
      </c>
      <c r="D80" s="75">
        <f t="shared" si="15"/>
        <v>1346.74</v>
      </c>
      <c r="E80" s="75">
        <f t="shared" si="15"/>
        <v>1324.34</v>
      </c>
      <c r="F80" s="75">
        <f t="shared" si="15"/>
        <v>1316.74</v>
      </c>
      <c r="G80" s="75">
        <f t="shared" si="15"/>
        <v>1293.7399999999998</v>
      </c>
      <c r="H80" s="75">
        <f t="shared" si="15"/>
        <v>1327.3400000000001</v>
      </c>
      <c r="I80" s="75">
        <f t="shared" si="15"/>
        <v>1271.3400000000001</v>
      </c>
      <c r="J80" s="75">
        <f t="shared" si="15"/>
        <v>1338.74</v>
      </c>
      <c r="K80" s="75">
        <f t="shared" si="15"/>
        <v>1413.04</v>
      </c>
      <c r="L80" s="75">
        <f t="shared" si="15"/>
        <v>1464.44</v>
      </c>
      <c r="M80" s="75">
        <f t="shared" si="15"/>
        <v>1465.74</v>
      </c>
      <c r="N80" s="75">
        <f t="shared" si="15"/>
        <v>1415.24</v>
      </c>
      <c r="O80" s="75">
        <f t="shared" si="15"/>
        <v>1515.94</v>
      </c>
      <c r="P80" s="75">
        <f t="shared" si="15"/>
        <v>1505.6399999999999</v>
      </c>
      <c r="Q80" s="75">
        <f t="shared" si="15"/>
        <v>1501.14</v>
      </c>
      <c r="R80" s="75">
        <f t="shared" si="15"/>
        <v>1469.9399999999998</v>
      </c>
      <c r="S80" s="75">
        <f t="shared" si="15"/>
        <v>1548.94</v>
      </c>
      <c r="T80" s="75">
        <f t="shared" si="15"/>
        <v>1492.34</v>
      </c>
      <c r="U80" s="75">
        <f t="shared" si="15"/>
        <v>1498.34</v>
      </c>
      <c r="V80" s="75">
        <f t="shared" si="15"/>
        <v>1514.3400000000001</v>
      </c>
      <c r="W80" s="75">
        <f t="shared" si="15"/>
        <v>1474.54</v>
      </c>
      <c r="X80" s="75">
        <f t="shared" si="15"/>
        <v>1489.3400000000001</v>
      </c>
      <c r="Y80" s="75">
        <f t="shared" si="15"/>
        <v>1554.7400000000002</v>
      </c>
      <c r="Z80" s="75">
        <f t="shared" si="15"/>
        <v>1639.3400000000001</v>
      </c>
      <c r="AA80" s="75">
        <f t="shared" si="15"/>
        <v>1705.1399999999999</v>
      </c>
      <c r="AB80" s="75">
        <f t="shared" si="15"/>
        <v>1715.24</v>
      </c>
      <c r="AC80" s="75">
        <f t="shared" si="15"/>
        <v>1669.4399999999998</v>
      </c>
      <c r="AD80" s="75">
        <f t="shared" si="15"/>
        <v>1585.34</v>
      </c>
      <c r="AE80" s="75">
        <f t="shared" si="15"/>
        <v>1568.74</v>
      </c>
      <c r="AF80" s="75">
        <f t="shared" si="15"/>
        <v>1502.34</v>
      </c>
      <c r="AG80" s="138"/>
      <c r="AH80" s="54">
        <f t="shared" ref="AH80:AH97" si="16">MAX(B80:AF80)</f>
        <v>1715.24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>IF(B64&lt;0,B64*-1,0)</f>
        <v>0</v>
      </c>
      <c r="C81" s="71">
        <f t="shared" ref="C81:AF81" si="17">IF(C64&lt;0,C64*-1,0)</f>
        <v>0</v>
      </c>
      <c r="D81" s="71">
        <f t="shared" si="17"/>
        <v>0</v>
      </c>
      <c r="E81" s="71">
        <f t="shared" si="17"/>
        <v>0</v>
      </c>
      <c r="F81" s="71">
        <f t="shared" si="17"/>
        <v>0</v>
      </c>
      <c r="G81" s="71">
        <f t="shared" si="17"/>
        <v>0</v>
      </c>
      <c r="H81" s="71">
        <f t="shared" si="17"/>
        <v>0</v>
      </c>
      <c r="I81" s="71">
        <f t="shared" si="17"/>
        <v>0</v>
      </c>
      <c r="J81" s="71">
        <f t="shared" si="17"/>
        <v>0</v>
      </c>
      <c r="K81" s="71">
        <f t="shared" si="17"/>
        <v>0</v>
      </c>
      <c r="L81" s="71">
        <f t="shared" si="17"/>
        <v>0</v>
      </c>
      <c r="M81" s="71">
        <f t="shared" si="17"/>
        <v>0</v>
      </c>
      <c r="N81" s="71">
        <f t="shared" si="17"/>
        <v>0</v>
      </c>
      <c r="O81" s="71">
        <f t="shared" si="17"/>
        <v>0</v>
      </c>
      <c r="P81" s="71">
        <f t="shared" si="17"/>
        <v>0</v>
      </c>
      <c r="Q81" s="71">
        <f t="shared" si="17"/>
        <v>0</v>
      </c>
      <c r="R81" s="71">
        <f t="shared" si="17"/>
        <v>0</v>
      </c>
      <c r="S81" s="71">
        <f t="shared" si="17"/>
        <v>0</v>
      </c>
      <c r="T81" s="71">
        <f t="shared" si="17"/>
        <v>0</v>
      </c>
      <c r="U81" s="71">
        <f t="shared" si="17"/>
        <v>0</v>
      </c>
      <c r="V81" s="71">
        <f t="shared" si="17"/>
        <v>0</v>
      </c>
      <c r="W81" s="71">
        <f t="shared" si="17"/>
        <v>0</v>
      </c>
      <c r="X81" s="71">
        <f t="shared" si="17"/>
        <v>0</v>
      </c>
      <c r="Y81" s="71">
        <f t="shared" si="17"/>
        <v>0</v>
      </c>
      <c r="Z81" s="71">
        <f t="shared" si="17"/>
        <v>0</v>
      </c>
      <c r="AA81" s="71">
        <f t="shared" si="17"/>
        <v>0</v>
      </c>
      <c r="AB81" s="71">
        <f t="shared" si="17"/>
        <v>0</v>
      </c>
      <c r="AC81" s="71">
        <f t="shared" si="17"/>
        <v>0</v>
      </c>
      <c r="AD81" s="71">
        <f t="shared" si="17"/>
        <v>0</v>
      </c>
      <c r="AE81" s="71">
        <f t="shared" si="17"/>
        <v>0</v>
      </c>
      <c r="AF81" s="71">
        <f t="shared" si="17"/>
        <v>0</v>
      </c>
      <c r="AG81" s="135"/>
      <c r="AH81" s="54">
        <f t="shared" si="16"/>
        <v>0</v>
      </c>
      <c r="AI81" s="55">
        <f t="shared" ref="AI81:AI97" si="18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>IF(B62&lt;0,B62*-1,0)</f>
        <v>0</v>
      </c>
      <c r="C82" s="71">
        <f t="shared" ref="C82:AF82" si="19">IF(C62&lt;0,C62*-1,0)</f>
        <v>0</v>
      </c>
      <c r="D82" s="71">
        <f t="shared" si="19"/>
        <v>0</v>
      </c>
      <c r="E82" s="71">
        <f t="shared" si="19"/>
        <v>0</v>
      </c>
      <c r="F82" s="71">
        <f t="shared" si="19"/>
        <v>0</v>
      </c>
      <c r="G82" s="71">
        <f t="shared" si="19"/>
        <v>0</v>
      </c>
      <c r="H82" s="71">
        <f t="shared" si="19"/>
        <v>0</v>
      </c>
      <c r="I82" s="71">
        <f t="shared" si="19"/>
        <v>0</v>
      </c>
      <c r="J82" s="71">
        <f t="shared" si="19"/>
        <v>0</v>
      </c>
      <c r="K82" s="71">
        <f t="shared" si="19"/>
        <v>0</v>
      </c>
      <c r="L82" s="71">
        <f t="shared" si="19"/>
        <v>0</v>
      </c>
      <c r="M82" s="71">
        <f t="shared" si="19"/>
        <v>0</v>
      </c>
      <c r="N82" s="71">
        <f t="shared" si="19"/>
        <v>0</v>
      </c>
      <c r="O82" s="71">
        <f t="shared" si="19"/>
        <v>0</v>
      </c>
      <c r="P82" s="71">
        <f t="shared" si="19"/>
        <v>0</v>
      </c>
      <c r="Q82" s="71">
        <f t="shared" si="19"/>
        <v>0</v>
      </c>
      <c r="R82" s="71">
        <f t="shared" si="19"/>
        <v>0</v>
      </c>
      <c r="S82" s="71">
        <f t="shared" si="19"/>
        <v>0</v>
      </c>
      <c r="T82" s="71">
        <f t="shared" si="19"/>
        <v>0</v>
      </c>
      <c r="U82" s="71">
        <f t="shared" si="19"/>
        <v>0</v>
      </c>
      <c r="V82" s="71">
        <f t="shared" si="19"/>
        <v>0</v>
      </c>
      <c r="W82" s="71">
        <f t="shared" si="19"/>
        <v>0</v>
      </c>
      <c r="X82" s="71">
        <f t="shared" si="19"/>
        <v>0</v>
      </c>
      <c r="Y82" s="71">
        <f t="shared" si="19"/>
        <v>0</v>
      </c>
      <c r="Z82" s="71">
        <f t="shared" si="19"/>
        <v>0</v>
      </c>
      <c r="AA82" s="71">
        <f t="shared" si="19"/>
        <v>0</v>
      </c>
      <c r="AB82" s="71">
        <f t="shared" si="19"/>
        <v>0</v>
      </c>
      <c r="AC82" s="71">
        <f t="shared" si="19"/>
        <v>0</v>
      </c>
      <c r="AD82" s="71">
        <f t="shared" si="19"/>
        <v>0</v>
      </c>
      <c r="AE82" s="71">
        <f t="shared" si="19"/>
        <v>0</v>
      </c>
      <c r="AF82" s="71">
        <f t="shared" si="19"/>
        <v>0</v>
      </c>
      <c r="AG82" s="136"/>
      <c r="AH82" s="54">
        <f t="shared" si="16"/>
        <v>0</v>
      </c>
      <c r="AI82" s="55">
        <f t="shared" si="18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>IF(B65&lt;0,B65*-1,0)</f>
        <v>0</v>
      </c>
      <c r="C83" s="71">
        <f t="shared" ref="C83:AF83" si="20">IF(C65&lt;0,C65*-1,0)</f>
        <v>0</v>
      </c>
      <c r="D83" s="71">
        <f t="shared" si="20"/>
        <v>0</v>
      </c>
      <c r="E83" s="71">
        <f t="shared" si="20"/>
        <v>0</v>
      </c>
      <c r="F83" s="71">
        <f t="shared" si="20"/>
        <v>0</v>
      </c>
      <c r="G83" s="71">
        <f t="shared" si="20"/>
        <v>0</v>
      </c>
      <c r="H83" s="71">
        <f t="shared" si="20"/>
        <v>0</v>
      </c>
      <c r="I83" s="71">
        <f t="shared" si="20"/>
        <v>0</v>
      </c>
      <c r="J83" s="71">
        <f t="shared" si="20"/>
        <v>0</v>
      </c>
      <c r="K83" s="71">
        <f t="shared" si="20"/>
        <v>0</v>
      </c>
      <c r="L83" s="71">
        <f t="shared" si="20"/>
        <v>0</v>
      </c>
      <c r="M83" s="71">
        <f t="shared" si="20"/>
        <v>0</v>
      </c>
      <c r="N83" s="71">
        <f t="shared" si="20"/>
        <v>0</v>
      </c>
      <c r="O83" s="71">
        <f t="shared" si="20"/>
        <v>0</v>
      </c>
      <c r="P83" s="71">
        <f t="shared" si="20"/>
        <v>0</v>
      </c>
      <c r="Q83" s="71">
        <f t="shared" si="20"/>
        <v>0</v>
      </c>
      <c r="R83" s="71">
        <f t="shared" si="20"/>
        <v>0</v>
      </c>
      <c r="S83" s="71">
        <f t="shared" si="20"/>
        <v>0</v>
      </c>
      <c r="T83" s="71">
        <f t="shared" si="20"/>
        <v>0</v>
      </c>
      <c r="U83" s="71">
        <f t="shared" si="20"/>
        <v>0</v>
      </c>
      <c r="V83" s="71">
        <f t="shared" si="20"/>
        <v>0</v>
      </c>
      <c r="W83" s="71">
        <f t="shared" si="20"/>
        <v>0</v>
      </c>
      <c r="X83" s="71">
        <f t="shared" si="20"/>
        <v>0</v>
      </c>
      <c r="Y83" s="71">
        <f t="shared" si="20"/>
        <v>0</v>
      </c>
      <c r="Z83" s="71">
        <f t="shared" si="20"/>
        <v>0</v>
      </c>
      <c r="AA83" s="71">
        <f t="shared" si="20"/>
        <v>0</v>
      </c>
      <c r="AB83" s="71">
        <f t="shared" si="20"/>
        <v>0</v>
      </c>
      <c r="AC83" s="71">
        <f t="shared" si="20"/>
        <v>0</v>
      </c>
      <c r="AD83" s="71">
        <f t="shared" si="20"/>
        <v>0</v>
      </c>
      <c r="AE83" s="71">
        <f t="shared" si="20"/>
        <v>0</v>
      </c>
      <c r="AF83" s="71">
        <f t="shared" si="20"/>
        <v>0</v>
      </c>
      <c r="AG83" s="144"/>
      <c r="AH83" s="54">
        <f t="shared" si="16"/>
        <v>0</v>
      </c>
      <c r="AI83" s="55">
        <f t="shared" si="18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>IF(B63&lt;0,B63*-1,0)</f>
        <v>320</v>
      </c>
      <c r="C84" s="71">
        <f t="shared" ref="C84:AF84" si="21">IF(C63&lt;0,C63*-1,0)</f>
        <v>361</v>
      </c>
      <c r="D84" s="71">
        <f t="shared" si="21"/>
        <v>326</v>
      </c>
      <c r="E84" s="71">
        <f t="shared" si="21"/>
        <v>300</v>
      </c>
      <c r="F84" s="71">
        <f t="shared" si="21"/>
        <v>356</v>
      </c>
      <c r="G84" s="71">
        <f t="shared" si="21"/>
        <v>380.1</v>
      </c>
      <c r="H84" s="71">
        <f t="shared" si="21"/>
        <v>355.3</v>
      </c>
      <c r="I84" s="71">
        <f t="shared" si="21"/>
        <v>417.3</v>
      </c>
      <c r="J84" s="71">
        <f t="shared" si="21"/>
        <v>368</v>
      </c>
      <c r="K84" s="71">
        <f t="shared" si="21"/>
        <v>310</v>
      </c>
      <c r="L84" s="71">
        <f t="shared" si="21"/>
        <v>291</v>
      </c>
      <c r="M84" s="71">
        <f t="shared" si="21"/>
        <v>330</v>
      </c>
      <c r="N84" s="71">
        <f t="shared" si="21"/>
        <v>302.5</v>
      </c>
      <c r="O84" s="71">
        <f t="shared" si="21"/>
        <v>270.2</v>
      </c>
      <c r="P84" s="71">
        <f t="shared" si="21"/>
        <v>260.2</v>
      </c>
      <c r="Q84" s="71">
        <f t="shared" si="21"/>
        <v>285</v>
      </c>
      <c r="R84" s="71">
        <f t="shared" si="21"/>
        <v>300.5</v>
      </c>
      <c r="S84" s="71">
        <f t="shared" si="21"/>
        <v>275</v>
      </c>
      <c r="T84" s="71">
        <f t="shared" si="21"/>
        <v>292</v>
      </c>
      <c r="U84" s="71">
        <f t="shared" si="21"/>
        <v>285</v>
      </c>
      <c r="V84" s="71">
        <f t="shared" si="21"/>
        <v>287</v>
      </c>
      <c r="W84" s="71">
        <f t="shared" si="21"/>
        <v>338</v>
      </c>
      <c r="X84" s="71">
        <f t="shared" si="21"/>
        <v>336</v>
      </c>
      <c r="Y84" s="71">
        <f t="shared" si="21"/>
        <v>287</v>
      </c>
      <c r="Z84" s="71">
        <f t="shared" si="21"/>
        <v>238</v>
      </c>
      <c r="AA84" s="71">
        <f t="shared" si="21"/>
        <v>189</v>
      </c>
      <c r="AB84" s="71">
        <f t="shared" si="21"/>
        <v>200.6</v>
      </c>
      <c r="AC84" s="71">
        <f t="shared" si="21"/>
        <v>220</v>
      </c>
      <c r="AD84" s="71">
        <f t="shared" si="21"/>
        <v>300</v>
      </c>
      <c r="AE84" s="71">
        <f t="shared" si="21"/>
        <v>300</v>
      </c>
      <c r="AF84" s="71">
        <f t="shared" si="21"/>
        <v>315</v>
      </c>
      <c r="AG84" s="144"/>
      <c r="AH84" s="54">
        <f t="shared" si="16"/>
        <v>417.3</v>
      </c>
      <c r="AI84" s="55">
        <f t="shared" si="18"/>
        <v>189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>IF(B61&lt;0,B61*-1,0)</f>
        <v>0</v>
      </c>
      <c r="C85" s="71">
        <f t="shared" ref="C85:AF85" si="22">IF(C61&lt;0,C61*-1,0)</f>
        <v>0</v>
      </c>
      <c r="D85" s="71">
        <f t="shared" si="22"/>
        <v>0</v>
      </c>
      <c r="E85" s="71">
        <f t="shared" si="22"/>
        <v>0</v>
      </c>
      <c r="F85" s="71">
        <f t="shared" si="22"/>
        <v>0</v>
      </c>
      <c r="G85" s="71">
        <f t="shared" si="22"/>
        <v>0</v>
      </c>
      <c r="H85" s="71">
        <f t="shared" si="22"/>
        <v>0</v>
      </c>
      <c r="I85" s="71">
        <f t="shared" si="22"/>
        <v>0</v>
      </c>
      <c r="J85" s="71">
        <f t="shared" si="22"/>
        <v>0</v>
      </c>
      <c r="K85" s="71">
        <f t="shared" si="22"/>
        <v>0</v>
      </c>
      <c r="L85" s="71">
        <f t="shared" si="22"/>
        <v>0</v>
      </c>
      <c r="M85" s="71">
        <f t="shared" si="22"/>
        <v>0</v>
      </c>
      <c r="N85" s="71">
        <f t="shared" si="22"/>
        <v>0</v>
      </c>
      <c r="O85" s="71">
        <f t="shared" si="22"/>
        <v>0</v>
      </c>
      <c r="P85" s="71">
        <f t="shared" si="22"/>
        <v>0</v>
      </c>
      <c r="Q85" s="71">
        <f t="shared" si="22"/>
        <v>0</v>
      </c>
      <c r="R85" s="71">
        <f t="shared" si="22"/>
        <v>0</v>
      </c>
      <c r="S85" s="71">
        <f t="shared" si="22"/>
        <v>0</v>
      </c>
      <c r="T85" s="71">
        <f t="shared" si="22"/>
        <v>0</v>
      </c>
      <c r="U85" s="71">
        <f t="shared" si="22"/>
        <v>0</v>
      </c>
      <c r="V85" s="71">
        <f t="shared" si="22"/>
        <v>0</v>
      </c>
      <c r="W85" s="71">
        <f t="shared" si="22"/>
        <v>0</v>
      </c>
      <c r="X85" s="71">
        <f t="shared" si="22"/>
        <v>0</v>
      </c>
      <c r="Y85" s="71">
        <f t="shared" si="22"/>
        <v>0</v>
      </c>
      <c r="Z85" s="71">
        <f t="shared" si="22"/>
        <v>0</v>
      </c>
      <c r="AA85" s="71">
        <f t="shared" si="22"/>
        <v>0</v>
      </c>
      <c r="AB85" s="71">
        <f t="shared" si="22"/>
        <v>0</v>
      </c>
      <c r="AC85" s="71">
        <f t="shared" si="22"/>
        <v>0</v>
      </c>
      <c r="AD85" s="71">
        <f t="shared" si="22"/>
        <v>0</v>
      </c>
      <c r="AE85" s="71">
        <f t="shared" si="22"/>
        <v>0</v>
      </c>
      <c r="AF85" s="71">
        <f t="shared" si="22"/>
        <v>0</v>
      </c>
      <c r="AG85" s="144"/>
      <c r="AH85" s="54">
        <f t="shared" si="16"/>
        <v>0</v>
      </c>
      <c r="AI85" s="55">
        <f t="shared" si="18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/>
      <c r="AD86" s="74"/>
      <c r="AE86" s="74"/>
      <c r="AF86" s="74"/>
      <c r="AG86" s="141"/>
      <c r="AH86" s="54">
        <f t="shared" si="16"/>
        <v>0</v>
      </c>
      <c r="AI86" s="55">
        <f t="shared" si="18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>SUM(B81:B86)</f>
        <v>320</v>
      </c>
      <c r="C87" s="66">
        <f t="shared" ref="C87:AF87" si="23">SUM(C81:C86)</f>
        <v>361</v>
      </c>
      <c r="D87" s="66">
        <f t="shared" si="23"/>
        <v>326</v>
      </c>
      <c r="E87" s="66">
        <f t="shared" si="23"/>
        <v>300</v>
      </c>
      <c r="F87" s="66">
        <f t="shared" si="23"/>
        <v>356</v>
      </c>
      <c r="G87" s="66">
        <f t="shared" si="23"/>
        <v>380.1</v>
      </c>
      <c r="H87" s="66">
        <f t="shared" si="23"/>
        <v>355.3</v>
      </c>
      <c r="I87" s="66">
        <f t="shared" si="23"/>
        <v>417.3</v>
      </c>
      <c r="J87" s="66">
        <f t="shared" si="23"/>
        <v>368</v>
      </c>
      <c r="K87" s="66">
        <f t="shared" si="23"/>
        <v>310</v>
      </c>
      <c r="L87" s="66">
        <f t="shared" si="23"/>
        <v>291</v>
      </c>
      <c r="M87" s="66">
        <f t="shared" si="23"/>
        <v>330</v>
      </c>
      <c r="N87" s="66">
        <f t="shared" si="23"/>
        <v>302.5</v>
      </c>
      <c r="O87" s="66">
        <f t="shared" si="23"/>
        <v>270.2</v>
      </c>
      <c r="P87" s="66">
        <f t="shared" si="23"/>
        <v>260.2</v>
      </c>
      <c r="Q87" s="66">
        <f t="shared" si="23"/>
        <v>285</v>
      </c>
      <c r="R87" s="66">
        <f t="shared" si="23"/>
        <v>300.5</v>
      </c>
      <c r="S87" s="66">
        <f t="shared" si="23"/>
        <v>275</v>
      </c>
      <c r="T87" s="66">
        <f t="shared" si="23"/>
        <v>292</v>
      </c>
      <c r="U87" s="66">
        <f t="shared" si="23"/>
        <v>285</v>
      </c>
      <c r="V87" s="66">
        <f t="shared" si="23"/>
        <v>287</v>
      </c>
      <c r="W87" s="66">
        <f t="shared" si="23"/>
        <v>338</v>
      </c>
      <c r="X87" s="66">
        <f t="shared" si="23"/>
        <v>336</v>
      </c>
      <c r="Y87" s="66">
        <f t="shared" si="23"/>
        <v>287</v>
      </c>
      <c r="Z87" s="66">
        <f t="shared" si="23"/>
        <v>238</v>
      </c>
      <c r="AA87" s="66">
        <f t="shared" si="23"/>
        <v>189</v>
      </c>
      <c r="AB87" s="66">
        <f t="shared" si="23"/>
        <v>200.6</v>
      </c>
      <c r="AC87" s="66">
        <f t="shared" si="23"/>
        <v>220</v>
      </c>
      <c r="AD87" s="66">
        <f t="shared" si="23"/>
        <v>300</v>
      </c>
      <c r="AE87" s="66">
        <f t="shared" si="23"/>
        <v>300</v>
      </c>
      <c r="AF87" s="66">
        <f t="shared" si="23"/>
        <v>315</v>
      </c>
      <c r="AG87" s="138"/>
      <c r="AH87" s="54">
        <f t="shared" si="16"/>
        <v>417.3</v>
      </c>
      <c r="AI87" s="55">
        <f t="shared" si="18"/>
        <v>189</v>
      </c>
      <c r="AK87" s="56"/>
    </row>
    <row r="88" spans="1:88" s="1" customFormat="1" ht="15.75" thickBot="1" x14ac:dyDescent="0.3">
      <c r="A88" s="65" t="s">
        <v>64</v>
      </c>
      <c r="B88" s="66">
        <f>B72-B87</f>
        <v>-242.6</v>
      </c>
      <c r="C88" s="66">
        <f t="shared" ref="C88:AF88" si="24">C72-C87</f>
        <v>-361</v>
      </c>
      <c r="D88" s="66">
        <f t="shared" si="24"/>
        <v>-326</v>
      </c>
      <c r="E88" s="66">
        <f t="shared" si="24"/>
        <v>-300</v>
      </c>
      <c r="F88" s="66">
        <f t="shared" si="24"/>
        <v>-356</v>
      </c>
      <c r="G88" s="66">
        <f t="shared" si="24"/>
        <v>-380.1</v>
      </c>
      <c r="H88" s="66">
        <f t="shared" si="24"/>
        <v>-355.3</v>
      </c>
      <c r="I88" s="66">
        <f t="shared" si="24"/>
        <v>-417.3</v>
      </c>
      <c r="J88" s="66">
        <f t="shared" si="24"/>
        <v>-368</v>
      </c>
      <c r="K88" s="66">
        <f t="shared" si="24"/>
        <v>-310</v>
      </c>
      <c r="L88" s="66">
        <f t="shared" si="24"/>
        <v>-291</v>
      </c>
      <c r="M88" s="66">
        <f t="shared" si="24"/>
        <v>-330</v>
      </c>
      <c r="N88" s="66">
        <f t="shared" si="24"/>
        <v>-302.5</v>
      </c>
      <c r="O88" s="66">
        <f t="shared" si="24"/>
        <v>-260.2</v>
      </c>
      <c r="P88" s="66">
        <f t="shared" si="24"/>
        <v>-250.2</v>
      </c>
      <c r="Q88" s="66">
        <f t="shared" si="24"/>
        <v>-267.8</v>
      </c>
      <c r="R88" s="66">
        <f t="shared" si="24"/>
        <v>-282.3</v>
      </c>
      <c r="S88" s="66">
        <f t="shared" si="24"/>
        <v>-240</v>
      </c>
      <c r="T88" s="66">
        <f t="shared" si="24"/>
        <v>-270</v>
      </c>
      <c r="U88" s="66">
        <f t="shared" si="24"/>
        <v>-264</v>
      </c>
      <c r="V88" s="66">
        <f t="shared" si="24"/>
        <v>-270</v>
      </c>
      <c r="W88" s="66">
        <f t="shared" si="24"/>
        <v>-323</v>
      </c>
      <c r="X88" s="66">
        <f t="shared" si="24"/>
        <v>-318</v>
      </c>
      <c r="Y88" s="66">
        <f t="shared" si="24"/>
        <v>-253.5</v>
      </c>
      <c r="Z88" s="66">
        <f t="shared" si="24"/>
        <v>-188</v>
      </c>
      <c r="AA88" s="66">
        <f t="shared" si="24"/>
        <v>-126</v>
      </c>
      <c r="AB88" s="66">
        <f t="shared" si="24"/>
        <v>-115.89999999999999</v>
      </c>
      <c r="AC88" s="66">
        <f t="shared" si="24"/>
        <v>-135.30000000000001</v>
      </c>
      <c r="AD88" s="66">
        <f t="shared" si="24"/>
        <v>-221.3</v>
      </c>
      <c r="AE88" s="66">
        <f t="shared" si="24"/>
        <v>-221.3</v>
      </c>
      <c r="AF88" s="66">
        <f t="shared" si="24"/>
        <v>-262.8</v>
      </c>
      <c r="AG88" s="138"/>
      <c r="AH88" s="54">
        <f t="shared" si="16"/>
        <v>-115.89999999999999</v>
      </c>
      <c r="AI88" s="55">
        <f t="shared" si="18"/>
        <v>-417.3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50.02</v>
      </c>
      <c r="C89" s="80">
        <v>49.975999999999999</v>
      </c>
      <c r="D89" s="80">
        <v>50.027000000000001</v>
      </c>
      <c r="E89" s="80">
        <v>50.051000000000002</v>
      </c>
      <c r="F89" s="80">
        <v>49.994999999999997</v>
      </c>
      <c r="G89" s="80">
        <v>49.984000000000002</v>
      </c>
      <c r="H89" s="80">
        <v>50.024000000000001</v>
      </c>
      <c r="I89" s="80">
        <v>50.021999999999998</v>
      </c>
      <c r="J89" s="80">
        <v>49.924999999999997</v>
      </c>
      <c r="K89" s="80">
        <v>50.034999999999997</v>
      </c>
      <c r="L89" s="80">
        <v>49.972999999999999</v>
      </c>
      <c r="M89" s="80">
        <v>50.012999999999998</v>
      </c>
      <c r="N89" s="80">
        <v>50.029000000000003</v>
      </c>
      <c r="O89" s="80">
        <v>50.054000000000002</v>
      </c>
      <c r="P89" s="80">
        <v>50.058999999999997</v>
      </c>
      <c r="Q89" s="80">
        <v>50.033000000000001</v>
      </c>
      <c r="R89" s="80">
        <v>49.948</v>
      </c>
      <c r="S89" s="80">
        <v>49.987000000000002</v>
      </c>
      <c r="T89" s="80">
        <v>49.987000000000002</v>
      </c>
      <c r="U89" s="80">
        <v>50.05</v>
      </c>
      <c r="V89" s="80">
        <v>50.017000000000003</v>
      </c>
      <c r="W89" s="80">
        <v>50.000999999999998</v>
      </c>
      <c r="X89" s="80">
        <v>49.898000000000003</v>
      </c>
      <c r="Y89" s="80">
        <v>50.002000000000002</v>
      </c>
      <c r="Z89" s="80">
        <v>50.076000000000001</v>
      </c>
      <c r="AA89" s="80">
        <v>49.965000000000003</v>
      </c>
      <c r="AB89" s="80">
        <v>50.01</v>
      </c>
      <c r="AC89" s="80">
        <v>49.97</v>
      </c>
      <c r="AD89" s="80">
        <v>50.01</v>
      </c>
      <c r="AE89" s="80">
        <v>50.03</v>
      </c>
      <c r="AF89" s="80">
        <v>50.06</v>
      </c>
      <c r="AG89" s="145"/>
      <c r="AH89" s="54">
        <f t="shared" si="16"/>
        <v>50.076000000000001</v>
      </c>
      <c r="AI89" s="55">
        <f t="shared" si="18"/>
        <v>49.898000000000003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124.7</v>
      </c>
      <c r="C90" s="48">
        <v>123.9</v>
      </c>
      <c r="D90" s="48">
        <v>124.4</v>
      </c>
      <c r="E90" s="48">
        <v>124.1</v>
      </c>
      <c r="F90" s="48">
        <v>125.8</v>
      </c>
      <c r="G90" s="48">
        <v>124</v>
      </c>
      <c r="H90" s="48">
        <v>124.9</v>
      </c>
      <c r="I90" s="48">
        <v>126.2</v>
      </c>
      <c r="J90" s="48">
        <v>124.6</v>
      </c>
      <c r="K90" s="48">
        <v>123.4</v>
      </c>
      <c r="L90" s="48">
        <v>122</v>
      </c>
      <c r="M90" s="48">
        <v>124.4</v>
      </c>
      <c r="N90" s="48">
        <v>122.3</v>
      </c>
      <c r="O90" s="48">
        <v>123.6</v>
      </c>
      <c r="P90" s="48">
        <v>122.6</v>
      </c>
      <c r="Q90" s="48">
        <v>122.6</v>
      </c>
      <c r="R90" s="48">
        <v>123.3</v>
      </c>
      <c r="S90" s="48">
        <v>123.3</v>
      </c>
      <c r="T90" s="48">
        <v>123.3</v>
      </c>
      <c r="U90" s="48">
        <v>122.6</v>
      </c>
      <c r="V90" s="48">
        <v>122.7</v>
      </c>
      <c r="W90" s="48">
        <v>124</v>
      </c>
      <c r="X90" s="48">
        <v>124</v>
      </c>
      <c r="Y90" s="48">
        <v>124</v>
      </c>
      <c r="Z90" s="48">
        <v>125</v>
      </c>
      <c r="AA90" s="48">
        <v>123.7</v>
      </c>
      <c r="AB90" s="48">
        <v>124.7</v>
      </c>
      <c r="AC90" s="48">
        <v>124.3</v>
      </c>
      <c r="AD90" s="48">
        <v>124.3</v>
      </c>
      <c r="AE90" s="48">
        <v>123</v>
      </c>
      <c r="AF90" s="48">
        <v>122</v>
      </c>
      <c r="AG90" s="146"/>
      <c r="AH90" s="54">
        <f t="shared" si="16"/>
        <v>126.2</v>
      </c>
      <c r="AI90" s="55">
        <f t="shared" si="18"/>
        <v>122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130</v>
      </c>
      <c r="C91" s="48">
        <v>129.5</v>
      </c>
      <c r="D91" s="48">
        <v>130</v>
      </c>
      <c r="E91" s="48">
        <v>129.69999999999999</v>
      </c>
      <c r="F91" s="48">
        <v>130.69999999999999</v>
      </c>
      <c r="G91" s="48">
        <v>129.5</v>
      </c>
      <c r="H91" s="48">
        <v>129.6</v>
      </c>
      <c r="I91" s="48">
        <v>129.80000000000001</v>
      </c>
      <c r="J91" s="48">
        <v>128.80000000000001</v>
      </c>
      <c r="K91" s="48">
        <v>127.7</v>
      </c>
      <c r="L91" s="48">
        <v>126.1</v>
      </c>
      <c r="M91" s="48">
        <v>128.6</v>
      </c>
      <c r="N91" s="48">
        <v>126.6</v>
      </c>
      <c r="O91" s="48">
        <v>127</v>
      </c>
      <c r="P91" s="48">
        <v>126.2</v>
      </c>
      <c r="Q91" s="48">
        <v>126.4</v>
      </c>
      <c r="R91" s="48">
        <v>126.6</v>
      </c>
      <c r="S91" s="48">
        <v>126.6</v>
      </c>
      <c r="T91" s="48">
        <v>126.6</v>
      </c>
      <c r="U91" s="48">
        <v>126.6</v>
      </c>
      <c r="V91" s="48">
        <v>126.9</v>
      </c>
      <c r="W91" s="48">
        <v>129</v>
      </c>
      <c r="X91" s="48">
        <v>129</v>
      </c>
      <c r="Y91" s="48">
        <v>129</v>
      </c>
      <c r="Z91" s="48">
        <v>128</v>
      </c>
      <c r="AA91" s="48">
        <v>127.3</v>
      </c>
      <c r="AB91" s="48">
        <v>128.6</v>
      </c>
      <c r="AC91" s="48">
        <v>128.69999999999999</v>
      </c>
      <c r="AD91" s="48">
        <v>128.69999999999999</v>
      </c>
      <c r="AE91" s="48">
        <v>128.69999999999999</v>
      </c>
      <c r="AF91" s="48">
        <v>127.3</v>
      </c>
      <c r="AG91" s="146"/>
      <c r="AH91" s="54">
        <f t="shared" si="16"/>
        <v>130.69999999999999</v>
      </c>
      <c r="AI91" s="55">
        <f t="shared" si="18"/>
        <v>126.1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127.6</v>
      </c>
      <c r="C92" s="48">
        <v>127.1</v>
      </c>
      <c r="D92" s="48">
        <v>128</v>
      </c>
      <c r="E92" s="48">
        <v>126.2</v>
      </c>
      <c r="F92" s="48">
        <v>128.19999999999999</v>
      </c>
      <c r="G92" s="48">
        <v>127.8</v>
      </c>
      <c r="H92" s="48">
        <v>129.80000000000001</v>
      </c>
      <c r="I92" s="48">
        <v>129.19999999999999</v>
      </c>
      <c r="J92" s="48">
        <v>129.19999999999999</v>
      </c>
      <c r="K92" s="48">
        <v>126.4</v>
      </c>
      <c r="L92" s="48">
        <v>126.6</v>
      </c>
      <c r="M92" s="48">
        <v>130.19999999999999</v>
      </c>
      <c r="N92" s="48">
        <v>125.5</v>
      </c>
      <c r="O92" s="48">
        <v>123</v>
      </c>
      <c r="P92" s="48">
        <v>126.8</v>
      </c>
      <c r="Q92" s="48">
        <v>129.6</v>
      </c>
      <c r="R92" s="48">
        <v>128.1</v>
      </c>
      <c r="S92" s="48">
        <v>128.1</v>
      </c>
      <c r="T92" s="48">
        <v>128.1</v>
      </c>
      <c r="U92" s="48">
        <v>128.1</v>
      </c>
      <c r="V92" s="48">
        <v>128</v>
      </c>
      <c r="W92" s="48">
        <v>128</v>
      </c>
      <c r="X92" s="48">
        <v>128</v>
      </c>
      <c r="Y92" s="48">
        <v>128</v>
      </c>
      <c r="Z92" s="48">
        <v>128</v>
      </c>
      <c r="AA92" s="48">
        <v>127.8</v>
      </c>
      <c r="AB92" s="48">
        <v>127.3</v>
      </c>
      <c r="AC92" s="48">
        <v>131.9</v>
      </c>
      <c r="AD92" s="48">
        <v>131.9</v>
      </c>
      <c r="AE92" s="48">
        <v>131.9</v>
      </c>
      <c r="AF92" s="48">
        <v>128.30000000000001</v>
      </c>
      <c r="AG92" s="146"/>
      <c r="AH92" s="54">
        <f t="shared" si="16"/>
        <v>131.9</v>
      </c>
      <c r="AI92" s="55">
        <f t="shared" si="18"/>
        <v>123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>
        <v>132.19999999999999</v>
      </c>
      <c r="C93" s="48">
        <v>132</v>
      </c>
      <c r="D93" s="48">
        <v>133</v>
      </c>
      <c r="E93" s="48">
        <v>130.69999999999999</v>
      </c>
      <c r="F93" s="48">
        <v>132.30000000000001</v>
      </c>
      <c r="G93" s="48">
        <v>131.9</v>
      </c>
      <c r="H93" s="48">
        <v>133.4</v>
      </c>
      <c r="I93" s="48">
        <v>133.30000000000001</v>
      </c>
      <c r="J93" s="48">
        <v>132.69999999999999</v>
      </c>
      <c r="K93" s="48">
        <v>129.5</v>
      </c>
      <c r="L93" s="48">
        <v>131.69999999999999</v>
      </c>
      <c r="M93" s="48">
        <v>134.4</v>
      </c>
      <c r="N93" s="48">
        <v>128.80000000000001</v>
      </c>
      <c r="O93" s="48">
        <v>126.3</v>
      </c>
      <c r="P93" s="48">
        <v>129</v>
      </c>
      <c r="Q93" s="48">
        <v>131.9</v>
      </c>
      <c r="R93" s="48">
        <v>131.4</v>
      </c>
      <c r="S93" s="48">
        <v>131.4</v>
      </c>
      <c r="T93" s="48">
        <v>131.4</v>
      </c>
      <c r="U93" s="48">
        <v>131.4</v>
      </c>
      <c r="V93" s="48">
        <v>131.1</v>
      </c>
      <c r="W93" s="48">
        <v>132</v>
      </c>
      <c r="X93" s="48">
        <v>132</v>
      </c>
      <c r="Y93" s="48">
        <v>132</v>
      </c>
      <c r="Z93" s="48">
        <v>132</v>
      </c>
      <c r="AA93" s="48">
        <v>132.30000000000001</v>
      </c>
      <c r="AB93" s="48">
        <v>132.1</v>
      </c>
      <c r="AC93" s="48">
        <v>132.1</v>
      </c>
      <c r="AD93" s="48">
        <v>132.1</v>
      </c>
      <c r="AE93" s="48">
        <v>132.1</v>
      </c>
      <c r="AF93" s="48">
        <v>133.30000000000001</v>
      </c>
      <c r="AG93" s="146"/>
      <c r="AH93" s="54">
        <f t="shared" si="16"/>
        <v>134.4</v>
      </c>
      <c r="AI93" s="55">
        <f t="shared" si="18"/>
        <v>126.3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133.9</v>
      </c>
      <c r="C94" s="82">
        <v>132.80000000000001</v>
      </c>
      <c r="D94" s="82">
        <v>132.80000000000001</v>
      </c>
      <c r="E94" s="82">
        <v>132.9</v>
      </c>
      <c r="F94" s="82">
        <v>133.19999999999999</v>
      </c>
      <c r="G94" s="82">
        <v>131.4</v>
      </c>
      <c r="H94" s="82">
        <v>131</v>
      </c>
      <c r="I94" s="82">
        <v>131.9</v>
      </c>
      <c r="J94" s="82">
        <v>130.69999999999999</v>
      </c>
      <c r="K94" s="82">
        <v>134</v>
      </c>
      <c r="L94" s="82">
        <v>130.4</v>
      </c>
      <c r="M94" s="82">
        <v>133.69999999999999</v>
      </c>
      <c r="N94" s="82">
        <v>134.1</v>
      </c>
      <c r="O94" s="82">
        <v>131.19999999999999</v>
      </c>
      <c r="P94" s="82">
        <v>133.80000000000001</v>
      </c>
      <c r="Q94" s="82">
        <v>134.9</v>
      </c>
      <c r="R94" s="82">
        <v>129.9</v>
      </c>
      <c r="S94" s="82">
        <v>129.9</v>
      </c>
      <c r="T94" s="82">
        <v>129.9</v>
      </c>
      <c r="U94" s="82">
        <v>129.9</v>
      </c>
      <c r="V94" s="82">
        <v>133</v>
      </c>
      <c r="W94" s="82">
        <v>134</v>
      </c>
      <c r="X94" s="82">
        <v>134</v>
      </c>
      <c r="Y94" s="82">
        <v>134</v>
      </c>
      <c r="Z94" s="82">
        <v>134</v>
      </c>
      <c r="AA94" s="82">
        <v>133.9</v>
      </c>
      <c r="AB94" s="82">
        <v>134.4</v>
      </c>
      <c r="AC94" s="82">
        <v>134.4</v>
      </c>
      <c r="AD94" s="82">
        <v>134.4</v>
      </c>
      <c r="AE94" s="82">
        <v>134.4</v>
      </c>
      <c r="AF94" s="82">
        <v>131.4</v>
      </c>
      <c r="AG94" s="147"/>
      <c r="AH94" s="54">
        <f t="shared" si="16"/>
        <v>134.9</v>
      </c>
      <c r="AI94" s="55">
        <f t="shared" si="18"/>
        <v>129.9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131.1</v>
      </c>
      <c r="C95" s="48">
        <v>130</v>
      </c>
      <c r="D95" s="48">
        <v>126.2</v>
      </c>
      <c r="E95" s="48">
        <v>127.4</v>
      </c>
      <c r="F95" s="48">
        <v>128</v>
      </c>
      <c r="G95" s="48">
        <v>130.6</v>
      </c>
      <c r="H95" s="48">
        <v>128.80000000000001</v>
      </c>
      <c r="I95" s="48">
        <v>131.5</v>
      </c>
      <c r="J95" s="48">
        <v>130.1</v>
      </c>
      <c r="K95" s="48">
        <v>135.9</v>
      </c>
      <c r="L95" s="48">
        <v>130</v>
      </c>
      <c r="M95" s="48">
        <v>133.30000000000001</v>
      </c>
      <c r="N95" s="48">
        <v>133.4</v>
      </c>
      <c r="O95" s="48">
        <v>127.2</v>
      </c>
      <c r="P95" s="48">
        <v>131.30000000000001</v>
      </c>
      <c r="Q95" s="48">
        <v>130.30000000000001</v>
      </c>
      <c r="R95" s="48">
        <v>123.2</v>
      </c>
      <c r="S95" s="48">
        <v>123.2</v>
      </c>
      <c r="T95" s="48">
        <v>123.2</v>
      </c>
      <c r="U95" s="48">
        <v>123.2</v>
      </c>
      <c r="V95" s="48">
        <v>132</v>
      </c>
      <c r="W95" s="48">
        <v>131</v>
      </c>
      <c r="X95" s="48">
        <v>131</v>
      </c>
      <c r="Y95" s="48">
        <v>131</v>
      </c>
      <c r="Z95" s="48">
        <v>131</v>
      </c>
      <c r="AA95" s="48">
        <v>128.6</v>
      </c>
      <c r="AB95" s="48">
        <v>126.9</v>
      </c>
      <c r="AC95" s="48">
        <v>126.9</v>
      </c>
      <c r="AD95" s="48">
        <v>126.9</v>
      </c>
      <c r="AE95" s="48">
        <v>126.9</v>
      </c>
      <c r="AF95" s="48">
        <v>130.1</v>
      </c>
      <c r="AG95" s="146"/>
      <c r="AH95" s="54">
        <f t="shared" si="16"/>
        <v>135.9</v>
      </c>
      <c r="AI95" s="55">
        <f t="shared" si="18"/>
        <v>123.2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65.8</v>
      </c>
      <c r="C96" s="83">
        <v>65.400000000000006</v>
      </c>
      <c r="D96" s="83">
        <v>65.599999999999994</v>
      </c>
      <c r="E96" s="83">
        <v>65.7</v>
      </c>
      <c r="F96" s="83">
        <v>66.3</v>
      </c>
      <c r="G96" s="83">
        <v>65.5</v>
      </c>
      <c r="H96" s="83">
        <v>65.599999999999994</v>
      </c>
      <c r="I96" s="83">
        <v>65.5</v>
      </c>
      <c r="J96" s="83">
        <v>65.099999999999994</v>
      </c>
      <c r="K96" s="83">
        <v>64.5</v>
      </c>
      <c r="L96" s="83">
        <v>63.7</v>
      </c>
      <c r="M96" s="83">
        <v>65.099999999999994</v>
      </c>
      <c r="N96" s="83">
        <v>64</v>
      </c>
      <c r="O96" s="83">
        <v>64.2</v>
      </c>
      <c r="P96" s="83">
        <v>63.3</v>
      </c>
      <c r="Q96" s="83">
        <v>63.7</v>
      </c>
      <c r="R96" s="83">
        <v>64</v>
      </c>
      <c r="S96" s="83">
        <v>64</v>
      </c>
      <c r="T96" s="83">
        <v>63.8</v>
      </c>
      <c r="U96" s="83">
        <v>63.8</v>
      </c>
      <c r="V96" s="83">
        <v>64.3</v>
      </c>
      <c r="W96" s="83">
        <v>64.599999999999994</v>
      </c>
      <c r="X96" s="83">
        <v>64.599999999999994</v>
      </c>
      <c r="Y96" s="83">
        <v>64.599999999999994</v>
      </c>
      <c r="Z96" s="83">
        <v>64.599999999999994</v>
      </c>
      <c r="AA96" s="83">
        <v>64.3</v>
      </c>
      <c r="AB96" s="83">
        <v>65.099999999999994</v>
      </c>
      <c r="AC96" s="83">
        <v>65.2</v>
      </c>
      <c r="AD96" s="83">
        <v>65.2</v>
      </c>
      <c r="AE96" s="83">
        <v>65.2</v>
      </c>
      <c r="AF96" s="83">
        <v>64.599999999999994</v>
      </c>
      <c r="AG96" s="148"/>
      <c r="AH96" s="54">
        <f t="shared" si="16"/>
        <v>66.3</v>
      </c>
      <c r="AI96" s="55">
        <f t="shared" si="18"/>
        <v>63.3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16"/>
        <v>0</v>
      </c>
      <c r="AI97" s="55">
        <f t="shared" si="18"/>
        <v>0</v>
      </c>
    </row>
    <row r="98" spans="1:37" ht="15.75" thickBot="1" x14ac:dyDescent="0.3">
      <c r="A98" s="85" t="s">
        <v>73</v>
      </c>
      <c r="B98" s="86">
        <f t="shared" ref="B98:AF98" si="25">SUM(B15,B18,B21:B22,B46,B48:B49,B51,B53,B99:B102,B123,B129,B135,B144,B146,B158,B165,B168:B169,B176,B178,B180,B184:B186,B188:B190,B195,B201:B202,B204:B206,B214,B219)</f>
        <v>29.899999999999995</v>
      </c>
      <c r="C98" s="86">
        <f t="shared" si="25"/>
        <v>30.339999999999979</v>
      </c>
      <c r="D98" s="86">
        <f t="shared" si="25"/>
        <v>3.8399999999999888</v>
      </c>
      <c r="E98" s="86">
        <f t="shared" si="25"/>
        <v>147.63999999999996</v>
      </c>
      <c r="F98" s="86">
        <f t="shared" si="25"/>
        <v>17.739999999999991</v>
      </c>
      <c r="G98" s="86">
        <f t="shared" si="25"/>
        <v>10.339999999999979</v>
      </c>
      <c r="H98" s="86">
        <f t="shared" si="25"/>
        <v>55.839999999999975</v>
      </c>
      <c r="I98" s="86">
        <f t="shared" si="25"/>
        <v>79.639999999999986</v>
      </c>
      <c r="J98" s="86">
        <f t="shared" si="25"/>
        <v>117.94000000000001</v>
      </c>
      <c r="K98" s="86">
        <f t="shared" si="25"/>
        <v>151.84</v>
      </c>
      <c r="L98" s="86">
        <f t="shared" si="25"/>
        <v>175.64</v>
      </c>
      <c r="M98" s="86">
        <f t="shared" si="25"/>
        <v>195.94</v>
      </c>
      <c r="N98" s="86">
        <f t="shared" si="25"/>
        <v>191.33999999999997</v>
      </c>
      <c r="O98" s="86">
        <f t="shared" si="25"/>
        <v>193.94</v>
      </c>
      <c r="P98" s="86">
        <f t="shared" si="25"/>
        <v>181.74</v>
      </c>
      <c r="Q98" s="86">
        <f t="shared" si="25"/>
        <v>175.10000000000002</v>
      </c>
      <c r="R98" s="86">
        <f t="shared" si="25"/>
        <v>163.20000000000002</v>
      </c>
      <c r="S98" s="86">
        <f t="shared" si="25"/>
        <v>219.5</v>
      </c>
      <c r="T98" s="86">
        <f t="shared" si="25"/>
        <v>222.5</v>
      </c>
      <c r="U98" s="86">
        <f t="shared" si="25"/>
        <v>171.5</v>
      </c>
      <c r="V98" s="86">
        <f t="shared" si="25"/>
        <v>223.5</v>
      </c>
      <c r="W98" s="86">
        <f t="shared" si="25"/>
        <v>225.5</v>
      </c>
      <c r="X98" s="86">
        <f t="shared" si="25"/>
        <v>223.5</v>
      </c>
      <c r="Y98" s="86">
        <f t="shared" si="25"/>
        <v>235.5</v>
      </c>
      <c r="Z98" s="86">
        <f t="shared" si="25"/>
        <v>252.5</v>
      </c>
      <c r="AA98" s="86">
        <f t="shared" si="25"/>
        <v>252.5</v>
      </c>
      <c r="AB98" s="86">
        <f t="shared" si="25"/>
        <v>254.6</v>
      </c>
      <c r="AC98" s="86">
        <f t="shared" si="25"/>
        <v>238.2</v>
      </c>
      <c r="AD98" s="86">
        <f t="shared" si="25"/>
        <v>238.2</v>
      </c>
      <c r="AE98" s="86">
        <f t="shared" si="25"/>
        <v>238.2</v>
      </c>
      <c r="AF98" s="86">
        <f t="shared" si="25"/>
        <v>233.7</v>
      </c>
      <c r="AG98" s="150"/>
      <c r="AH98" s="54">
        <f>MAX(C98:AF98)</f>
        <v>254.6</v>
      </c>
      <c r="AI98" s="55">
        <f>MIN(C98:AF98)</f>
        <v>3.8399999999999888</v>
      </c>
    </row>
    <row r="99" spans="1:37" x14ac:dyDescent="0.25">
      <c r="A99" s="170" t="s">
        <v>74</v>
      </c>
      <c r="B99" s="87">
        <v>1.7</v>
      </c>
      <c r="C99" s="87">
        <v>17.7</v>
      </c>
      <c r="D99" s="87">
        <v>15.3</v>
      </c>
      <c r="E99" s="87">
        <v>5.7</v>
      </c>
      <c r="F99" s="87">
        <v>15.4</v>
      </c>
      <c r="G99" s="87">
        <v>23.6</v>
      </c>
      <c r="H99" s="87">
        <v>21</v>
      </c>
      <c r="I99" s="87">
        <v>30.5</v>
      </c>
      <c r="J99" s="87">
        <v>34.4</v>
      </c>
      <c r="K99" s="87">
        <v>38</v>
      </c>
      <c r="L99" s="87">
        <v>31.1</v>
      </c>
      <c r="M99" s="87">
        <v>25.4</v>
      </c>
      <c r="N99" s="87">
        <v>41.9</v>
      </c>
      <c r="O99" s="87">
        <v>36.9</v>
      </c>
      <c r="P99" s="87">
        <v>33.9</v>
      </c>
      <c r="Q99" s="87">
        <v>34.799999999999997</v>
      </c>
      <c r="R99" s="87">
        <v>34</v>
      </c>
      <c r="S99" s="87">
        <v>36</v>
      </c>
      <c r="T99" s="87">
        <v>34</v>
      </c>
      <c r="U99" s="87">
        <v>35</v>
      </c>
      <c r="V99" s="87">
        <v>35</v>
      </c>
      <c r="W99" s="87">
        <v>32</v>
      </c>
      <c r="X99" s="87">
        <v>30</v>
      </c>
      <c r="Y99" s="87">
        <v>41</v>
      </c>
      <c r="Z99" s="87">
        <v>38</v>
      </c>
      <c r="AA99" s="87">
        <v>38</v>
      </c>
      <c r="AB99" s="87">
        <v>38</v>
      </c>
      <c r="AC99" s="87">
        <v>25</v>
      </c>
      <c r="AD99" s="87">
        <v>25</v>
      </c>
      <c r="AE99" s="87">
        <v>25</v>
      </c>
      <c r="AF99" s="87">
        <v>20.5</v>
      </c>
      <c r="AG99" s="151">
        <v>75</v>
      </c>
      <c r="AH99" s="54">
        <f t="shared" ref="AH99:AH105" si="26">IF(ABS(MAX(C99:AF99))&gt;ABS(MIN(C99:AF99)),MAX(C99:AF99),MIN(C99:AF99))</f>
        <v>41.9</v>
      </c>
      <c r="AI99" s="89">
        <f t="shared" ref="AI99:AI105" si="27">INDEX($C$9:$AF$9,1,MATCH(AH99,C99:AF99,0))</f>
        <v>0.375</v>
      </c>
    </row>
    <row r="100" spans="1:37" x14ac:dyDescent="0.25">
      <c r="A100" s="163" t="s">
        <v>75</v>
      </c>
      <c r="B100" s="90">
        <f>-65-71.6</f>
        <v>-136.6</v>
      </c>
      <c r="C100" s="90">
        <f>-69.5-69.3</f>
        <v>-138.80000000000001</v>
      </c>
      <c r="D100" s="90">
        <f>-69.5-64.8</f>
        <v>-134.30000000000001</v>
      </c>
      <c r="E100" s="90">
        <f>-54.5+58.7</f>
        <v>4.2000000000000028</v>
      </c>
      <c r="F100" s="90">
        <f>-67.4-67</f>
        <v>-134.4</v>
      </c>
      <c r="G100" s="90">
        <f>-67.4-72</f>
        <v>-139.4</v>
      </c>
      <c r="H100" s="90">
        <f>-52.1-55.7</f>
        <v>-107.80000000000001</v>
      </c>
      <c r="I100" s="90">
        <f>-49.7-53.2</f>
        <v>-102.9</v>
      </c>
      <c r="J100" s="90">
        <f>-42.5-39.2</f>
        <v>-81.7</v>
      </c>
      <c r="K100" s="90">
        <f>-28.8-26.9</f>
        <v>-55.7</v>
      </c>
      <c r="L100" s="90">
        <f>-29.3-19</f>
        <v>-48.3</v>
      </c>
      <c r="M100" s="90">
        <v>-80</v>
      </c>
      <c r="N100" s="90">
        <v>-37.799999999999997</v>
      </c>
      <c r="O100" s="90">
        <v>-47.4</v>
      </c>
      <c r="P100" s="90">
        <v>-46</v>
      </c>
      <c r="Q100" s="90">
        <v>-52.6</v>
      </c>
      <c r="R100" s="90">
        <v>-55.6</v>
      </c>
      <c r="S100" s="90"/>
      <c r="T100" s="90"/>
      <c r="U100" s="90">
        <v>-52</v>
      </c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151">
        <v>240</v>
      </c>
      <c r="AH100" s="54">
        <f t="shared" si="26"/>
        <v>-139.4</v>
      </c>
      <c r="AI100" s="89">
        <f t="shared" si="27"/>
        <v>0.20833333333333301</v>
      </c>
    </row>
    <row r="101" spans="1:37" x14ac:dyDescent="0.25">
      <c r="A101" s="163" t="s">
        <v>76</v>
      </c>
      <c r="B101" s="90">
        <v>15.8</v>
      </c>
      <c r="C101" s="90">
        <v>-3.5</v>
      </c>
      <c r="D101" s="90">
        <v>-4.8</v>
      </c>
      <c r="E101" s="90">
        <v>-4.9000000000000004</v>
      </c>
      <c r="F101" s="90">
        <v>-5.9</v>
      </c>
      <c r="G101" s="90">
        <v>-6.5</v>
      </c>
      <c r="H101" s="90">
        <v>0</v>
      </c>
      <c r="I101" s="90">
        <v>4.4000000000000004</v>
      </c>
      <c r="J101" s="90">
        <v>7.6</v>
      </c>
      <c r="K101" s="90">
        <v>11.9</v>
      </c>
      <c r="L101" s="90">
        <v>35.200000000000003</v>
      </c>
      <c r="M101" s="90">
        <v>46.6</v>
      </c>
      <c r="N101" s="90">
        <v>35.200000000000003</v>
      </c>
      <c r="O101" s="90">
        <v>45.5</v>
      </c>
      <c r="P101" s="90">
        <v>34.9</v>
      </c>
      <c r="Q101" s="90">
        <v>34.9</v>
      </c>
      <c r="R101" s="90">
        <v>26.3</v>
      </c>
      <c r="S101" s="90">
        <v>25</v>
      </c>
      <c r="T101" s="90">
        <v>25</v>
      </c>
      <c r="U101" s="90">
        <v>25</v>
      </c>
      <c r="V101" s="90">
        <v>25</v>
      </c>
      <c r="W101" s="90">
        <v>30</v>
      </c>
      <c r="X101" s="90">
        <v>30</v>
      </c>
      <c r="Y101" s="90">
        <v>31</v>
      </c>
      <c r="Z101" s="90">
        <v>51</v>
      </c>
      <c r="AA101" s="90">
        <v>51</v>
      </c>
      <c r="AB101" s="90">
        <v>53.1</v>
      </c>
      <c r="AC101" s="90">
        <v>49.7</v>
      </c>
      <c r="AD101" s="90">
        <v>49.7</v>
      </c>
      <c r="AE101" s="90">
        <v>49.7</v>
      </c>
      <c r="AF101" s="90">
        <v>49.7</v>
      </c>
      <c r="AG101" s="151">
        <v>60</v>
      </c>
      <c r="AH101" s="54">
        <f t="shared" si="26"/>
        <v>53.1</v>
      </c>
      <c r="AI101" s="89">
        <f t="shared" si="27"/>
        <v>0.83333333333333337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0</v>
      </c>
      <c r="M102" s="91">
        <v>51.8</v>
      </c>
      <c r="N102" s="91">
        <v>0</v>
      </c>
      <c r="O102" s="91">
        <v>0</v>
      </c>
      <c r="P102" s="91">
        <v>0</v>
      </c>
      <c r="Q102" s="91">
        <v>0</v>
      </c>
      <c r="R102" s="91">
        <v>0</v>
      </c>
      <c r="S102" s="91">
        <v>0</v>
      </c>
      <c r="T102" s="91">
        <v>0</v>
      </c>
      <c r="U102" s="91">
        <v>0</v>
      </c>
      <c r="V102" s="91">
        <v>0</v>
      </c>
      <c r="W102" s="91">
        <v>0</v>
      </c>
      <c r="X102" s="91">
        <v>0</v>
      </c>
      <c r="Y102" s="91">
        <v>0</v>
      </c>
      <c r="Z102" s="91">
        <v>0</v>
      </c>
      <c r="AA102" s="91">
        <v>0</v>
      </c>
      <c r="AB102" s="91">
        <v>0</v>
      </c>
      <c r="AC102" s="91">
        <v>0</v>
      </c>
      <c r="AD102" s="91">
        <v>0</v>
      </c>
      <c r="AE102" s="91">
        <v>0</v>
      </c>
      <c r="AF102" s="91">
        <v>0</v>
      </c>
      <c r="AG102" s="152">
        <v>120</v>
      </c>
      <c r="AH102" s="54">
        <f t="shared" si="26"/>
        <v>51.8</v>
      </c>
      <c r="AI102" s="89">
        <f t="shared" si="27"/>
        <v>0.33333333333333331</v>
      </c>
    </row>
    <row r="103" spans="1:37" x14ac:dyDescent="0.25">
      <c r="A103" s="164" t="s">
        <v>78</v>
      </c>
      <c r="B103" s="91">
        <v>40</v>
      </c>
      <c r="C103" s="91">
        <v>33</v>
      </c>
      <c r="D103" s="91">
        <v>47</v>
      </c>
      <c r="E103" s="91">
        <v>68.599999999999994</v>
      </c>
      <c r="F103" s="91">
        <v>43</v>
      </c>
      <c r="G103" s="91">
        <v>35.9</v>
      </c>
      <c r="H103" s="91">
        <v>55.6</v>
      </c>
      <c r="I103" s="91">
        <v>36.799999999999997</v>
      </c>
      <c r="J103" s="91">
        <v>48.4</v>
      </c>
      <c r="K103" s="91">
        <v>85.6</v>
      </c>
      <c r="L103" s="91">
        <v>90.1</v>
      </c>
      <c r="M103" s="91">
        <v>45</v>
      </c>
      <c r="N103" s="91">
        <v>85.2</v>
      </c>
      <c r="O103" s="91">
        <v>65.8</v>
      </c>
      <c r="P103" s="91">
        <v>88.7</v>
      </c>
      <c r="Q103" s="91">
        <v>77.400000000000006</v>
      </c>
      <c r="R103" s="91">
        <v>71.099999999999994</v>
      </c>
      <c r="S103" s="91">
        <v>82</v>
      </c>
      <c r="T103" s="91">
        <v>83</v>
      </c>
      <c r="U103" s="91">
        <v>91</v>
      </c>
      <c r="V103" s="91">
        <v>80</v>
      </c>
      <c r="W103" s="91">
        <v>61</v>
      </c>
      <c r="X103" s="91">
        <v>55</v>
      </c>
      <c r="Y103" s="91">
        <v>47</v>
      </c>
      <c r="Z103" s="91">
        <v>56</v>
      </c>
      <c r="AA103" s="91">
        <v>56</v>
      </c>
      <c r="AB103" s="91">
        <v>83.7</v>
      </c>
      <c r="AC103" s="91">
        <v>61.2</v>
      </c>
      <c r="AD103" s="91">
        <v>61.2</v>
      </c>
      <c r="AE103" s="91">
        <v>61.2</v>
      </c>
      <c r="AF103" s="91">
        <v>61.2</v>
      </c>
      <c r="AG103" s="152"/>
      <c r="AH103" s="54">
        <f t="shared" si="26"/>
        <v>91</v>
      </c>
      <c r="AI103" s="89">
        <f t="shared" si="27"/>
        <v>0.66666666666666696</v>
      </c>
    </row>
    <row r="104" spans="1:37" x14ac:dyDescent="0.25">
      <c r="A104" s="164" t="s">
        <v>105</v>
      </c>
      <c r="B104" s="91">
        <v>-33.299999999999997</v>
      </c>
      <c r="C104" s="91">
        <v>10</v>
      </c>
      <c r="D104" s="91">
        <v>29</v>
      </c>
      <c r="E104" s="91">
        <v>30.6</v>
      </c>
      <c r="F104" s="91">
        <v>63.2</v>
      </c>
      <c r="G104" s="91">
        <v>14.4</v>
      </c>
      <c r="H104" s="91">
        <v>44.7</v>
      </c>
      <c r="I104" s="91">
        <v>16</v>
      </c>
      <c r="J104" s="91">
        <v>14.2</v>
      </c>
      <c r="K104" s="91">
        <v>2.6</v>
      </c>
      <c r="L104" s="91">
        <v>20.8</v>
      </c>
      <c r="M104" s="91">
        <v>30.8</v>
      </c>
      <c r="N104" s="91">
        <v>-1.8</v>
      </c>
      <c r="O104" s="91">
        <v>0</v>
      </c>
      <c r="P104" s="91">
        <v>16.100000000000001</v>
      </c>
      <c r="Q104" s="91">
        <v>-6.3</v>
      </c>
      <c r="R104" s="91">
        <v>0</v>
      </c>
      <c r="S104" s="91">
        <v>3</v>
      </c>
      <c r="T104" s="91">
        <v>-3</v>
      </c>
      <c r="U104" s="91">
        <v>10.6</v>
      </c>
      <c r="V104" s="91">
        <v>7</v>
      </c>
      <c r="W104" s="91">
        <v>9</v>
      </c>
      <c r="X104" s="91">
        <v>17</v>
      </c>
      <c r="Y104" s="91">
        <v>-28</v>
      </c>
      <c r="Z104" s="91">
        <v>-10</v>
      </c>
      <c r="AA104" s="91">
        <v>-10</v>
      </c>
      <c r="AB104" s="91">
        <v>-43.2</v>
      </c>
      <c r="AC104" s="91">
        <v>34.700000000000003</v>
      </c>
      <c r="AD104" s="91">
        <v>34.700000000000003</v>
      </c>
      <c r="AE104" s="91">
        <v>34.700000000000003</v>
      </c>
      <c r="AF104" s="91">
        <v>34.700000000000003</v>
      </c>
      <c r="AG104" s="153"/>
      <c r="AH104" s="54">
        <f t="shared" si="26"/>
        <v>63.2</v>
      </c>
      <c r="AI104" s="89">
        <f t="shared" si="27"/>
        <v>0.16666666666666699</v>
      </c>
    </row>
    <row r="105" spans="1:37" ht="15.75" thickBot="1" x14ac:dyDescent="0.3">
      <c r="A105" s="171" t="s">
        <v>106</v>
      </c>
      <c r="B105" s="82">
        <v>97</v>
      </c>
      <c r="C105" s="82">
        <v>104.2</v>
      </c>
      <c r="D105" s="82">
        <v>106</v>
      </c>
      <c r="E105" s="82">
        <v>109.2</v>
      </c>
      <c r="F105" s="82">
        <v>109.5</v>
      </c>
      <c r="G105" s="82">
        <v>111.4</v>
      </c>
      <c r="H105" s="82">
        <v>112.1</v>
      </c>
      <c r="I105" s="82">
        <v>114.3</v>
      </c>
      <c r="J105" s="82">
        <v>109.3</v>
      </c>
      <c r="K105" s="82">
        <v>104.8</v>
      </c>
      <c r="L105" s="82">
        <v>100.6</v>
      </c>
      <c r="M105" s="82">
        <v>95.8</v>
      </c>
      <c r="N105" s="82">
        <v>55.7</v>
      </c>
      <c r="O105" s="82">
        <v>61.7</v>
      </c>
      <c r="P105" s="82">
        <v>87.5</v>
      </c>
      <c r="Q105" s="82">
        <v>85.8</v>
      </c>
      <c r="R105" s="82">
        <v>100.3</v>
      </c>
      <c r="S105" s="82">
        <v>97</v>
      </c>
      <c r="T105" s="82">
        <v>100.2</v>
      </c>
      <c r="U105" s="82">
        <v>98</v>
      </c>
      <c r="V105" s="82">
        <v>98</v>
      </c>
      <c r="W105" s="82">
        <v>93</v>
      </c>
      <c r="X105" s="82">
        <v>93</v>
      </c>
      <c r="Y105" s="82">
        <v>92</v>
      </c>
      <c r="Z105" s="82">
        <v>40</v>
      </c>
      <c r="AA105" s="82">
        <v>40</v>
      </c>
      <c r="AB105" s="82">
        <v>57.2</v>
      </c>
      <c r="AC105" s="82">
        <v>51.6</v>
      </c>
      <c r="AD105" s="82">
        <v>86.4</v>
      </c>
      <c r="AE105" s="82">
        <v>78</v>
      </c>
      <c r="AF105" s="82">
        <v>88</v>
      </c>
      <c r="AG105" s="153"/>
      <c r="AH105" s="54">
        <f t="shared" si="26"/>
        <v>114.3</v>
      </c>
      <c r="AI105" s="89">
        <f t="shared" si="27"/>
        <v>0.25</v>
      </c>
    </row>
    <row r="106" spans="1:37" ht="15.75" thickBot="1" x14ac:dyDescent="0.3">
      <c r="A106" s="92" t="s">
        <v>79</v>
      </c>
      <c r="B106" s="93"/>
      <c r="C106" s="93"/>
      <c r="D106" s="93"/>
      <c r="E106" s="93"/>
      <c r="F106" s="93"/>
      <c r="G106" s="93"/>
      <c r="H106" s="93"/>
      <c r="I106" s="93" t="s">
        <v>243</v>
      </c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154"/>
      <c r="AH106" s="94"/>
      <c r="AI106" s="55"/>
      <c r="AK106" s="56"/>
    </row>
    <row r="107" spans="1:37" x14ac:dyDescent="0.25">
      <c r="A107" s="162" t="s">
        <v>133</v>
      </c>
      <c r="B107" s="95"/>
      <c r="C107" s="53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6">
        <v>9.94</v>
      </c>
      <c r="AH107" s="54"/>
      <c r="AI107" s="55"/>
      <c r="AK107" s="56"/>
    </row>
    <row r="108" spans="1:37" x14ac:dyDescent="0.25">
      <c r="A108" s="163" t="s">
        <v>134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/>
      <c r="AH108" s="54"/>
      <c r="AI108" s="55"/>
      <c r="AK108" s="56"/>
    </row>
    <row r="109" spans="1:37" x14ac:dyDescent="0.25">
      <c r="A109" s="163" t="s">
        <v>135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136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137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138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139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140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141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142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143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144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145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146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147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148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149</v>
      </c>
      <c r="B123" s="97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9">
        <v>9.9</v>
      </c>
      <c r="AH123" s="54"/>
      <c r="AI123" s="55"/>
      <c r="AK123" s="56"/>
    </row>
    <row r="124" spans="1:37" x14ac:dyDescent="0.25">
      <c r="A124" s="164" t="s">
        <v>80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100">
        <v>9.6579999999999995</v>
      </c>
      <c r="AH124" s="54"/>
      <c r="AI124" s="55"/>
      <c r="AK124" s="56"/>
    </row>
    <row r="125" spans="1:37" x14ac:dyDescent="0.25">
      <c r="A125" s="164" t="s">
        <v>150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</v>
      </c>
      <c r="AH125" s="54"/>
      <c r="AI125" s="55"/>
      <c r="AK125" s="56"/>
    </row>
    <row r="126" spans="1:37" x14ac:dyDescent="0.25">
      <c r="A126" s="164" t="s">
        <v>151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9.51</v>
      </c>
      <c r="AH126" s="54"/>
      <c r="AI126" s="55"/>
      <c r="AK126" s="56"/>
    </row>
    <row r="127" spans="1:37" x14ac:dyDescent="0.25">
      <c r="A127" s="164" t="s">
        <v>152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9.4</v>
      </c>
      <c r="AH127" s="54"/>
      <c r="AI127" s="55"/>
      <c r="AK127" s="56"/>
    </row>
    <row r="128" spans="1:37" x14ac:dyDescent="0.25">
      <c r="A128" s="164" t="s">
        <v>153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8.8000000000000007</v>
      </c>
      <c r="AH128" s="54"/>
      <c r="AI128" s="55"/>
      <c r="AK128" s="56"/>
    </row>
    <row r="129" spans="1:37" x14ac:dyDescent="0.25">
      <c r="A129" s="164" t="s">
        <v>154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8.5</v>
      </c>
      <c r="AH129" s="54"/>
      <c r="AI129" s="55"/>
      <c r="AK129" s="56"/>
    </row>
    <row r="130" spans="1:37" x14ac:dyDescent="0.25">
      <c r="A130" s="164" t="s">
        <v>155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156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8.4</v>
      </c>
      <c r="AH131" s="54"/>
      <c r="AI131" s="55"/>
      <c r="AK131" s="56"/>
    </row>
    <row r="132" spans="1:37" ht="13.5" customHeight="1" x14ac:dyDescent="0.25">
      <c r="A132" s="164" t="s">
        <v>157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</v>
      </c>
      <c r="AH132" s="54"/>
      <c r="AI132" s="55"/>
      <c r="AK132" s="56"/>
    </row>
    <row r="133" spans="1:37" x14ac:dyDescent="0.25">
      <c r="A133" s="164" t="s">
        <v>158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159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160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7.8</v>
      </c>
      <c r="AH135" s="54"/>
      <c r="AI135" s="55"/>
      <c r="AK135" s="56"/>
    </row>
    <row r="136" spans="1:37" x14ac:dyDescent="0.25">
      <c r="A136" s="164" t="s">
        <v>161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7.6</v>
      </c>
      <c r="AH136" s="54"/>
      <c r="AI136" s="55"/>
      <c r="AK136" s="56"/>
    </row>
    <row r="137" spans="1:37" x14ac:dyDescent="0.25">
      <c r="A137" s="164" t="s">
        <v>162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7.5</v>
      </c>
      <c r="AH137" s="54"/>
      <c r="AI137" s="55"/>
      <c r="AK137" s="56"/>
    </row>
    <row r="138" spans="1:37" x14ac:dyDescent="0.25">
      <c r="A138" s="164" t="s">
        <v>163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164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</v>
      </c>
      <c r="AH139" s="54"/>
      <c r="AI139" s="55"/>
      <c r="AK139" s="56"/>
    </row>
    <row r="140" spans="1:37" x14ac:dyDescent="0.25">
      <c r="A140" s="164" t="s">
        <v>165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166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167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168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6.6</v>
      </c>
      <c r="AH143" s="54"/>
      <c r="AI143" s="55"/>
      <c r="AK143" s="56"/>
    </row>
    <row r="144" spans="1:37" x14ac:dyDescent="0.25">
      <c r="A144" s="164" t="s">
        <v>169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170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6.4</v>
      </c>
      <c r="AH145" s="54"/>
      <c r="AI145" s="55"/>
      <c r="AK145" s="56"/>
    </row>
    <row r="146" spans="1:37" x14ac:dyDescent="0.25">
      <c r="A146" s="164" t="s">
        <v>171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</v>
      </c>
      <c r="AH146" s="54"/>
      <c r="AI146" s="55"/>
      <c r="AK146" s="56"/>
    </row>
    <row r="147" spans="1:37" x14ac:dyDescent="0.25">
      <c r="A147" s="164" t="s">
        <v>172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5.0999999999999996</v>
      </c>
      <c r="AH147" s="54"/>
      <c r="AI147" s="55"/>
      <c r="AK147" s="56"/>
    </row>
    <row r="148" spans="1:37" x14ac:dyDescent="0.25">
      <c r="A148" s="164" t="s">
        <v>173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</v>
      </c>
      <c r="AH148" s="54"/>
      <c r="AI148" s="55"/>
      <c r="AK148" s="56"/>
    </row>
    <row r="149" spans="1:37" x14ac:dyDescent="0.25">
      <c r="A149" s="163" t="s">
        <v>174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9">
        <v>5</v>
      </c>
      <c r="AH149" s="54"/>
      <c r="AI149" s="55"/>
      <c r="AK149" s="56"/>
    </row>
    <row r="150" spans="1:37" x14ac:dyDescent="0.25">
      <c r="A150" s="164" t="s">
        <v>175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100">
        <v>5</v>
      </c>
      <c r="AH150" s="54"/>
      <c r="AI150" s="55"/>
      <c r="AK150" s="56"/>
    </row>
    <row r="151" spans="1:37" x14ac:dyDescent="0.25">
      <c r="A151" s="164" t="s">
        <v>176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177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178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179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180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4.9930000000000003</v>
      </c>
      <c r="AH155" s="54"/>
      <c r="AI155" s="55"/>
      <c r="AK155" s="56"/>
    </row>
    <row r="156" spans="1:37" x14ac:dyDescent="0.25">
      <c r="A156" s="164" t="s">
        <v>181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4.9800000000000004</v>
      </c>
      <c r="AH156" s="54"/>
      <c r="AI156" s="55"/>
      <c r="AK156" s="56"/>
    </row>
    <row r="157" spans="1:37" x14ac:dyDescent="0.25">
      <c r="A157" s="164" t="s">
        <v>182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4.95</v>
      </c>
      <c r="AH157" s="54"/>
      <c r="AI157" s="55"/>
      <c r="AK157" s="56"/>
    </row>
    <row r="158" spans="1:37" x14ac:dyDescent="0.25">
      <c r="A158" s="164" t="s">
        <v>81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183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4.8</v>
      </c>
      <c r="AH159" s="54"/>
      <c r="AI159" s="55"/>
      <c r="AK159" s="56"/>
    </row>
    <row r="160" spans="1:37" x14ac:dyDescent="0.25">
      <c r="A160" s="164" t="s">
        <v>184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185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186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4.5</v>
      </c>
      <c r="AH162" s="54"/>
      <c r="AI162" s="55"/>
      <c r="AK162" s="56"/>
    </row>
    <row r="163" spans="1:37" x14ac:dyDescent="0.25">
      <c r="A163" s="164" t="s">
        <v>187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188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4.4550000000000001</v>
      </c>
      <c r="AH164" s="54"/>
      <c r="AI164" s="55"/>
      <c r="AK164" s="56"/>
    </row>
    <row r="165" spans="1:37" x14ac:dyDescent="0.25">
      <c r="A165" s="164" t="s">
        <v>189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4.41</v>
      </c>
      <c r="AH165" s="54"/>
      <c r="AI165" s="55"/>
      <c r="AK165" s="56"/>
    </row>
    <row r="166" spans="1:37" x14ac:dyDescent="0.25">
      <c r="A166" s="164" t="s">
        <v>190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4.4000000000000004</v>
      </c>
      <c r="AH166" s="54"/>
      <c r="AI166" s="55"/>
      <c r="AK166" s="56"/>
    </row>
    <row r="167" spans="1:37" x14ac:dyDescent="0.25">
      <c r="A167" s="164" t="s">
        <v>191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4.3600000000000003</v>
      </c>
      <c r="AH167" s="54"/>
      <c r="AI167" s="55"/>
      <c r="AK167" s="56"/>
    </row>
    <row r="168" spans="1:37" x14ac:dyDescent="0.25">
      <c r="A168" s="164" t="s">
        <v>192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4.2</v>
      </c>
      <c r="AH168" s="54"/>
      <c r="AI168" s="55"/>
      <c r="AK168" s="56"/>
    </row>
    <row r="169" spans="1:37" x14ac:dyDescent="0.25">
      <c r="A169" s="164" t="s">
        <v>193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</v>
      </c>
      <c r="AH169" s="54"/>
      <c r="AI169" s="55"/>
      <c r="AK169" s="56"/>
    </row>
    <row r="170" spans="1:37" x14ac:dyDescent="0.25">
      <c r="A170" s="164" t="s">
        <v>194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195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196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197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198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199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200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201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3.75</v>
      </c>
      <c r="AH177" s="54"/>
      <c r="AI177" s="55"/>
      <c r="AK177" s="56"/>
    </row>
    <row r="178" spans="1:37" x14ac:dyDescent="0.25">
      <c r="A178" s="164" t="s">
        <v>202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3.52</v>
      </c>
      <c r="AH178" s="54"/>
      <c r="AI178" s="55"/>
      <c r="AK178" s="56"/>
    </row>
    <row r="179" spans="1:37" x14ac:dyDescent="0.25">
      <c r="A179" s="164" t="s">
        <v>203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3.33</v>
      </c>
      <c r="AH179" s="54"/>
      <c r="AI179" s="55"/>
      <c r="AK179" s="56"/>
    </row>
    <row r="180" spans="1:37" x14ac:dyDescent="0.25">
      <c r="A180" s="164" t="s">
        <v>204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3.2</v>
      </c>
      <c r="AH180" s="54"/>
      <c r="AI180" s="55"/>
      <c r="AK180" s="56"/>
    </row>
    <row r="181" spans="1:37" x14ac:dyDescent="0.25">
      <c r="A181" s="164" t="s">
        <v>205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</v>
      </c>
      <c r="AH181" s="54"/>
      <c r="AI181" s="55"/>
      <c r="AK181" s="56"/>
    </row>
    <row r="182" spans="1:37" x14ac:dyDescent="0.25">
      <c r="A182" s="164" t="s">
        <v>206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207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208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209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210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211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212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213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2.83</v>
      </c>
      <c r="AH189" s="54"/>
      <c r="AI189" s="55"/>
      <c r="AK189" s="56"/>
    </row>
    <row r="190" spans="1:37" x14ac:dyDescent="0.25">
      <c r="A190" s="164" t="s">
        <v>214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2.5</v>
      </c>
      <c r="AH190" s="54"/>
      <c r="AI190" s="55"/>
      <c r="AK190" s="56"/>
    </row>
    <row r="191" spans="1:37" x14ac:dyDescent="0.25">
      <c r="A191" s="164" t="s">
        <v>215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216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2.4</v>
      </c>
      <c r="AH192" s="54"/>
      <c r="AI192" s="55"/>
      <c r="AK192" s="56"/>
    </row>
    <row r="193" spans="1:37" x14ac:dyDescent="0.25">
      <c r="A193" s="164" t="s">
        <v>217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218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2.2000000000000002</v>
      </c>
      <c r="AH194" s="54"/>
      <c r="AI194" s="55"/>
      <c r="AK194" s="56"/>
    </row>
    <row r="195" spans="1:37" x14ac:dyDescent="0.25">
      <c r="A195" s="164" t="s">
        <v>219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</v>
      </c>
      <c r="AH195" s="54"/>
      <c r="AI195" s="55"/>
      <c r="AK195" s="56"/>
    </row>
    <row r="196" spans="1:37" x14ac:dyDescent="0.25">
      <c r="A196" s="164" t="s">
        <v>220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221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222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1.8</v>
      </c>
      <c r="AH198" s="54"/>
      <c r="AI198" s="55"/>
      <c r="AK198" s="56"/>
    </row>
    <row r="199" spans="1:37" x14ac:dyDescent="0.25">
      <c r="A199" s="164" t="s">
        <v>223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224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1.65</v>
      </c>
      <c r="AH200" s="54"/>
      <c r="AI200" s="55"/>
      <c r="AK200" s="56"/>
    </row>
    <row r="201" spans="1:37" x14ac:dyDescent="0.25">
      <c r="A201" s="164" t="s">
        <v>225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1.5</v>
      </c>
      <c r="AH201" s="54"/>
      <c r="AI201" s="55"/>
      <c r="AK201" s="56"/>
    </row>
    <row r="202" spans="1:37" x14ac:dyDescent="0.25">
      <c r="A202" s="164" t="s">
        <v>226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0.998</v>
      </c>
      <c r="AH202" s="54"/>
      <c r="AI202" s="55"/>
      <c r="AK202" s="56"/>
    </row>
    <row r="203" spans="1:37" x14ac:dyDescent="0.25">
      <c r="A203" s="164" t="s">
        <v>227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0.997</v>
      </c>
      <c r="AH203" s="54"/>
      <c r="AI203" s="55"/>
      <c r="AK203" s="56"/>
    </row>
    <row r="204" spans="1:37" x14ac:dyDescent="0.25">
      <c r="A204" s="164" t="s">
        <v>228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229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0.996</v>
      </c>
      <c r="AH205" s="54"/>
      <c r="AI205" s="55"/>
      <c r="AK205" s="56"/>
    </row>
    <row r="206" spans="1:37" x14ac:dyDescent="0.25">
      <c r="A206" s="164" t="s">
        <v>230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231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232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0.995</v>
      </c>
      <c r="AH208" s="54"/>
      <c r="AI208" s="55"/>
      <c r="AK208" s="56"/>
    </row>
    <row r="209" spans="1:37" x14ac:dyDescent="0.25">
      <c r="A209" s="164" t="s">
        <v>233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0.99299999999999999</v>
      </c>
      <c r="AH209" s="54"/>
      <c r="AI209" s="55"/>
      <c r="AK209" s="56"/>
    </row>
    <row r="210" spans="1:37" x14ac:dyDescent="0.25">
      <c r="A210" s="164" t="s">
        <v>234</v>
      </c>
      <c r="B210" s="97"/>
      <c r="C210" s="53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</v>
      </c>
      <c r="AH210" s="54"/>
      <c r="AI210" s="55"/>
      <c r="AK210" s="56"/>
    </row>
    <row r="211" spans="1:37" ht="15.75" thickBot="1" x14ac:dyDescent="0.3">
      <c r="A211" s="164" t="s">
        <v>235</v>
      </c>
      <c r="B211" s="102"/>
      <c r="C211" s="166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0">
        <v>0.97899999999999998</v>
      </c>
      <c r="AH211" s="54"/>
      <c r="AI211" s="55"/>
      <c r="AK211" s="56"/>
    </row>
    <row r="212" spans="1:37" ht="15.75" thickBot="1" x14ac:dyDescent="0.3">
      <c r="A212" s="165" t="s">
        <v>82</v>
      </c>
      <c r="B212" s="167">
        <f>SUM(B107:B211)</f>
        <v>0</v>
      </c>
      <c r="C212" s="103">
        <f t="shared" ref="C212:AG212" si="28">SUM(C107:C211)</f>
        <v>0</v>
      </c>
      <c r="D212" s="103">
        <f t="shared" si="28"/>
        <v>0</v>
      </c>
      <c r="E212" s="103">
        <f t="shared" si="28"/>
        <v>0</v>
      </c>
      <c r="F212" s="103">
        <f t="shared" si="28"/>
        <v>0</v>
      </c>
      <c r="G212" s="103">
        <f t="shared" si="28"/>
        <v>0</v>
      </c>
      <c r="H212" s="103">
        <f t="shared" si="28"/>
        <v>0</v>
      </c>
      <c r="I212" s="103">
        <f t="shared" si="28"/>
        <v>0</v>
      </c>
      <c r="J212" s="103">
        <f t="shared" si="28"/>
        <v>0</v>
      </c>
      <c r="K212" s="103">
        <f t="shared" si="28"/>
        <v>0</v>
      </c>
      <c r="L212" s="103">
        <f t="shared" si="28"/>
        <v>0</v>
      </c>
      <c r="M212" s="103">
        <f t="shared" si="28"/>
        <v>0</v>
      </c>
      <c r="N212" s="103">
        <f t="shared" si="28"/>
        <v>0</v>
      </c>
      <c r="O212" s="103">
        <f t="shared" si="28"/>
        <v>0</v>
      </c>
      <c r="P212" s="103">
        <f t="shared" si="28"/>
        <v>0</v>
      </c>
      <c r="Q212" s="103">
        <f t="shared" si="28"/>
        <v>0</v>
      </c>
      <c r="R212" s="103">
        <f t="shared" si="28"/>
        <v>0</v>
      </c>
      <c r="S212" s="103">
        <f t="shared" si="28"/>
        <v>0</v>
      </c>
      <c r="T212" s="103">
        <f t="shared" si="28"/>
        <v>0</v>
      </c>
      <c r="U212" s="103">
        <f t="shared" si="28"/>
        <v>0</v>
      </c>
      <c r="V212" s="103">
        <f t="shared" si="28"/>
        <v>0</v>
      </c>
      <c r="W212" s="103">
        <f t="shared" si="28"/>
        <v>0</v>
      </c>
      <c r="X212" s="103">
        <f t="shared" si="28"/>
        <v>0</v>
      </c>
      <c r="Y212" s="103">
        <f t="shared" si="28"/>
        <v>0</v>
      </c>
      <c r="Z212" s="103">
        <f t="shared" si="28"/>
        <v>0</v>
      </c>
      <c r="AA212" s="103">
        <f t="shared" si="28"/>
        <v>0</v>
      </c>
      <c r="AB212" s="103">
        <f t="shared" si="28"/>
        <v>0</v>
      </c>
      <c r="AC212" s="103">
        <f t="shared" si="28"/>
        <v>0</v>
      </c>
      <c r="AD212" s="103">
        <f t="shared" si="28"/>
        <v>0</v>
      </c>
      <c r="AE212" s="103">
        <f t="shared" si="28"/>
        <v>0</v>
      </c>
      <c r="AF212" s="168">
        <f t="shared" si="28"/>
        <v>0</v>
      </c>
      <c r="AG212" s="169">
        <f t="shared" si="28"/>
        <v>412.72299999999984</v>
      </c>
      <c r="AH212" s="54"/>
      <c r="AI212" s="55"/>
      <c r="AK212" s="56"/>
    </row>
    <row r="213" spans="1:37" ht="15.75" thickBot="1" x14ac:dyDescent="0.3">
      <c r="A213" s="28" t="s">
        <v>35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149"/>
      <c r="AH213" s="54"/>
      <c r="AI213" s="55"/>
      <c r="AK213" s="56"/>
    </row>
    <row r="214" spans="1:37" x14ac:dyDescent="0.25">
      <c r="A214" s="170" t="s">
        <v>83</v>
      </c>
      <c r="B214" s="101">
        <f t="shared" ref="B214:B219" si="29">AF214</f>
        <v>0</v>
      </c>
      <c r="C214" s="101">
        <v>0.3</v>
      </c>
      <c r="D214" s="101">
        <f t="shared" ref="D214:P219" si="30">C214</f>
        <v>0.3</v>
      </c>
      <c r="E214" s="101">
        <f t="shared" si="30"/>
        <v>0.3</v>
      </c>
      <c r="F214" s="101">
        <f t="shared" si="30"/>
        <v>0.3</v>
      </c>
      <c r="G214" s="101">
        <f t="shared" si="30"/>
        <v>0.3</v>
      </c>
      <c r="H214" s="101">
        <f t="shared" si="30"/>
        <v>0.3</v>
      </c>
      <c r="I214" s="101">
        <f t="shared" si="30"/>
        <v>0.3</v>
      </c>
      <c r="J214" s="101">
        <f t="shared" si="30"/>
        <v>0.3</v>
      </c>
      <c r="K214" s="101">
        <f t="shared" si="30"/>
        <v>0.3</v>
      </c>
      <c r="L214" s="101">
        <f t="shared" si="30"/>
        <v>0.3</v>
      </c>
      <c r="M214" s="101">
        <f t="shared" si="30"/>
        <v>0.3</v>
      </c>
      <c r="N214" s="101">
        <f t="shared" si="30"/>
        <v>0.3</v>
      </c>
      <c r="O214" s="101">
        <f t="shared" si="30"/>
        <v>0.3</v>
      </c>
      <c r="P214" s="101">
        <f t="shared" si="30"/>
        <v>0.3</v>
      </c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55">
        <v>2.4</v>
      </c>
      <c r="AH214" s="54"/>
      <c r="AI214" s="55"/>
      <c r="AK214" s="56"/>
    </row>
    <row r="215" spans="1:37" x14ac:dyDescent="0.25">
      <c r="A215" s="163" t="s">
        <v>84</v>
      </c>
      <c r="B215" s="97">
        <f t="shared" si="29"/>
        <v>0</v>
      </c>
      <c r="C215" s="97">
        <v>0.4</v>
      </c>
      <c r="D215" s="97">
        <f t="shared" si="30"/>
        <v>0.4</v>
      </c>
      <c r="E215" s="97">
        <f t="shared" si="30"/>
        <v>0.4</v>
      </c>
      <c r="F215" s="97">
        <f t="shared" si="30"/>
        <v>0.4</v>
      </c>
      <c r="G215" s="97">
        <f t="shared" si="30"/>
        <v>0.4</v>
      </c>
      <c r="H215" s="97">
        <f t="shared" si="30"/>
        <v>0.4</v>
      </c>
      <c r="I215" s="97">
        <f t="shared" si="30"/>
        <v>0.4</v>
      </c>
      <c r="J215" s="97">
        <f t="shared" si="30"/>
        <v>0.4</v>
      </c>
      <c r="K215" s="97">
        <f t="shared" si="30"/>
        <v>0.4</v>
      </c>
      <c r="L215" s="97">
        <f t="shared" si="30"/>
        <v>0.4</v>
      </c>
      <c r="M215" s="97">
        <f t="shared" si="30"/>
        <v>0.4</v>
      </c>
      <c r="N215" s="97">
        <f t="shared" si="30"/>
        <v>0.4</v>
      </c>
      <c r="O215" s="97">
        <f t="shared" si="30"/>
        <v>0.4</v>
      </c>
      <c r="P215" s="97">
        <f t="shared" si="30"/>
        <v>0.4</v>
      </c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56">
        <v>2</v>
      </c>
      <c r="AH215" s="54"/>
      <c r="AI215" s="55"/>
      <c r="AK215" s="56"/>
    </row>
    <row r="216" spans="1:37" x14ac:dyDescent="0.25">
      <c r="A216" s="163" t="s">
        <v>85</v>
      </c>
      <c r="B216" s="97">
        <f t="shared" si="29"/>
        <v>0</v>
      </c>
      <c r="C216" s="97">
        <v>1.5</v>
      </c>
      <c r="D216" s="97">
        <f t="shared" si="30"/>
        <v>1.5</v>
      </c>
      <c r="E216" s="97">
        <f t="shared" si="30"/>
        <v>1.5</v>
      </c>
      <c r="F216" s="97">
        <f t="shared" si="30"/>
        <v>1.5</v>
      </c>
      <c r="G216" s="97">
        <f t="shared" si="30"/>
        <v>1.5</v>
      </c>
      <c r="H216" s="97">
        <f t="shared" si="30"/>
        <v>1.5</v>
      </c>
      <c r="I216" s="97">
        <f t="shared" si="30"/>
        <v>1.5</v>
      </c>
      <c r="J216" s="97">
        <f t="shared" si="30"/>
        <v>1.5</v>
      </c>
      <c r="K216" s="97">
        <f t="shared" si="30"/>
        <v>1.5</v>
      </c>
      <c r="L216" s="97">
        <f t="shared" si="30"/>
        <v>1.5</v>
      </c>
      <c r="M216" s="97">
        <f t="shared" si="30"/>
        <v>1.5</v>
      </c>
      <c r="N216" s="97">
        <f t="shared" si="30"/>
        <v>1.5</v>
      </c>
      <c r="O216" s="97">
        <f t="shared" si="30"/>
        <v>1.5</v>
      </c>
      <c r="P216" s="97">
        <f t="shared" si="30"/>
        <v>1.5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1.5</v>
      </c>
      <c r="AH216" s="54"/>
      <c r="AI216" s="55"/>
      <c r="AK216" s="56"/>
    </row>
    <row r="217" spans="1:37" x14ac:dyDescent="0.25">
      <c r="A217" s="163" t="s">
        <v>86</v>
      </c>
      <c r="B217" s="97">
        <f t="shared" si="29"/>
        <v>0</v>
      </c>
      <c r="C217" s="97">
        <v>0.3</v>
      </c>
      <c r="D217" s="97">
        <f t="shared" si="30"/>
        <v>0.3</v>
      </c>
      <c r="E217" s="97">
        <f t="shared" si="30"/>
        <v>0.3</v>
      </c>
      <c r="F217" s="97">
        <f t="shared" si="30"/>
        <v>0.3</v>
      </c>
      <c r="G217" s="97">
        <f t="shared" si="30"/>
        <v>0.3</v>
      </c>
      <c r="H217" s="97">
        <f t="shared" si="30"/>
        <v>0.3</v>
      </c>
      <c r="I217" s="97">
        <f t="shared" si="30"/>
        <v>0.3</v>
      </c>
      <c r="J217" s="97">
        <f t="shared" si="30"/>
        <v>0.3</v>
      </c>
      <c r="K217" s="97">
        <f t="shared" si="30"/>
        <v>0.3</v>
      </c>
      <c r="L217" s="97">
        <f t="shared" si="30"/>
        <v>0.3</v>
      </c>
      <c r="M217" s="97">
        <f t="shared" si="30"/>
        <v>0.3</v>
      </c>
      <c r="N217" s="97">
        <f t="shared" si="30"/>
        <v>0.3</v>
      </c>
      <c r="O217" s="97">
        <f t="shared" si="30"/>
        <v>0.3</v>
      </c>
      <c r="P217" s="97">
        <f t="shared" si="30"/>
        <v>0.3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</v>
      </c>
      <c r="AH217" s="54"/>
      <c r="AI217" s="55"/>
      <c r="AK217" s="56"/>
    </row>
    <row r="218" spans="1:37" x14ac:dyDescent="0.25">
      <c r="A218" s="163" t="s">
        <v>87</v>
      </c>
      <c r="B218" s="97">
        <f t="shared" si="29"/>
        <v>0</v>
      </c>
      <c r="C218" s="97">
        <v>0.4</v>
      </c>
      <c r="D218" s="97">
        <f t="shared" si="30"/>
        <v>0.4</v>
      </c>
      <c r="E218" s="97">
        <f t="shared" si="30"/>
        <v>0.4</v>
      </c>
      <c r="F218" s="97">
        <f t="shared" si="30"/>
        <v>0.4</v>
      </c>
      <c r="G218" s="97">
        <f t="shared" si="30"/>
        <v>0.4</v>
      </c>
      <c r="H218" s="97">
        <f t="shared" si="30"/>
        <v>0.4</v>
      </c>
      <c r="I218" s="97">
        <f t="shared" si="30"/>
        <v>0.4</v>
      </c>
      <c r="J218" s="97">
        <f t="shared" si="30"/>
        <v>0.4</v>
      </c>
      <c r="K218" s="97">
        <f t="shared" si="30"/>
        <v>0.4</v>
      </c>
      <c r="L218" s="97">
        <f t="shared" si="30"/>
        <v>0.4</v>
      </c>
      <c r="M218" s="97">
        <f t="shared" si="30"/>
        <v>0.4</v>
      </c>
      <c r="N218" s="97">
        <f t="shared" si="30"/>
        <v>0.4</v>
      </c>
      <c r="O218" s="97">
        <f t="shared" si="30"/>
        <v>0.4</v>
      </c>
      <c r="P218" s="97">
        <f t="shared" si="30"/>
        <v>0.4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ht="15.75" thickBot="1" x14ac:dyDescent="0.3">
      <c r="A219" s="164" t="s">
        <v>88</v>
      </c>
      <c r="B219" s="102">
        <f t="shared" si="29"/>
        <v>0</v>
      </c>
      <c r="C219" s="102">
        <v>0.64</v>
      </c>
      <c r="D219" s="102">
        <f t="shared" si="30"/>
        <v>0.64</v>
      </c>
      <c r="E219" s="102">
        <f t="shared" si="30"/>
        <v>0.64</v>
      </c>
      <c r="F219" s="102">
        <f t="shared" si="30"/>
        <v>0.64</v>
      </c>
      <c r="G219" s="102">
        <f t="shared" si="30"/>
        <v>0.64</v>
      </c>
      <c r="H219" s="102">
        <f t="shared" si="30"/>
        <v>0.64</v>
      </c>
      <c r="I219" s="102">
        <f t="shared" si="30"/>
        <v>0.64</v>
      </c>
      <c r="J219" s="102">
        <f t="shared" si="30"/>
        <v>0.64</v>
      </c>
      <c r="K219" s="102">
        <f t="shared" si="30"/>
        <v>0.64</v>
      </c>
      <c r="L219" s="102">
        <f t="shared" si="30"/>
        <v>0.64</v>
      </c>
      <c r="M219" s="102">
        <f t="shared" si="30"/>
        <v>0.64</v>
      </c>
      <c r="N219" s="102">
        <f t="shared" si="30"/>
        <v>0.64</v>
      </c>
      <c r="O219" s="102">
        <f t="shared" si="30"/>
        <v>0.64</v>
      </c>
      <c r="P219" s="102">
        <f t="shared" si="30"/>
        <v>0.64</v>
      </c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57">
        <v>0.66</v>
      </c>
      <c r="AH219" s="54"/>
      <c r="AI219" s="55"/>
    </row>
    <row r="220" spans="1:37" ht="15.75" thickBot="1" x14ac:dyDescent="0.3">
      <c r="A220" s="173" t="s">
        <v>35</v>
      </c>
      <c r="B220" s="103">
        <f>SUM(B214:B219)</f>
        <v>0</v>
      </c>
      <c r="C220" s="103">
        <f>SUM(C214:C219)</f>
        <v>3.54</v>
      </c>
      <c r="D220" s="103">
        <f t="shared" ref="D220:L220" si="31">SUM(D214:D219)</f>
        <v>3.54</v>
      </c>
      <c r="E220" s="103">
        <f t="shared" si="31"/>
        <v>3.54</v>
      </c>
      <c r="F220" s="103">
        <f t="shared" si="31"/>
        <v>3.54</v>
      </c>
      <c r="G220" s="103">
        <f t="shared" si="31"/>
        <v>3.54</v>
      </c>
      <c r="H220" s="103">
        <f t="shared" si="31"/>
        <v>3.54</v>
      </c>
      <c r="I220" s="103">
        <f t="shared" si="31"/>
        <v>3.54</v>
      </c>
      <c r="J220" s="103">
        <f t="shared" si="31"/>
        <v>3.54</v>
      </c>
      <c r="K220" s="103">
        <f t="shared" si="31"/>
        <v>3.54</v>
      </c>
      <c r="L220" s="103">
        <f t="shared" si="31"/>
        <v>3.54</v>
      </c>
      <c r="M220" s="103">
        <f>SUM(M214:M219)</f>
        <v>3.54</v>
      </c>
      <c r="N220" s="103">
        <f t="shared" ref="N220:S220" si="32">SUM(N214:N219)</f>
        <v>3.54</v>
      </c>
      <c r="O220" s="103">
        <f t="shared" si="32"/>
        <v>3.54</v>
      </c>
      <c r="P220" s="103">
        <f t="shared" si="32"/>
        <v>3.54</v>
      </c>
      <c r="Q220" s="103">
        <f t="shared" si="32"/>
        <v>0</v>
      </c>
      <c r="R220" s="103">
        <f t="shared" si="32"/>
        <v>0</v>
      </c>
      <c r="S220" s="103">
        <f t="shared" si="32"/>
        <v>0</v>
      </c>
      <c r="T220" s="103">
        <f>SUM(T214:T219)</f>
        <v>0</v>
      </c>
      <c r="U220" s="103">
        <f t="shared" ref="U220:AG220" si="33">SUM(U214:U219)</f>
        <v>0</v>
      </c>
      <c r="V220" s="103">
        <f t="shared" si="33"/>
        <v>0</v>
      </c>
      <c r="W220" s="103">
        <f t="shared" si="33"/>
        <v>0</v>
      </c>
      <c r="X220" s="103">
        <f t="shared" si="33"/>
        <v>0</v>
      </c>
      <c r="Y220" s="103">
        <f t="shared" si="33"/>
        <v>0</v>
      </c>
      <c r="Z220" s="103">
        <f t="shared" si="33"/>
        <v>0</v>
      </c>
      <c r="AA220" s="103">
        <f t="shared" si="33"/>
        <v>0</v>
      </c>
      <c r="AB220" s="103">
        <f t="shared" si="33"/>
        <v>0</v>
      </c>
      <c r="AC220" s="103">
        <f t="shared" si="33"/>
        <v>0</v>
      </c>
      <c r="AD220" s="103">
        <f t="shared" si="33"/>
        <v>0</v>
      </c>
      <c r="AE220" s="103">
        <f t="shared" si="33"/>
        <v>0</v>
      </c>
      <c r="AF220" s="103">
        <f t="shared" si="33"/>
        <v>0</v>
      </c>
      <c r="AG220" s="158">
        <f t="shared" si="33"/>
        <v>8.56</v>
      </c>
      <c r="AH220" s="54"/>
      <c r="AI220" s="55"/>
    </row>
    <row r="221" spans="1:37" ht="15.75" thickBot="1" x14ac:dyDescent="0.3"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  <c r="AC221" s="179"/>
      <c r="AD221" s="179"/>
      <c r="AE221" s="179"/>
      <c r="AF221" s="179"/>
      <c r="AG221" s="84"/>
      <c r="AH221" s="179"/>
    </row>
    <row r="222" spans="1:37" x14ac:dyDescent="0.25">
      <c r="A222" s="79" t="s">
        <v>89</v>
      </c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5"/>
      <c r="AG222" s="179"/>
      <c r="AH222" s="54"/>
      <c r="AI222" s="55"/>
    </row>
    <row r="223" spans="1:37" x14ac:dyDescent="0.25">
      <c r="A223" s="106" t="s">
        <v>90</v>
      </c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8"/>
      <c r="AG223" s="109"/>
      <c r="AH223" s="54"/>
      <c r="AI223" s="55"/>
    </row>
    <row r="224" spans="1:37" x14ac:dyDescent="0.25">
      <c r="A224" s="81" t="s">
        <v>91</v>
      </c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1"/>
      <c r="AG224" s="109"/>
      <c r="AH224" s="54"/>
      <c r="AI224" s="55"/>
    </row>
    <row r="225" spans="1:50" x14ac:dyDescent="0.25">
      <c r="A225" s="81" t="s">
        <v>92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ht="15.75" thickBot="1" x14ac:dyDescent="0.3">
      <c r="A226" s="112" t="s">
        <v>93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4"/>
      <c r="AG226" s="109"/>
      <c r="AH226" s="54"/>
      <c r="AI226" s="55"/>
    </row>
    <row r="227" spans="1:50" x14ac:dyDescent="0.25"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  <c r="AC227" s="179"/>
      <c r="AD227" s="179"/>
      <c r="AE227" s="179"/>
      <c r="AF227" s="179"/>
      <c r="AG227" s="179"/>
      <c r="AH227" s="179"/>
    </row>
    <row r="228" spans="1:50" x14ac:dyDescent="0.25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  <c r="AC228" s="179"/>
      <c r="AD228" s="179"/>
      <c r="AE228" s="179"/>
      <c r="AF228" s="179"/>
      <c r="AG228" s="179"/>
      <c r="AH228" s="179"/>
    </row>
    <row r="229" spans="1:50" x14ac:dyDescent="0.25">
      <c r="A229" s="115" t="s">
        <v>94</v>
      </c>
      <c r="B229" s="116">
        <f>MAX(G79:N79)</f>
        <v>1795.74</v>
      </c>
      <c r="C229" s="117">
        <f>INDEX(G9:N9,1,MATCH(MAX(G79:N79),G79:N79,0))</f>
        <v>0.33333333333333331</v>
      </c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  <c r="AC229" s="179"/>
      <c r="AD229" s="179"/>
      <c r="AE229" s="179"/>
      <c r="AF229" s="179"/>
      <c r="AG229" s="179"/>
      <c r="AH229" s="179"/>
    </row>
    <row r="230" spans="1:50" x14ac:dyDescent="0.25"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18" t="str">
        <f ca="1">MID(CELL("filename",C7),FIND("]",CELL("filename",C7))+1,600)</f>
        <v>20</v>
      </c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79"/>
      <c r="AH230" s="179"/>
    </row>
    <row r="231" spans="1:50" x14ac:dyDescent="0.25">
      <c r="A231" s="208" t="s">
        <v>95</v>
      </c>
      <c r="B231" s="208"/>
      <c r="C231" s="179"/>
      <c r="D231" s="118" t="str">
        <f ca="1">"Pie Chart of Daily Peak Demand(Inclusive of Export) of Nepal ("&amp;A4&amp;" "&amp;B4&amp;")"</f>
        <v>Pie Chart of Daily Peak Demand(Inclusive of Export) of Nepal (Nepali Date: 2079/02/20)</v>
      </c>
      <c r="E231" s="179"/>
      <c r="F231" s="179"/>
      <c r="G231" s="118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18" t="str">
        <f ca="1">"Daily Load Curve(Excluding of Export) of Nepal ("&amp;A4&amp;" "&amp;B4&amp;")"</f>
        <v>Daily Load Curve(Excluding of Export) of Nepal (Nepali Date: 2079/02/20)</v>
      </c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  <c r="AE231" s="179"/>
      <c r="AF231" s="179"/>
      <c r="AG231" s="179"/>
      <c r="AH231" s="179"/>
    </row>
    <row r="232" spans="1:50" ht="12.75" customHeight="1" thickBot="1" x14ac:dyDescent="0.3">
      <c r="A232" s="119" t="s">
        <v>7</v>
      </c>
      <c r="B232" s="120"/>
      <c r="C232" s="179"/>
      <c r="D232" s="121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  <c r="AC232" s="179"/>
      <c r="AD232" s="179"/>
      <c r="AE232" s="179"/>
      <c r="AF232" s="179"/>
      <c r="AG232" s="179"/>
      <c r="AH232" s="179"/>
    </row>
    <row r="233" spans="1:50" ht="15.75" thickTop="1" x14ac:dyDescent="0.25">
      <c r="A233" s="119" t="s">
        <v>96</v>
      </c>
      <c r="B233" s="120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22" t="s">
        <v>97</v>
      </c>
      <c r="T233" s="123">
        <v>0</v>
      </c>
      <c r="U233" s="124">
        <v>4.1666666666666664E-2</v>
      </c>
      <c r="V233" s="125">
        <v>8.3333333333333301E-2</v>
      </c>
      <c r="W233" s="125">
        <v>0.125</v>
      </c>
      <c r="X233" s="125">
        <v>0.16666666666666699</v>
      </c>
      <c r="Y233" s="125">
        <v>0.20833333333333301</v>
      </c>
      <c r="Z233" s="125">
        <v>0.22916666666666666</v>
      </c>
      <c r="AA233" s="125">
        <v>0.25</v>
      </c>
      <c r="AB233" s="125">
        <v>0.27083333333333331</v>
      </c>
      <c r="AC233" s="125">
        <v>0.29166666666666669</v>
      </c>
      <c r="AD233" s="125">
        <v>0.3125</v>
      </c>
      <c r="AE233" s="126">
        <v>0.33333333333333331</v>
      </c>
      <c r="AF233" s="126">
        <v>0.375</v>
      </c>
      <c r="AG233" s="126">
        <v>0.41666666666666702</v>
      </c>
      <c r="AH233" s="126">
        <v>0.45833333333333298</v>
      </c>
      <c r="AI233" s="126">
        <v>0.5</v>
      </c>
      <c r="AJ233" s="126">
        <v>0.54166666666666696</v>
      </c>
      <c r="AK233" s="126">
        <v>0.58333333333333304</v>
      </c>
      <c r="AL233" s="126">
        <v>0.625</v>
      </c>
      <c r="AM233" s="126">
        <v>0.66666666666666696</v>
      </c>
      <c r="AN233" s="126">
        <v>0.70833333333333304</v>
      </c>
      <c r="AO233" s="126">
        <v>0.72916666666666663</v>
      </c>
      <c r="AP233" s="126">
        <v>0.75</v>
      </c>
      <c r="AQ233" s="126">
        <v>0.77083333333333337</v>
      </c>
      <c r="AR233" s="126">
        <v>0.79166666666666663</v>
      </c>
      <c r="AS233" s="126">
        <v>0.8125</v>
      </c>
      <c r="AT233" s="125">
        <v>0.83333333333333337</v>
      </c>
      <c r="AU233" s="125">
        <v>0.85416666666666663</v>
      </c>
      <c r="AV233" s="125">
        <v>0.875</v>
      </c>
      <c r="AW233" s="125">
        <v>0.91666666666666696</v>
      </c>
      <c r="AX233" s="125">
        <v>0.95833333333333304</v>
      </c>
    </row>
    <row r="234" spans="1:50" x14ac:dyDescent="0.25">
      <c r="A234" s="119" t="s">
        <v>98</v>
      </c>
      <c r="B234" s="120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 t="s">
        <v>99</v>
      </c>
      <c r="T234" s="127">
        <f t="shared" ref="T234:AX234" si="34">B79</f>
        <v>1739.24</v>
      </c>
      <c r="U234" s="127">
        <f t="shared" si="34"/>
        <v>1716.04</v>
      </c>
      <c r="V234" s="127">
        <f t="shared" si="34"/>
        <v>1672.74</v>
      </c>
      <c r="W234" s="127">
        <f t="shared" si="34"/>
        <v>1624.34</v>
      </c>
      <c r="X234" s="127">
        <f t="shared" si="34"/>
        <v>1672.74</v>
      </c>
      <c r="Y234" s="127">
        <f t="shared" si="34"/>
        <v>1673.84</v>
      </c>
      <c r="Z234" s="127">
        <f t="shared" si="34"/>
        <v>1682.64</v>
      </c>
      <c r="AA234" s="127">
        <f t="shared" si="34"/>
        <v>1688.64</v>
      </c>
      <c r="AB234" s="127">
        <f t="shared" si="34"/>
        <v>1706.74</v>
      </c>
      <c r="AC234" s="127">
        <f t="shared" si="34"/>
        <v>1723.04</v>
      </c>
      <c r="AD234" s="127">
        <f t="shared" si="34"/>
        <v>1755.44</v>
      </c>
      <c r="AE234" s="127">
        <f t="shared" si="34"/>
        <v>1795.74</v>
      </c>
      <c r="AF234" s="127">
        <f t="shared" si="34"/>
        <v>1717.74</v>
      </c>
      <c r="AG234" s="127">
        <f t="shared" si="34"/>
        <v>1786.14</v>
      </c>
      <c r="AH234" s="127">
        <f t="shared" si="34"/>
        <v>1765.84</v>
      </c>
      <c r="AI234" s="127">
        <f t="shared" si="34"/>
        <v>1786.14</v>
      </c>
      <c r="AJ234" s="127">
        <f t="shared" si="34"/>
        <v>1770.4399999999998</v>
      </c>
      <c r="AK234" s="127">
        <f t="shared" si="34"/>
        <v>1823.94</v>
      </c>
      <c r="AL234" s="127">
        <f t="shared" si="34"/>
        <v>1784.34</v>
      </c>
      <c r="AM234" s="127">
        <f t="shared" si="34"/>
        <v>1783.34</v>
      </c>
      <c r="AN234" s="127">
        <f t="shared" si="34"/>
        <v>1801.3400000000001</v>
      </c>
      <c r="AO234" s="127">
        <f t="shared" si="34"/>
        <v>1812.54</v>
      </c>
      <c r="AP234" s="127">
        <f t="shared" si="34"/>
        <v>1825.3400000000001</v>
      </c>
      <c r="AQ234" s="127">
        <f t="shared" si="34"/>
        <v>1841.7400000000002</v>
      </c>
      <c r="AR234" s="127">
        <f t="shared" si="34"/>
        <v>1877.3400000000001</v>
      </c>
      <c r="AS234" s="127">
        <f t="shared" si="34"/>
        <v>1894.1399999999999</v>
      </c>
      <c r="AT234" s="127">
        <f t="shared" si="34"/>
        <v>1915.84</v>
      </c>
      <c r="AU234" s="127">
        <f t="shared" si="34"/>
        <v>1889.4399999999998</v>
      </c>
      <c r="AV234" s="127">
        <f t="shared" si="34"/>
        <v>1885.34</v>
      </c>
      <c r="AW234" s="127">
        <f t="shared" si="34"/>
        <v>1868.74</v>
      </c>
      <c r="AX234" s="127">
        <f t="shared" si="34"/>
        <v>1817.34</v>
      </c>
    </row>
    <row r="235" spans="1:50" x14ac:dyDescent="0.25">
      <c r="A235" s="119" t="s">
        <v>100</v>
      </c>
      <c r="B235" s="120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  <c r="AC235" s="179"/>
      <c r="AD235" s="179"/>
      <c r="AE235" s="179"/>
      <c r="AF235" s="179"/>
      <c r="AG235" s="179"/>
      <c r="AH235" s="179"/>
    </row>
    <row r="236" spans="1:50" x14ac:dyDescent="0.25">
      <c r="A236" s="119" t="s">
        <v>101</v>
      </c>
      <c r="B236" s="120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79"/>
      <c r="AE236" s="179"/>
      <c r="AF236" s="179"/>
      <c r="AG236" s="179"/>
      <c r="AH236" s="179"/>
    </row>
    <row r="237" spans="1:50" x14ac:dyDescent="0.25">
      <c r="A237" s="119" t="s">
        <v>102</v>
      </c>
      <c r="B237" s="120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  <c r="AE237" s="179"/>
      <c r="AF237" s="179"/>
      <c r="AG237" s="179"/>
      <c r="AH237" s="179"/>
    </row>
    <row r="238" spans="1:50" x14ac:dyDescent="0.25">
      <c r="A238" s="119" t="s">
        <v>103</v>
      </c>
      <c r="B238" s="128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  <c r="AE238" s="179"/>
      <c r="AF238" s="179"/>
      <c r="AG238" s="179"/>
      <c r="AH238" s="179"/>
    </row>
    <row r="239" spans="1:50" x14ac:dyDescent="0.25">
      <c r="A239" s="119" t="s">
        <v>104</v>
      </c>
      <c r="B239" s="120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</row>
    <row r="240" spans="1:50" x14ac:dyDescent="0.25"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  <c r="AD240" s="179"/>
      <c r="AE240" s="179"/>
      <c r="AF240" s="179"/>
      <c r="AG240" s="179"/>
      <c r="AH240" s="179"/>
    </row>
    <row r="241" spans="1:36" x14ac:dyDescent="0.25"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  <c r="AC241" s="179"/>
      <c r="AD241" s="179"/>
      <c r="AE241" s="179"/>
      <c r="AF241" s="179"/>
      <c r="AG241" s="179"/>
      <c r="AH241" s="179"/>
    </row>
    <row r="242" spans="1:36" x14ac:dyDescent="0.25"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  <c r="AC242" s="179"/>
      <c r="AD242" s="179"/>
      <c r="AE242" s="179"/>
      <c r="AF242" s="179"/>
      <c r="AG242" s="179"/>
      <c r="AH242" s="179"/>
    </row>
    <row r="243" spans="1:36" x14ac:dyDescent="0.25"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  <c r="AC243" s="179"/>
      <c r="AD243" s="179"/>
      <c r="AE243" s="179"/>
      <c r="AF243" s="179"/>
      <c r="AG243" s="179"/>
      <c r="AH243" s="179"/>
    </row>
    <row r="244" spans="1:36" x14ac:dyDescent="0.25"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  <c r="AC244" s="179"/>
      <c r="AD244" s="179"/>
      <c r="AE244" s="179"/>
      <c r="AF244" s="179"/>
      <c r="AG244" s="179"/>
      <c r="AH244" s="179"/>
    </row>
    <row r="245" spans="1:36" x14ac:dyDescent="0.25"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  <c r="AG245" s="179"/>
      <c r="AH245" s="179"/>
    </row>
    <row r="246" spans="1:36" x14ac:dyDescent="0.25"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  <c r="AC246" s="179"/>
      <c r="AD246" s="179"/>
      <c r="AE246" s="179"/>
      <c r="AF246" s="179"/>
      <c r="AG246" s="179"/>
      <c r="AH246" s="179"/>
      <c r="AJ246"/>
    </row>
    <row r="247" spans="1:36" x14ac:dyDescent="0.25"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  <c r="AC247" s="179"/>
      <c r="AD247" s="179"/>
      <c r="AE247" s="179"/>
      <c r="AF247" s="179"/>
      <c r="AG247" s="179"/>
      <c r="AH247" s="179"/>
      <c r="AJ247"/>
    </row>
    <row r="248" spans="1:36" x14ac:dyDescent="0.25"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  <c r="AC248" s="179"/>
      <c r="AD248" s="179"/>
      <c r="AE248" s="179"/>
      <c r="AF248" s="179"/>
      <c r="AG248" s="179"/>
      <c r="AH248" s="179"/>
      <c r="AJ248"/>
    </row>
    <row r="249" spans="1:36" x14ac:dyDescent="0.25"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  <c r="AC249" s="179"/>
      <c r="AD249" s="179"/>
      <c r="AE249" s="179"/>
      <c r="AF249" s="179"/>
      <c r="AG249" s="179"/>
      <c r="AH249" s="179"/>
      <c r="AJ249"/>
    </row>
    <row r="250" spans="1:36" x14ac:dyDescent="0.25"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  <c r="AC250" s="179"/>
      <c r="AD250" s="179"/>
      <c r="AE250" s="179"/>
      <c r="AF250" s="179"/>
      <c r="AG250" s="179"/>
      <c r="AH250" s="179"/>
      <c r="AJ250"/>
    </row>
    <row r="251" spans="1:36" x14ac:dyDescent="0.25"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  <c r="AE251" s="179"/>
      <c r="AF251" s="179"/>
      <c r="AG251" s="179"/>
      <c r="AH251" s="179"/>
      <c r="AJ251"/>
    </row>
    <row r="252" spans="1:36" x14ac:dyDescent="0.25"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  <c r="AC252" s="179"/>
      <c r="AD252" s="179"/>
      <c r="AE252" s="179"/>
      <c r="AF252" s="179"/>
      <c r="AG252" s="179"/>
      <c r="AH252" s="179"/>
      <c r="AJ252"/>
    </row>
    <row r="253" spans="1:36" x14ac:dyDescent="0.25"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J253"/>
    </row>
    <row r="254" spans="1:36" x14ac:dyDescent="0.25"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  <c r="AE254" s="179"/>
      <c r="AF254" s="179"/>
      <c r="AG254" s="179"/>
      <c r="AH254" s="179"/>
      <c r="AJ254"/>
    </row>
    <row r="255" spans="1:36" x14ac:dyDescent="0.25">
      <c r="A255" s="129" t="s">
        <v>89</v>
      </c>
      <c r="B255" s="130">
        <f t="shared" ref="B255:AE255" si="35">C219</f>
        <v>0.64</v>
      </c>
      <c r="C255" s="130">
        <f t="shared" si="35"/>
        <v>0.64</v>
      </c>
      <c r="D255" s="130">
        <f t="shared" si="35"/>
        <v>0.64</v>
      </c>
      <c r="E255" s="130">
        <f t="shared" si="35"/>
        <v>0.64</v>
      </c>
      <c r="F255" s="130">
        <f t="shared" si="35"/>
        <v>0.64</v>
      </c>
      <c r="G255" s="130">
        <f t="shared" si="35"/>
        <v>0.64</v>
      </c>
      <c r="H255" s="130">
        <f t="shared" si="35"/>
        <v>0.64</v>
      </c>
      <c r="I255" s="130">
        <f t="shared" si="35"/>
        <v>0.64</v>
      </c>
      <c r="J255" s="130">
        <f t="shared" si="35"/>
        <v>0.64</v>
      </c>
      <c r="K255" s="130">
        <f t="shared" si="35"/>
        <v>0.64</v>
      </c>
      <c r="L255" s="130">
        <f t="shared" si="35"/>
        <v>0.64</v>
      </c>
      <c r="M255" s="130">
        <f t="shared" si="35"/>
        <v>0.64</v>
      </c>
      <c r="N255" s="130">
        <f t="shared" si="35"/>
        <v>0.64</v>
      </c>
      <c r="O255" s="130">
        <f t="shared" si="35"/>
        <v>0.64</v>
      </c>
      <c r="P255" s="130">
        <f t="shared" si="35"/>
        <v>0</v>
      </c>
      <c r="Q255" s="130">
        <f t="shared" si="35"/>
        <v>0</v>
      </c>
      <c r="R255" s="130">
        <f t="shared" si="35"/>
        <v>0</v>
      </c>
      <c r="S255" s="130">
        <f t="shared" si="35"/>
        <v>0</v>
      </c>
      <c r="T255" s="130">
        <f t="shared" si="35"/>
        <v>0</v>
      </c>
      <c r="U255" s="130">
        <f t="shared" si="35"/>
        <v>0</v>
      </c>
      <c r="V255" s="130">
        <f t="shared" si="35"/>
        <v>0</v>
      </c>
      <c r="W255" s="130">
        <f t="shared" si="35"/>
        <v>0</v>
      </c>
      <c r="X255" s="130">
        <f t="shared" si="35"/>
        <v>0</v>
      </c>
      <c r="Y255" s="130">
        <f t="shared" si="35"/>
        <v>0</v>
      </c>
      <c r="Z255" s="130">
        <f t="shared" si="35"/>
        <v>0</v>
      </c>
      <c r="AA255" s="130">
        <f t="shared" si="35"/>
        <v>0</v>
      </c>
      <c r="AB255" s="130">
        <f t="shared" si="35"/>
        <v>0</v>
      </c>
      <c r="AC255" s="130">
        <f t="shared" si="35"/>
        <v>0</v>
      </c>
      <c r="AD255" s="130">
        <f t="shared" si="35"/>
        <v>0</v>
      </c>
      <c r="AE255" s="130">
        <f t="shared" si="35"/>
        <v>0</v>
      </c>
      <c r="AF255" s="130">
        <f>B219</f>
        <v>0</v>
      </c>
      <c r="AG255" s="179"/>
      <c r="AH255" s="179"/>
      <c r="AJ255"/>
    </row>
    <row r="256" spans="1:36" x14ac:dyDescent="0.25">
      <c r="A256" s="88" t="str">
        <f>A223</f>
        <v>KGA</v>
      </c>
      <c r="B256" s="88" t="str">
        <f>IF(B223&lt;100,"",B223-520)</f>
        <v/>
      </c>
      <c r="C256" s="88" t="str">
        <f t="shared" ref="C256:AF256" si="36">IF(C223&lt;100,"",C223-520)</f>
        <v/>
      </c>
      <c r="D256" s="88" t="str">
        <f t="shared" si="36"/>
        <v/>
      </c>
      <c r="E256" s="88" t="str">
        <f t="shared" si="36"/>
        <v/>
      </c>
      <c r="F256" s="88" t="str">
        <f t="shared" si="36"/>
        <v/>
      </c>
      <c r="G256" s="88" t="str">
        <f t="shared" si="36"/>
        <v/>
      </c>
      <c r="H256" s="88" t="str">
        <f t="shared" si="36"/>
        <v/>
      </c>
      <c r="I256" s="88" t="str">
        <f t="shared" si="36"/>
        <v/>
      </c>
      <c r="J256" s="88" t="str">
        <f t="shared" si="36"/>
        <v/>
      </c>
      <c r="K256" s="88" t="str">
        <f t="shared" si="36"/>
        <v/>
      </c>
      <c r="L256" s="88" t="str">
        <f t="shared" si="36"/>
        <v/>
      </c>
      <c r="M256" s="88" t="str">
        <f t="shared" si="36"/>
        <v/>
      </c>
      <c r="N256" s="88" t="str">
        <f t="shared" si="36"/>
        <v/>
      </c>
      <c r="O256" s="88" t="str">
        <f t="shared" si="36"/>
        <v/>
      </c>
      <c r="P256" s="88" t="str">
        <f t="shared" si="36"/>
        <v/>
      </c>
      <c r="Q256" s="88" t="str">
        <f t="shared" si="36"/>
        <v/>
      </c>
      <c r="R256" s="88" t="str">
        <f t="shared" si="36"/>
        <v/>
      </c>
      <c r="S256" s="88" t="str">
        <f t="shared" si="36"/>
        <v/>
      </c>
      <c r="T256" s="88" t="str">
        <f t="shared" si="36"/>
        <v/>
      </c>
      <c r="U256" s="88" t="str">
        <f t="shared" si="36"/>
        <v/>
      </c>
      <c r="V256" s="88" t="str">
        <f t="shared" si="36"/>
        <v/>
      </c>
      <c r="W256" s="88" t="str">
        <f t="shared" si="36"/>
        <v/>
      </c>
      <c r="X256" s="88" t="str">
        <f t="shared" si="36"/>
        <v/>
      </c>
      <c r="Y256" s="88" t="str">
        <f t="shared" si="36"/>
        <v/>
      </c>
      <c r="Z256" s="88" t="str">
        <f t="shared" si="36"/>
        <v/>
      </c>
      <c r="AA256" s="88" t="str">
        <f t="shared" si="36"/>
        <v/>
      </c>
      <c r="AB256" s="88" t="str">
        <f t="shared" si="36"/>
        <v/>
      </c>
      <c r="AC256" s="88" t="str">
        <f t="shared" si="36"/>
        <v/>
      </c>
      <c r="AD256" s="88" t="str">
        <f t="shared" si="36"/>
        <v/>
      </c>
      <c r="AE256" s="88" t="str">
        <f t="shared" si="36"/>
        <v/>
      </c>
      <c r="AF256" s="88" t="str">
        <f t="shared" si="36"/>
        <v/>
      </c>
      <c r="AG256" s="179"/>
      <c r="AH256" s="179"/>
      <c r="AJ256"/>
    </row>
    <row r="257" spans="1:36" x14ac:dyDescent="0.25">
      <c r="A257" s="88" t="str">
        <f>A224</f>
        <v>MMRS</v>
      </c>
      <c r="B257" s="88" t="str">
        <f t="shared" ref="B257:AF257" si="37">IF(B224&lt;100,"",B224-620)</f>
        <v/>
      </c>
      <c r="C257" s="88" t="str">
        <f t="shared" si="37"/>
        <v/>
      </c>
      <c r="D257" s="88" t="str">
        <f t="shared" si="37"/>
        <v/>
      </c>
      <c r="E257" s="88" t="str">
        <f t="shared" si="37"/>
        <v/>
      </c>
      <c r="F257" s="88" t="str">
        <f t="shared" si="37"/>
        <v/>
      </c>
      <c r="G257" s="88" t="str">
        <f t="shared" si="37"/>
        <v/>
      </c>
      <c r="H257" s="88" t="str">
        <f t="shared" si="37"/>
        <v/>
      </c>
      <c r="I257" s="88" t="str">
        <f t="shared" si="37"/>
        <v/>
      </c>
      <c r="J257" s="88" t="str">
        <f t="shared" si="37"/>
        <v/>
      </c>
      <c r="K257" s="88" t="str">
        <f t="shared" si="37"/>
        <v/>
      </c>
      <c r="L257" s="88" t="str">
        <f t="shared" si="37"/>
        <v/>
      </c>
      <c r="M257" s="88" t="str">
        <f t="shared" si="37"/>
        <v/>
      </c>
      <c r="N257" s="88" t="str">
        <f t="shared" si="37"/>
        <v/>
      </c>
      <c r="O257" s="88" t="str">
        <f t="shared" si="37"/>
        <v/>
      </c>
      <c r="P257" s="88" t="str">
        <f t="shared" si="37"/>
        <v/>
      </c>
      <c r="Q257" s="88" t="str">
        <f t="shared" si="37"/>
        <v/>
      </c>
      <c r="R257" s="88" t="str">
        <f t="shared" si="37"/>
        <v/>
      </c>
      <c r="S257" s="88" t="str">
        <f t="shared" si="37"/>
        <v/>
      </c>
      <c r="T257" s="88" t="str">
        <f t="shared" si="37"/>
        <v/>
      </c>
      <c r="U257" s="88" t="str">
        <f t="shared" si="37"/>
        <v/>
      </c>
      <c r="V257" s="88" t="str">
        <f t="shared" si="37"/>
        <v/>
      </c>
      <c r="W257" s="88" t="str">
        <f t="shared" si="37"/>
        <v/>
      </c>
      <c r="X257" s="88" t="str">
        <f t="shared" si="37"/>
        <v/>
      </c>
      <c r="Y257" s="88" t="str">
        <f t="shared" si="37"/>
        <v/>
      </c>
      <c r="Z257" s="88" t="str">
        <f t="shared" si="37"/>
        <v/>
      </c>
      <c r="AA257" s="88" t="str">
        <f t="shared" si="37"/>
        <v/>
      </c>
      <c r="AB257" s="88" t="str">
        <f t="shared" si="37"/>
        <v/>
      </c>
      <c r="AC257" s="88" t="str">
        <f t="shared" si="37"/>
        <v/>
      </c>
      <c r="AD257" s="88" t="str">
        <f t="shared" si="37"/>
        <v/>
      </c>
      <c r="AE257" s="88" t="str">
        <f t="shared" si="37"/>
        <v/>
      </c>
      <c r="AF257" s="88" t="str">
        <f t="shared" si="37"/>
        <v/>
      </c>
      <c r="AG257" s="179"/>
      <c r="AH257" s="179"/>
      <c r="AJ257"/>
    </row>
    <row r="258" spans="1:36" x14ac:dyDescent="0.25">
      <c r="A258" s="88" t="str">
        <f>A225</f>
        <v>MRS</v>
      </c>
      <c r="B258" s="88" t="str">
        <f t="shared" ref="B258:AF258" si="38">IF(B225&lt;100,"",B225-330)</f>
        <v/>
      </c>
      <c r="C258" s="88" t="str">
        <f t="shared" si="38"/>
        <v/>
      </c>
      <c r="D258" s="88" t="str">
        <f t="shared" si="38"/>
        <v/>
      </c>
      <c r="E258" s="88" t="str">
        <f t="shared" si="38"/>
        <v/>
      </c>
      <c r="F258" s="88" t="str">
        <f t="shared" si="38"/>
        <v/>
      </c>
      <c r="G258" s="88" t="str">
        <f t="shared" si="38"/>
        <v/>
      </c>
      <c r="H258" s="88" t="str">
        <f t="shared" si="38"/>
        <v/>
      </c>
      <c r="I258" s="88" t="str">
        <f t="shared" si="38"/>
        <v/>
      </c>
      <c r="J258" s="88" t="str">
        <f t="shared" si="38"/>
        <v/>
      </c>
      <c r="K258" s="88" t="str">
        <f t="shared" si="38"/>
        <v/>
      </c>
      <c r="L258" s="88" t="str">
        <f t="shared" si="38"/>
        <v/>
      </c>
      <c r="M258" s="88" t="str">
        <f t="shared" si="38"/>
        <v/>
      </c>
      <c r="N258" s="88" t="str">
        <f t="shared" si="38"/>
        <v/>
      </c>
      <c r="O258" s="88" t="str">
        <f t="shared" si="38"/>
        <v/>
      </c>
      <c r="P258" s="88" t="str">
        <f t="shared" si="38"/>
        <v/>
      </c>
      <c r="Q258" s="88" t="str">
        <f t="shared" si="38"/>
        <v/>
      </c>
      <c r="R258" s="88" t="str">
        <f t="shared" si="38"/>
        <v/>
      </c>
      <c r="S258" s="88" t="str">
        <f t="shared" si="38"/>
        <v/>
      </c>
      <c r="T258" s="88" t="str">
        <f t="shared" si="38"/>
        <v/>
      </c>
      <c r="U258" s="88" t="str">
        <f t="shared" si="38"/>
        <v/>
      </c>
      <c r="V258" s="88" t="str">
        <f t="shared" si="38"/>
        <v/>
      </c>
      <c r="W258" s="88" t="str">
        <f t="shared" si="38"/>
        <v/>
      </c>
      <c r="X258" s="88" t="str">
        <f t="shared" si="38"/>
        <v/>
      </c>
      <c r="Y258" s="88" t="str">
        <f t="shared" si="38"/>
        <v/>
      </c>
      <c r="Z258" s="88" t="str">
        <f t="shared" si="38"/>
        <v/>
      </c>
      <c r="AA258" s="88" t="str">
        <f t="shared" si="38"/>
        <v/>
      </c>
      <c r="AB258" s="88" t="str">
        <f t="shared" si="38"/>
        <v/>
      </c>
      <c r="AC258" s="88" t="str">
        <f t="shared" si="38"/>
        <v/>
      </c>
      <c r="AD258" s="88" t="str">
        <f t="shared" si="38"/>
        <v/>
      </c>
      <c r="AE258" s="88" t="str">
        <f t="shared" si="38"/>
        <v/>
      </c>
      <c r="AF258" s="88" t="str">
        <f t="shared" si="38"/>
        <v/>
      </c>
      <c r="AG258" s="179"/>
      <c r="AH258" s="179"/>
      <c r="AJ258"/>
    </row>
    <row r="259" spans="1:36" x14ac:dyDescent="0.25">
      <c r="A259" s="88" t="str">
        <f>A226</f>
        <v>KL 1</v>
      </c>
      <c r="B259" s="88" t="str">
        <f>IF(B226&lt;100,"",B226-1500)</f>
        <v/>
      </c>
      <c r="C259" s="88" t="str">
        <f t="shared" ref="C259:AF259" si="39">IF(C226&lt;100,"",C226-1500)</f>
        <v/>
      </c>
      <c r="D259" s="88" t="str">
        <f t="shared" si="39"/>
        <v/>
      </c>
      <c r="E259" s="88" t="str">
        <f t="shared" si="39"/>
        <v/>
      </c>
      <c r="F259" s="88" t="str">
        <f t="shared" si="39"/>
        <v/>
      </c>
      <c r="G259" s="88" t="str">
        <f t="shared" si="39"/>
        <v/>
      </c>
      <c r="H259" s="88" t="str">
        <f t="shared" si="39"/>
        <v/>
      </c>
      <c r="I259" s="88" t="str">
        <f t="shared" si="39"/>
        <v/>
      </c>
      <c r="J259" s="88" t="str">
        <f t="shared" si="39"/>
        <v/>
      </c>
      <c r="K259" s="88" t="str">
        <f t="shared" si="39"/>
        <v/>
      </c>
      <c r="L259" s="88" t="str">
        <f t="shared" si="39"/>
        <v/>
      </c>
      <c r="M259" s="88" t="str">
        <f t="shared" si="39"/>
        <v/>
      </c>
      <c r="N259" s="88" t="str">
        <f t="shared" si="39"/>
        <v/>
      </c>
      <c r="O259" s="88" t="str">
        <f t="shared" si="39"/>
        <v/>
      </c>
      <c r="P259" s="88" t="str">
        <f t="shared" si="39"/>
        <v/>
      </c>
      <c r="Q259" s="88" t="str">
        <f t="shared" si="39"/>
        <v/>
      </c>
      <c r="R259" s="88" t="str">
        <f t="shared" si="39"/>
        <v/>
      </c>
      <c r="S259" s="88" t="str">
        <f t="shared" si="39"/>
        <v/>
      </c>
      <c r="T259" s="88" t="str">
        <f t="shared" si="39"/>
        <v/>
      </c>
      <c r="U259" s="88" t="str">
        <f t="shared" si="39"/>
        <v/>
      </c>
      <c r="V259" s="88" t="str">
        <f t="shared" si="39"/>
        <v/>
      </c>
      <c r="W259" s="88" t="str">
        <f t="shared" si="39"/>
        <v/>
      </c>
      <c r="X259" s="88" t="str">
        <f t="shared" si="39"/>
        <v/>
      </c>
      <c r="Y259" s="88" t="str">
        <f t="shared" si="39"/>
        <v/>
      </c>
      <c r="Z259" s="88" t="str">
        <f t="shared" si="39"/>
        <v/>
      </c>
      <c r="AA259" s="88" t="str">
        <f t="shared" si="39"/>
        <v/>
      </c>
      <c r="AB259" s="88" t="str">
        <f t="shared" si="39"/>
        <v/>
      </c>
      <c r="AC259" s="88" t="str">
        <f t="shared" si="39"/>
        <v/>
      </c>
      <c r="AD259" s="88" t="str">
        <f t="shared" si="39"/>
        <v/>
      </c>
      <c r="AE259" s="88" t="str">
        <f t="shared" si="39"/>
        <v/>
      </c>
      <c r="AF259" s="88" t="str">
        <f t="shared" si="39"/>
        <v/>
      </c>
      <c r="AG259" s="179"/>
      <c r="AH259" s="179"/>
      <c r="AJ259"/>
    </row>
    <row r="260" spans="1:36" x14ac:dyDescent="0.25"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  <c r="AC260" s="179"/>
      <c r="AD260" s="179"/>
      <c r="AE260" s="179"/>
      <c r="AF260" s="179"/>
      <c r="AG260" s="179"/>
      <c r="AH260" s="179"/>
      <c r="AJ260"/>
    </row>
    <row r="261" spans="1:36" x14ac:dyDescent="0.25"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  <c r="AJ261"/>
    </row>
    <row r="262" spans="1:36" x14ac:dyDescent="0.25"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  <c r="AE262" s="179"/>
      <c r="AF262" s="179"/>
      <c r="AG262" s="179"/>
      <c r="AH262" s="179"/>
      <c r="AJ262"/>
    </row>
    <row r="263" spans="1:36" x14ac:dyDescent="0.25"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  <c r="AC263" s="179"/>
      <c r="AD263" s="179"/>
      <c r="AE263" s="179"/>
      <c r="AF263" s="179"/>
      <c r="AG263" s="179"/>
      <c r="AH263" s="179"/>
      <c r="AJ263"/>
    </row>
    <row r="264" spans="1:36" x14ac:dyDescent="0.25"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  <c r="AC264" s="179"/>
      <c r="AD264" s="179"/>
      <c r="AE264" s="179"/>
      <c r="AF264" s="179"/>
      <c r="AG264" s="179"/>
      <c r="AH264" s="179"/>
      <c r="AJ264"/>
    </row>
    <row r="265" spans="1:36" x14ac:dyDescent="0.25"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  <c r="AC265" s="179"/>
      <c r="AD265" s="179"/>
      <c r="AE265" s="179"/>
      <c r="AF265" s="179"/>
      <c r="AG265" s="179"/>
      <c r="AH265" s="179"/>
      <c r="AJ265"/>
    </row>
    <row r="266" spans="1:36" x14ac:dyDescent="0.25"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  <c r="AC266" s="179"/>
      <c r="AD266" s="179"/>
      <c r="AE266" s="179"/>
      <c r="AF266" s="179"/>
      <c r="AJ266"/>
    </row>
    <row r="490" spans="36:38" x14ac:dyDescent="0.25">
      <c r="AK490" s="1"/>
    </row>
    <row r="491" spans="36:38" x14ac:dyDescent="0.25">
      <c r="AK491" s="1"/>
      <c r="AL491" s="1"/>
    </row>
    <row r="492" spans="36:38" x14ac:dyDescent="0.25">
      <c r="AJ49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1:B23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1">
      <iconSet iconSet="3TrafficLights2" reverse="1">
        <cfvo type="percent" val="0"/>
        <cfvo type="num" val="1"/>
        <cfvo type="num" val="1"/>
      </iconSet>
    </cfRule>
  </conditionalFormatting>
  <conditionalFormatting sqref="D214:AF220 B214:B220 B212:AF212 U233:AF233 B9:AF10 AA11:AF11 C99:AF105">
    <cfRule type="expression" dxfId="2902" priority="297">
      <formula>B$9&gt;=20/24</formula>
    </cfRule>
    <cfRule type="expression" dxfId="2901" priority="298">
      <formula>AND(B$9&gt;=14/24,B$9&lt;20/24)</formula>
    </cfRule>
    <cfRule type="expression" dxfId="2900" priority="299">
      <formula>AND(B$9&gt;=8/24,B$9&lt;14/24)</formula>
    </cfRule>
    <cfRule type="expression" dxfId="2899" priority="300">
      <formula>B$9&lt;8/24</formula>
    </cfRule>
  </conditionalFormatting>
  <conditionalFormatting sqref="AL4:AL6">
    <cfRule type="iconSet" priority="296">
      <iconSet iconSet="3TrafficLights2" reverse="1">
        <cfvo type="percent" val="0"/>
        <cfvo type="num" val="1"/>
        <cfvo type="num" val="1"/>
      </iconSet>
    </cfRule>
  </conditionalFormatting>
  <conditionalFormatting sqref="Y37:AF37">
    <cfRule type="expression" dxfId="2898" priority="292">
      <formula>Y$9&gt;=20/24</formula>
    </cfRule>
    <cfRule type="expression" dxfId="2897" priority="293">
      <formula>AND(Y$9&gt;=14/24,Y$9&lt;20/24)</formula>
    </cfRule>
    <cfRule type="expression" dxfId="2896" priority="294">
      <formula>AND(Y$9&gt;=8/24,Y$9&lt;14/24)</formula>
    </cfRule>
    <cfRule type="expression" dxfId="2895" priority="295">
      <formula>Y$9&lt;8/24</formula>
    </cfRule>
  </conditionalFormatting>
  <conditionalFormatting sqref="AG55 M11:R11 O12:R16 M16:N16 Y37:AF37 S11:AF16 M35:AF35">
    <cfRule type="expression" dxfId="2894" priority="291">
      <formula>M11&gt;$AG11</formula>
    </cfRule>
  </conditionalFormatting>
  <conditionalFormatting sqref="A89:A102 A11:A14 A49:A76 A85:A87 A190:A220 A16:A30 A36:A47 A106:A177 A32:A33 A81:A83 A78:A79">
    <cfRule type="expression" dxfId="2893" priority="290">
      <formula>$AH11=0</formula>
    </cfRule>
  </conditionalFormatting>
  <conditionalFormatting sqref="A103">
    <cfRule type="expression" dxfId="2892" priority="289">
      <formula>$AH103=0</formula>
    </cfRule>
  </conditionalFormatting>
  <conditionalFormatting sqref="AL33">
    <cfRule type="iconSet" priority="288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2891" priority="287">
      <formula>$AH35=0</formula>
    </cfRule>
  </conditionalFormatting>
  <conditionalFormatting sqref="A88">
    <cfRule type="expression" dxfId="2890" priority="286">
      <formula>$AH88=0</formula>
    </cfRule>
  </conditionalFormatting>
  <conditionalFormatting sqref="A15">
    <cfRule type="expression" dxfId="2889" priority="285">
      <formula>$AH15=0</formula>
    </cfRule>
  </conditionalFormatting>
  <conditionalFormatting sqref="A184:A189">
    <cfRule type="expression" dxfId="2888" priority="284">
      <formula>$AH184=0</formula>
    </cfRule>
  </conditionalFormatting>
  <conditionalFormatting sqref="A178:A183">
    <cfRule type="expression" dxfId="2887" priority="283">
      <formula>$AH178=0</formula>
    </cfRule>
  </conditionalFormatting>
  <conditionalFormatting sqref="A48">
    <cfRule type="expression" dxfId="2886" priority="282">
      <formula>$AH48=0</formula>
    </cfRule>
  </conditionalFormatting>
  <conditionalFormatting sqref="A84">
    <cfRule type="expression" dxfId="2885" priority="281">
      <formula>$AH84=0</formula>
    </cfRule>
  </conditionalFormatting>
  <conditionalFormatting sqref="C89:AF89">
    <cfRule type="expression" dxfId="2884" priority="277">
      <formula>C$9&gt;=20/24</formula>
    </cfRule>
    <cfRule type="expression" dxfId="2883" priority="278">
      <formula>AND(C$9&gt;=14/24,C$9&lt;20/24)</formula>
    </cfRule>
    <cfRule type="expression" dxfId="2882" priority="279">
      <formula>AND(C$9&gt;=8/24,C$9&lt;14/24)</formula>
    </cfRule>
    <cfRule type="expression" dxfId="2881" priority="280">
      <formula>C$9&lt;8/24</formula>
    </cfRule>
  </conditionalFormatting>
  <conditionalFormatting sqref="AL34">
    <cfRule type="iconSet" priority="27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880" priority="303">
      <formula>C$9&gt;=20/24</formula>
    </cfRule>
    <cfRule type="expression" dxfId="2879" priority="304">
      <formula>AND(C$9&gt;=14/24,C$9&lt;20/24)</formula>
    </cfRule>
    <cfRule type="expression" dxfId="2878" priority="305">
      <formula>AND(C$9&gt;=8/24,C$9&lt;14/24)</formula>
    </cfRule>
    <cfRule type="expression" dxfId="2877" priority="306">
      <formula>C$9&lt;8/24</formula>
    </cfRule>
  </conditionalFormatting>
  <conditionalFormatting sqref="A221">
    <cfRule type="expression" dxfId="2876" priority="307">
      <formula>$AH221=0</formula>
    </cfRule>
  </conditionalFormatting>
  <conditionalFormatting sqref="AG233">
    <cfRule type="expression" dxfId="2875" priority="308">
      <formula>B$9&gt;=20/24</formula>
    </cfRule>
    <cfRule type="expression" dxfId="2874" priority="309">
      <formula>AND(B$9&gt;=14/24,B$9&lt;20/24)</formula>
    </cfRule>
    <cfRule type="expression" dxfId="2873" priority="310">
      <formula>AND(B$9&gt;=8/24,B$9&lt;14/24)</formula>
    </cfRule>
    <cfRule type="expression" dxfId="2872" priority="311">
      <formula>B$9&lt;8/24</formula>
    </cfRule>
  </conditionalFormatting>
  <conditionalFormatting sqref="S8">
    <cfRule type="expression" dxfId="2871" priority="272">
      <formula>U$9&gt;=20/24</formula>
    </cfRule>
    <cfRule type="expression" dxfId="2870" priority="273">
      <formula>AND(U$9&gt;=14/24,U$9&lt;20/24)</formula>
    </cfRule>
    <cfRule type="expression" dxfId="2869" priority="274">
      <formula>AND(U$9&gt;=8/24,U$9&lt;14/24)</formula>
    </cfRule>
    <cfRule type="expression" dxfId="2868" priority="275">
      <formula>U$9&lt;8/24</formula>
    </cfRule>
  </conditionalFormatting>
  <conditionalFormatting sqref="AB8">
    <cfRule type="expression" dxfId="2867" priority="268">
      <formula>AD$9&gt;=20/24</formula>
    </cfRule>
    <cfRule type="expression" dxfId="2866" priority="269">
      <formula>AND(AD$9&gt;=14/24,AD$9&lt;20/24)</formula>
    </cfRule>
    <cfRule type="expression" dxfId="2865" priority="270">
      <formula>AND(AD$9&gt;=8/24,AD$9&lt;14/24)</formula>
    </cfRule>
    <cfRule type="expression" dxfId="2864" priority="271">
      <formula>AD$9&lt;8/24</formula>
    </cfRule>
  </conditionalFormatting>
  <conditionalFormatting sqref="AH233:AX233">
    <cfRule type="expression" dxfId="2863" priority="312">
      <formula>AG$9&gt;=20/24</formula>
    </cfRule>
    <cfRule type="expression" dxfId="2862" priority="313">
      <formula>AND(AG$9&gt;=14/24,AG$9&lt;20/24)</formula>
    </cfRule>
    <cfRule type="expression" dxfId="2861" priority="314">
      <formula>AND(AG$9&gt;=8/24,AG$9&lt;14/24)</formula>
    </cfRule>
    <cfRule type="expression" dxfId="2860" priority="315">
      <formula>AG$9&lt;8/24</formula>
    </cfRule>
  </conditionalFormatting>
  <conditionalFormatting sqref="T233">
    <cfRule type="expression" dxfId="2859" priority="316">
      <formula>AX$9&gt;=20/24</formula>
    </cfRule>
    <cfRule type="expression" dxfId="2858" priority="317">
      <formula>AND(AX$9&gt;=14/24,AX$9&lt;20/24)</formula>
    </cfRule>
    <cfRule type="expression" dxfId="2857" priority="318">
      <formula>AND(AX$9&gt;=8/24,AX$9&lt;14/24)</formula>
    </cfRule>
    <cfRule type="expression" dxfId="2856" priority="319">
      <formula>AX$9&lt;8/24</formula>
    </cfRule>
  </conditionalFormatting>
  <conditionalFormatting sqref="A104:A105">
    <cfRule type="expression" dxfId="2855" priority="267">
      <formula>$AH104=0</formula>
    </cfRule>
  </conditionalFormatting>
  <conditionalFormatting sqref="F44:L45 S44:AF45 E61:AF61">
    <cfRule type="expression" dxfId="2854" priority="263">
      <formula>E$9&gt;=20/24</formula>
    </cfRule>
    <cfRule type="expression" dxfId="2853" priority="264">
      <formula>AND(E$9&gt;=14/24,E$9&lt;20/24)</formula>
    </cfRule>
    <cfRule type="expression" dxfId="2852" priority="265">
      <formula>AND(E$9&gt;=8/24,E$9&lt;14/24)</formula>
    </cfRule>
    <cfRule type="expression" dxfId="2851" priority="266">
      <formula>E$9&lt;8/24</formula>
    </cfRule>
  </conditionalFormatting>
  <conditionalFormatting sqref="F43:L43 S43:AF43">
    <cfRule type="expression" dxfId="2850" priority="259">
      <formula>F$9&gt;=20/24</formula>
    </cfRule>
    <cfRule type="expression" dxfId="2849" priority="260">
      <formula>AND(F$9&gt;=14/24,F$9&lt;20/24)</formula>
    </cfRule>
    <cfRule type="expression" dxfId="2848" priority="261">
      <formula>AND(F$9&gt;=8/24,F$9&lt;14/24)</formula>
    </cfRule>
    <cfRule type="expression" dxfId="2847" priority="262">
      <formula>F$9&lt;8/24</formula>
    </cfRule>
  </conditionalFormatting>
  <conditionalFormatting sqref="F43:L45 S43:AF45">
    <cfRule type="expression" dxfId="2846" priority="258">
      <formula>F43&gt;$AG43</formula>
    </cfRule>
  </conditionalFormatting>
  <conditionalFormatting sqref="C86:AF86 E62:P63 G66:G67 E64:G65 I14:R14 M11:R13 G71:L71 H64:L67 K29:L29 C73:AF76 M64:P71 M36:X37 S11:Z14 C57:AF59 AA12:AF14 M16:AF16 M28:AF30 M24:AF26 M32:AF32 M18:AF22 Q62:AF71 C90:AF96 Y36:AF36">
    <cfRule type="expression" dxfId="2845" priority="254">
      <formula>C$9&gt;=20/24</formula>
    </cfRule>
    <cfRule type="expression" dxfId="2844" priority="255">
      <formula>AND(C$9&gt;=14/24,C$9&lt;20/24)</formula>
    </cfRule>
    <cfRule type="expression" dxfId="2843" priority="256">
      <formula>AND(C$9&gt;=8/24,C$9&lt;14/24)</formula>
    </cfRule>
    <cfRule type="expression" dxfId="2842" priority="257">
      <formula>C$9&lt;8/24</formula>
    </cfRule>
  </conditionalFormatting>
  <conditionalFormatting sqref="M33:AF33">
    <cfRule type="expression" dxfId="2841" priority="250">
      <formula>M$9&gt;=20/24</formula>
    </cfRule>
    <cfRule type="expression" dxfId="2840" priority="251">
      <formula>AND(M$9&gt;=14/24,M$9&lt;20/24)</formula>
    </cfRule>
    <cfRule type="expression" dxfId="2839" priority="252">
      <formula>AND(M$9&gt;=8/24,M$9&lt;14/24)</formula>
    </cfRule>
    <cfRule type="expression" dxfId="2838" priority="253">
      <formula>M$9&lt;8/24</formula>
    </cfRule>
  </conditionalFormatting>
  <conditionalFormatting sqref="C55:AF55 E37:R37 F46:L46 M12:N13 I14:N15 K29:L29 M36:R36 S36:X37 M11:Z11 C57:AF59 M24:AF30 M32:AF33 M18:AF22 Y36:AF36">
    <cfRule type="expression" dxfId="2837" priority="249">
      <formula>C11&gt;$AG11</formula>
    </cfRule>
  </conditionalFormatting>
  <conditionalFormatting sqref="M35:AF35">
    <cfRule type="expression" dxfId="2836" priority="245">
      <formula>M$9&gt;=20/24</formula>
    </cfRule>
    <cfRule type="expression" dxfId="2835" priority="246">
      <formula>AND(M$9&gt;=14/24,M$9&lt;20/24)</formula>
    </cfRule>
    <cfRule type="expression" dxfId="2834" priority="247">
      <formula>AND(M$9&gt;=8/24,M$9&lt;14/24)</formula>
    </cfRule>
    <cfRule type="expression" dxfId="2833" priority="248">
      <formula>M$9&lt;8/24</formula>
    </cfRule>
  </conditionalFormatting>
  <conditionalFormatting sqref="I15:AF15">
    <cfRule type="expression" dxfId="2832" priority="241">
      <formula>I$9&gt;=20/24</formula>
    </cfRule>
    <cfRule type="expression" dxfId="2831" priority="242">
      <formula>AND(I$9&gt;=14/24,I$9&lt;20/24)</formula>
    </cfRule>
    <cfRule type="expression" dxfId="2830" priority="243">
      <formula>AND(I$9&gt;=8/24,I$9&lt;14/24)</formula>
    </cfRule>
    <cfRule type="expression" dxfId="2829" priority="244">
      <formula>I$9&lt;8/24</formula>
    </cfRule>
  </conditionalFormatting>
  <conditionalFormatting sqref="M34:AF34">
    <cfRule type="expression" dxfId="2828" priority="237">
      <formula>M$9&gt;=20/24</formula>
    </cfRule>
    <cfRule type="expression" dxfId="2827" priority="238">
      <formula>AND(M$9&gt;=14/24,M$9&lt;20/24)</formula>
    </cfRule>
    <cfRule type="expression" dxfId="2826" priority="239">
      <formula>AND(M$9&gt;=8/24,M$9&lt;14/24)</formula>
    </cfRule>
    <cfRule type="expression" dxfId="2825" priority="240">
      <formula>M$9&lt;8/24</formula>
    </cfRule>
  </conditionalFormatting>
  <conditionalFormatting sqref="M34:AF34">
    <cfRule type="expression" dxfId="2824" priority="236">
      <formula>M34&gt;$AG34</formula>
    </cfRule>
  </conditionalFormatting>
  <conditionalFormatting sqref="M43:R54 S46:AF54">
    <cfRule type="expression" dxfId="2823" priority="223">
      <formula>M$9&gt;=20/24</formula>
    </cfRule>
    <cfRule type="expression" dxfId="2822" priority="224">
      <formula>AND(M$9&gt;=14/24,M$9&lt;20/24)</formula>
    </cfRule>
    <cfRule type="expression" dxfId="2821" priority="225">
      <formula>AND(M$9&gt;=8/24,M$9&lt;14/24)</formula>
    </cfRule>
    <cfRule type="expression" dxfId="2820" priority="226">
      <formula>M$9&lt;8/24</formula>
    </cfRule>
  </conditionalFormatting>
  <conditionalFormatting sqref="M43:R54 S46:AF54">
    <cfRule type="expression" dxfId="2819" priority="222">
      <formula>M43&gt;$AG43</formula>
    </cfRule>
  </conditionalFormatting>
  <conditionalFormatting sqref="M27:AF27">
    <cfRule type="expression" dxfId="2818" priority="218">
      <formula>M$9&gt;=20/24</formula>
    </cfRule>
    <cfRule type="expression" dxfId="2817" priority="219">
      <formula>AND(M$9&gt;=14/24,M$9&lt;20/24)</formula>
    </cfRule>
    <cfRule type="expression" dxfId="2816" priority="220">
      <formula>AND(M$9&gt;=8/24,M$9&lt;14/24)</formula>
    </cfRule>
    <cfRule type="expression" dxfId="2815" priority="221">
      <formula>M$9&lt;8/24</formula>
    </cfRule>
  </conditionalFormatting>
  <conditionalFormatting sqref="J25:L25 M17:AF17 M23:AF23">
    <cfRule type="expression" dxfId="2814" priority="214">
      <formula>J$9&gt;=20/24</formula>
    </cfRule>
    <cfRule type="expression" dxfId="2813" priority="215">
      <formula>AND(J$9&gt;=14/24,J$9&lt;20/24)</formula>
    </cfRule>
    <cfRule type="expression" dxfId="2812" priority="216">
      <formula>AND(J$9&gt;=8/24,J$9&lt;14/24)</formula>
    </cfRule>
    <cfRule type="expression" dxfId="2811" priority="217">
      <formula>J$9&lt;8/24</formula>
    </cfRule>
  </conditionalFormatting>
  <conditionalFormatting sqref="J25:L25 M17:AF17 M23:AF23">
    <cfRule type="expression" dxfId="2810" priority="209">
      <formula>J17&gt;$AG17</formula>
    </cfRule>
  </conditionalFormatting>
  <conditionalFormatting sqref="G68:L70">
    <cfRule type="expression" dxfId="2809" priority="183">
      <formula>G$9&gt;=20/24</formula>
    </cfRule>
    <cfRule type="expression" dxfId="2808" priority="184">
      <formula>AND(G$9&gt;=14/24,G$9&lt;20/24)</formula>
    </cfRule>
    <cfRule type="expression" dxfId="2807" priority="185">
      <formula>AND(G$9&gt;=8/24,G$9&lt;14/24)</formula>
    </cfRule>
    <cfRule type="expression" dxfId="2806" priority="186">
      <formula>G$9&lt;8/24</formula>
    </cfRule>
  </conditionalFormatting>
  <conditionalFormatting sqref="B99:B105 B78:AF78 B87:AF87">
    <cfRule type="expression" dxfId="2805" priority="164">
      <formula>B$9&gt;=20/24</formula>
    </cfRule>
    <cfRule type="expression" dxfId="2804" priority="165">
      <formula>AND(B$9&gt;=14/24,B$9&lt;20/24)</formula>
    </cfRule>
    <cfRule type="expression" dxfId="2803" priority="166">
      <formula>AND(B$9&gt;=8/24,B$9&lt;14/24)</formula>
    </cfRule>
    <cfRule type="expression" dxfId="2802" priority="167">
      <formula>B$9&lt;8/24</formula>
    </cfRule>
  </conditionalFormatting>
  <conditionalFormatting sqref="C97:AF97">
    <cfRule type="expression" dxfId="2801" priority="87">
      <formula>C$9&gt;=20/24</formula>
    </cfRule>
    <cfRule type="expression" dxfId="2800" priority="88">
      <formula>AND(C$9&gt;=14/24,C$9&lt;20/24)</formula>
    </cfRule>
    <cfRule type="expression" dxfId="2799" priority="89">
      <formula>AND(C$9&gt;=8/24,C$9&lt;14/24)</formula>
    </cfRule>
    <cfRule type="expression" dxfId="2798" priority="90">
      <formula>C$9&lt;8/24</formula>
    </cfRule>
  </conditionalFormatting>
  <conditionalFormatting sqref="B89">
    <cfRule type="expression" dxfId="2797" priority="155">
      <formula>B$9&gt;=20/24</formula>
    </cfRule>
    <cfRule type="expression" dxfId="2796" priority="156">
      <formula>AND(B$9&gt;=14/24,B$9&lt;20/24)</formula>
    </cfRule>
    <cfRule type="expression" dxfId="2795" priority="157">
      <formula>AND(B$9&gt;=8/24,B$9&lt;14/24)</formula>
    </cfRule>
    <cfRule type="expression" dxfId="2794" priority="158">
      <formula>B$9&lt;8/24</formula>
    </cfRule>
  </conditionalFormatting>
  <conditionalFormatting sqref="B90:B96 B57:B60 B73:B77 B79:AF79 B86 C60:AG60 C77:AG77 B88:AF88">
    <cfRule type="expression" dxfId="2793" priority="142">
      <formula>B$9&gt;=20/24</formula>
    </cfRule>
    <cfRule type="expression" dxfId="2792" priority="143">
      <formula>AND(B$9&gt;=14/24,B$9&lt;20/24)</formula>
    </cfRule>
    <cfRule type="expression" dxfId="2791" priority="144">
      <formula>AND(B$9&gt;=8/24,B$9&lt;14/24)</formula>
    </cfRule>
    <cfRule type="expression" dxfId="2790" priority="145">
      <formula>B$9&lt;8/24</formula>
    </cfRule>
  </conditionalFormatting>
  <conditionalFormatting sqref="B12:H14 B24:I26 B28:J30 I12:L13 B16:L16 B18:L22 J24:L24 J26:L26 K28:L28 B36:L36 K30:L30 B32:L32">
    <cfRule type="expression" dxfId="2789" priority="65">
      <formula>B$9&gt;=20/24</formula>
    </cfRule>
    <cfRule type="expression" dxfId="2788" priority="66">
      <formula>AND(B$9&gt;=14/24,B$9&lt;20/24)</formula>
    </cfRule>
    <cfRule type="expression" dxfId="2787" priority="67">
      <formula>AND(B$9&gt;=8/24,B$9&lt;14/24)</formula>
    </cfRule>
    <cfRule type="expression" dxfId="2786" priority="68">
      <formula>B$9&lt;8/24</formula>
    </cfRule>
  </conditionalFormatting>
  <conditionalFormatting sqref="B56:B60 B38:AG38 C56:AG56 C60:AG60">
    <cfRule type="expression" dxfId="2785" priority="137">
      <formula>B38&gt;$AG38</formula>
    </cfRule>
  </conditionalFormatting>
  <conditionalFormatting sqref="B35:L35">
    <cfRule type="expression" dxfId="2784" priority="56">
      <formula>B$9&gt;=20/24</formula>
    </cfRule>
    <cfRule type="expression" dxfId="2783" priority="57">
      <formula>AND(B$9&gt;=14/24,B$9&lt;20/24)</formula>
    </cfRule>
    <cfRule type="expression" dxfId="2782" priority="58">
      <formula>AND(B$9&gt;=8/24,B$9&lt;14/24)</formula>
    </cfRule>
    <cfRule type="expression" dxfId="2781" priority="59">
      <formula>B$9&lt;8/24</formula>
    </cfRule>
  </conditionalFormatting>
  <conditionalFormatting sqref="B15:H15">
    <cfRule type="expression" dxfId="2780" priority="52">
      <formula>B$9&gt;=20/24</formula>
    </cfRule>
    <cfRule type="expression" dxfId="2779" priority="53">
      <formula>AND(B$9&gt;=14/24,B$9&lt;20/24)</formula>
    </cfRule>
    <cfRule type="expression" dxfId="2778" priority="54">
      <formula>AND(B$9&gt;=8/24,B$9&lt;14/24)</formula>
    </cfRule>
    <cfRule type="expression" dxfId="2777" priority="55">
      <formula>B$9&lt;8/24</formula>
    </cfRule>
  </conditionalFormatting>
  <conditionalFormatting sqref="M39:AF41">
    <cfRule type="expression" dxfId="2776" priority="97">
      <formula>M$9&gt;=20/24</formula>
    </cfRule>
    <cfRule type="expression" dxfId="2775" priority="98">
      <formula>AND(M$9&gt;=14/24,M$9&lt;20/24)</formula>
    </cfRule>
    <cfRule type="expression" dxfId="2774" priority="99">
      <formula>AND(M$9&gt;=8/24,M$9&lt;14/24)</formula>
    </cfRule>
    <cfRule type="expression" dxfId="2773" priority="100">
      <formula>M$9&lt;8/24</formula>
    </cfRule>
  </conditionalFormatting>
  <conditionalFormatting sqref="M39:AF41">
    <cfRule type="expression" dxfId="2772" priority="96">
      <formula>M39&gt;$AG39</formula>
    </cfRule>
  </conditionalFormatting>
  <conditionalFormatting sqref="A34">
    <cfRule type="expression" dxfId="2771" priority="109">
      <formula>$AH34=0</formula>
    </cfRule>
  </conditionalFormatting>
  <conditionalFormatting sqref="B72:AF72">
    <cfRule type="expression" dxfId="2770" priority="105">
      <formula>B$9&gt;=20/24</formula>
    </cfRule>
    <cfRule type="expression" dxfId="2769" priority="106">
      <formula>AND(B$9&gt;=14/24,B$9&lt;20/24)</formula>
    </cfRule>
    <cfRule type="expression" dxfId="2768" priority="107">
      <formula>AND(B$9&gt;=8/24,B$9&lt;14/24)</formula>
    </cfRule>
    <cfRule type="expression" dxfId="2767" priority="108">
      <formula>B$9&lt;8/24</formula>
    </cfRule>
  </conditionalFormatting>
  <conditionalFormatting sqref="B81:AF85">
    <cfRule type="expression" dxfId="2766" priority="101">
      <formula>B$9&gt;=20/24</formula>
    </cfRule>
    <cfRule type="expression" dxfId="2765" priority="102">
      <formula>AND(B$9&gt;=14/24,B$9&lt;20/24)</formula>
    </cfRule>
    <cfRule type="expression" dxfId="2764" priority="103">
      <formula>AND(B$9&gt;=8/24,B$9&lt;14/24)</formula>
    </cfRule>
    <cfRule type="expression" dxfId="2763" priority="104">
      <formula>B$9&lt;8/24</formula>
    </cfRule>
  </conditionalFormatting>
  <conditionalFormatting sqref="AL35 AL7:AL30 AL32">
    <cfRule type="iconSet" priority="320">
      <iconSet iconSet="3TrafficLights2" reverse="1">
        <cfvo type="percent" val="0"/>
        <cfvo type="num" val="1"/>
        <cfvo type="num" val="1"/>
      </iconSet>
    </cfRule>
  </conditionalFormatting>
  <conditionalFormatting sqref="B42:AG42">
    <cfRule type="expression" dxfId="2762" priority="92">
      <formula>B$9&gt;=20/24</formula>
    </cfRule>
    <cfRule type="expression" dxfId="2761" priority="93">
      <formula>AND(B$9&gt;=14/24,B$9&lt;20/24)</formula>
    </cfRule>
    <cfRule type="expression" dxfId="2760" priority="94">
      <formula>AND(B$9&gt;=8/24,B$9&lt;14/24)</formula>
    </cfRule>
    <cfRule type="expression" dxfId="2759" priority="95">
      <formula>B$9&lt;8/24</formula>
    </cfRule>
  </conditionalFormatting>
  <conditionalFormatting sqref="B42:AG42">
    <cfRule type="expression" dxfId="2758" priority="91">
      <formula>B42&gt;$AG42</formula>
    </cfRule>
  </conditionalFormatting>
  <conditionalFormatting sqref="B97">
    <cfRule type="expression" dxfId="2757" priority="83">
      <formula>B$9&gt;=20/24</formula>
    </cfRule>
    <cfRule type="expression" dxfId="2756" priority="84">
      <formula>AND(B$9&gt;=14/24,B$9&lt;20/24)</formula>
    </cfRule>
    <cfRule type="expression" dxfId="2755" priority="85">
      <formula>AND(B$9&gt;=8/24,B$9&lt;14/24)</formula>
    </cfRule>
    <cfRule type="expression" dxfId="2754" priority="86">
      <formula>B$9&lt;8/24</formula>
    </cfRule>
  </conditionalFormatting>
  <conditionalFormatting sqref="AL31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2753" priority="76">
      <formula>$AH31=0</formula>
    </cfRule>
  </conditionalFormatting>
  <conditionalFormatting sqref="A80">
    <cfRule type="expression" dxfId="2752" priority="74">
      <formula>$AH80=0</formula>
    </cfRule>
  </conditionalFormatting>
  <conditionalFormatting sqref="A77">
    <cfRule type="expression" dxfId="2751" priority="75">
      <formula>$AH77=0</formula>
    </cfRule>
  </conditionalFormatting>
  <conditionalFormatting sqref="B37:D37">
    <cfRule type="expression" dxfId="2750" priority="70">
      <formula>B$9&gt;=20/24</formula>
    </cfRule>
    <cfRule type="expression" dxfId="2749" priority="71">
      <formula>AND(B$9&gt;=14/24,B$9&lt;20/24)</formula>
    </cfRule>
    <cfRule type="expression" dxfId="2748" priority="72">
      <formula>AND(B$9&gt;=8/24,B$9&lt;14/24)</formula>
    </cfRule>
    <cfRule type="expression" dxfId="2747" priority="73">
      <formula>B$9&lt;8/24</formula>
    </cfRule>
  </conditionalFormatting>
  <conditionalFormatting sqref="B37:D37 B11:H16 I11:L13 I16:L16 B35:L35">
    <cfRule type="expression" dxfId="2746" priority="69">
      <formula>B11&gt;$AG11</formula>
    </cfRule>
  </conditionalFormatting>
  <conditionalFormatting sqref="B33:L33">
    <cfRule type="expression" dxfId="2745" priority="61">
      <formula>B$9&gt;=20/24</formula>
    </cfRule>
    <cfRule type="expression" dxfId="2744" priority="62">
      <formula>AND(B$9&gt;=14/24,B$9&lt;20/24)</formula>
    </cfRule>
    <cfRule type="expression" dxfId="2743" priority="63">
      <formula>AND(B$9&gt;=8/24,B$9&lt;14/24)</formula>
    </cfRule>
    <cfRule type="expression" dxfId="2742" priority="64">
      <formula>B$9&lt;8/24</formula>
    </cfRule>
  </conditionalFormatting>
  <conditionalFormatting sqref="B24:I30 J26:J30 B18:L22 J24:L24 K26:L28 B36:L36 K30:L30 B32:L33">
    <cfRule type="expression" dxfId="2741" priority="60">
      <formula>B18&gt;$AG18</formula>
    </cfRule>
  </conditionalFormatting>
  <conditionalFormatting sqref="B34:L34">
    <cfRule type="expression" dxfId="2740" priority="48">
      <formula>B$9&gt;=20/24</formula>
    </cfRule>
    <cfRule type="expression" dxfId="2739" priority="49">
      <formula>AND(B$9&gt;=14/24,B$9&lt;20/24)</formula>
    </cfRule>
    <cfRule type="expression" dxfId="2738" priority="50">
      <formula>AND(B$9&gt;=8/24,B$9&lt;14/24)</formula>
    </cfRule>
    <cfRule type="expression" dxfId="2737" priority="51">
      <formula>B$9&lt;8/24</formula>
    </cfRule>
  </conditionalFormatting>
  <conditionalFormatting sqref="B34:L34">
    <cfRule type="expression" dxfId="2736" priority="47">
      <formula>B34&gt;$AG34</formula>
    </cfRule>
  </conditionalFormatting>
  <conditionalFormatting sqref="B11:L11">
    <cfRule type="expression" dxfId="2735" priority="43">
      <formula>B$9&gt;=20/24</formula>
    </cfRule>
    <cfRule type="expression" dxfId="2734" priority="44">
      <formula>AND(B$9&gt;=14/24,B$9&lt;20/24)</formula>
    </cfRule>
    <cfRule type="expression" dxfId="2733" priority="45">
      <formula>AND(B$9&gt;=8/24,B$9&lt;14/24)</formula>
    </cfRule>
    <cfRule type="expression" dxfId="2732" priority="46">
      <formula>B$9&lt;8/24</formula>
    </cfRule>
  </conditionalFormatting>
  <conditionalFormatting sqref="B27:L27">
    <cfRule type="expression" dxfId="2731" priority="39">
      <formula>B$9&gt;=20/24</formula>
    </cfRule>
    <cfRule type="expression" dxfId="2730" priority="40">
      <formula>AND(B$9&gt;=14/24,B$9&lt;20/24)</formula>
    </cfRule>
    <cfRule type="expression" dxfId="2729" priority="41">
      <formula>AND(B$9&gt;=8/24,B$9&lt;14/24)</formula>
    </cfRule>
    <cfRule type="expression" dxfId="2728" priority="42">
      <formula>B$9&lt;8/24</formula>
    </cfRule>
  </conditionalFormatting>
  <conditionalFormatting sqref="B23:L23 B17:L17">
    <cfRule type="expression" dxfId="2727" priority="35">
      <formula>B$9&gt;=20/24</formula>
    </cfRule>
    <cfRule type="expression" dxfId="2726" priority="36">
      <formula>AND(B$9&gt;=14/24,B$9&lt;20/24)</formula>
    </cfRule>
    <cfRule type="expression" dxfId="2725" priority="37">
      <formula>AND(B$9&gt;=8/24,B$9&lt;14/24)</formula>
    </cfRule>
    <cfRule type="expression" dxfId="2724" priority="38">
      <formula>B$9&lt;8/24</formula>
    </cfRule>
  </conditionalFormatting>
  <conditionalFormatting sqref="B23:L23 B17:L17">
    <cfRule type="expression" dxfId="2723" priority="34">
      <formula>B17&gt;$AG17</formula>
    </cfRule>
  </conditionalFormatting>
  <conditionalFormatting sqref="B39:L41">
    <cfRule type="expression" dxfId="2722" priority="25">
      <formula>B$9&gt;=20/24</formula>
    </cfRule>
    <cfRule type="expression" dxfId="2721" priority="26">
      <formula>AND(B$9&gt;=14/24,B$9&lt;20/24)</formula>
    </cfRule>
    <cfRule type="expression" dxfId="2720" priority="27">
      <formula>AND(B$9&gt;=8/24,B$9&lt;14/24)</formula>
    </cfRule>
    <cfRule type="expression" dxfId="2719" priority="28">
      <formula>B$9&lt;8/24</formula>
    </cfRule>
  </conditionalFormatting>
  <conditionalFormatting sqref="B39:L41">
    <cfRule type="expression" dxfId="2718" priority="24">
      <formula>B39&gt;$AG39</formula>
    </cfRule>
  </conditionalFormatting>
  <conditionalFormatting sqref="B44:E45">
    <cfRule type="expression" dxfId="2717" priority="20">
      <formula>B$9&gt;=20/24</formula>
    </cfRule>
    <cfRule type="expression" dxfId="2716" priority="21">
      <formula>AND(B$9&gt;=14/24,B$9&lt;20/24)</formula>
    </cfRule>
    <cfRule type="expression" dxfId="2715" priority="22">
      <formula>AND(B$9&gt;=8/24,B$9&lt;14/24)</formula>
    </cfRule>
    <cfRule type="expression" dxfId="2714" priority="23">
      <formula>B$9&lt;8/24</formula>
    </cfRule>
  </conditionalFormatting>
  <conditionalFormatting sqref="B43:E43">
    <cfRule type="expression" dxfId="2713" priority="16">
      <formula>B$9&gt;=20/24</formula>
    </cfRule>
    <cfRule type="expression" dxfId="2712" priority="17">
      <formula>AND(B$9&gt;=14/24,B$9&lt;20/24)</formula>
    </cfRule>
    <cfRule type="expression" dxfId="2711" priority="18">
      <formula>AND(B$9&gt;=8/24,B$9&lt;14/24)</formula>
    </cfRule>
    <cfRule type="expression" dxfId="2710" priority="19">
      <formula>B$9&lt;8/24</formula>
    </cfRule>
  </conditionalFormatting>
  <conditionalFormatting sqref="B43:E45">
    <cfRule type="expression" dxfId="2709" priority="15">
      <formula>B43&gt;$AG43</formula>
    </cfRule>
  </conditionalFormatting>
  <conditionalFormatting sqref="B55">
    <cfRule type="expression" dxfId="2708" priority="14">
      <formula>B55&gt;$AG55</formula>
    </cfRule>
  </conditionalFormatting>
  <conditionalFormatting sqref="B46:E54 F47:L54">
    <cfRule type="expression" dxfId="2707" priority="10">
      <formula>B$9&gt;=20/24</formula>
    </cfRule>
    <cfRule type="expression" dxfId="2706" priority="11">
      <formula>AND(B$9&gt;=14/24,B$9&lt;20/24)</formula>
    </cfRule>
    <cfRule type="expression" dxfId="2705" priority="12">
      <formula>AND(B$9&gt;=8/24,B$9&lt;14/24)</formula>
    </cfRule>
    <cfRule type="expression" dxfId="2704" priority="13">
      <formula>B$9&lt;8/24</formula>
    </cfRule>
  </conditionalFormatting>
  <conditionalFormatting sqref="B46:E54 F47:L54">
    <cfRule type="expression" dxfId="2703" priority="9">
      <formula>B46&gt;$AG46</formula>
    </cfRule>
  </conditionalFormatting>
  <conditionalFormatting sqref="B62:D71 E66:F71">
    <cfRule type="expression" dxfId="2702" priority="1">
      <formula>B$9&gt;=20/24</formula>
    </cfRule>
    <cfRule type="expression" dxfId="2701" priority="2">
      <formula>AND(B$9&gt;=14/24,B$9&lt;20/24)</formula>
    </cfRule>
    <cfRule type="expression" dxfId="2700" priority="3">
      <formula>AND(B$9&gt;=8/24,B$9&lt;14/24)</formula>
    </cfRule>
    <cfRule type="expression" dxfId="2699" priority="4">
      <formula>B$9&lt;8/24</formula>
    </cfRule>
  </conditionalFormatting>
  <conditionalFormatting sqref="B61:D61">
    <cfRule type="expression" dxfId="2698" priority="5">
      <formula>B$9&gt;=20/24</formula>
    </cfRule>
    <cfRule type="expression" dxfId="2697" priority="6">
      <formula>AND(B$9&gt;=14/24,B$9&lt;20/24)</formula>
    </cfRule>
    <cfRule type="expression" dxfId="2696" priority="7">
      <formula>AND(B$9&gt;=8/24,B$9&lt;14/24)</formula>
    </cfRule>
    <cfRule type="expression" dxfId="2695" priority="8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8" id="{4718B144-775B-47B8-A8E6-4F25D8AA0072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9" id="{775D5EF6-CC36-4C66-B2A8-AA3A70D98F2B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0" id="{EF0DA7E8-4B65-4031-951D-507D94450936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1" id="{ECF19CCA-3753-43AD-914F-D617AD60C12B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77" id="{AD4FC91A-D83E-49FE-B29D-A3C4B2EE6DF9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2"/>
  <sheetViews>
    <sheetView zoomScale="90" zoomScaleNormal="90" workbookViewId="0">
      <pane xSplit="1" ySplit="10" topLeftCell="B77" activePane="bottomRight" state="frozen"/>
      <selection activeCell="AF88" sqref="AF88"/>
      <selection pane="topRight" activeCell="AF88" sqref="AF88"/>
      <selection pane="bottomLeft" activeCell="AF88" sqref="AF88"/>
      <selection pane="bottomRight" activeCell="B63" sqref="B63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2079/02/21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("&amp;ROUND(B237,0)&amp;" MW)"&amp;"    IPP   = "&amp;ROUND(B232,0)&amp;" MW     NEA RoR = "&amp;ROUND(B233,0)&amp;" MWImport   = "&amp;ROUND(B235,0)&amp;" MW      KL1+KL2+K3 = "&amp;ROUND(B234,0) &amp;" MW    EXPORT = "&amp;ROUND(B236,0)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39.299999999999997</v>
      </c>
      <c r="C5" s="32">
        <f t="shared" si="0"/>
        <v>38.200000000000003</v>
      </c>
      <c r="D5" s="32">
        <f t="shared" si="0"/>
        <v>38.299999999999997</v>
      </c>
      <c r="E5" s="32">
        <f t="shared" si="0"/>
        <v>36.200000000000003</v>
      </c>
      <c r="F5" s="32">
        <f t="shared" si="0"/>
        <v>38</v>
      </c>
      <c r="G5" s="32">
        <f t="shared" si="0"/>
        <v>27.1</v>
      </c>
      <c r="H5" s="32">
        <f t="shared" si="0"/>
        <v>19.399999999999999</v>
      </c>
      <c r="I5" s="32">
        <f t="shared" si="0"/>
        <v>4</v>
      </c>
      <c r="J5" s="32">
        <f t="shared" si="0"/>
        <v>4</v>
      </c>
      <c r="K5" s="32">
        <f t="shared" si="0"/>
        <v>4</v>
      </c>
      <c r="L5" s="32">
        <f t="shared" si="0"/>
        <v>4</v>
      </c>
      <c r="M5" s="32">
        <f t="shared" si="0"/>
        <v>47.2</v>
      </c>
      <c r="N5" s="32">
        <f t="shared" si="0"/>
        <v>4</v>
      </c>
      <c r="O5" s="32">
        <f t="shared" si="0"/>
        <v>19.2</v>
      </c>
      <c r="P5" s="32">
        <f t="shared" si="0"/>
        <v>36</v>
      </c>
      <c r="Q5" s="32">
        <f t="shared" si="0"/>
        <v>33.4</v>
      </c>
      <c r="R5" s="32">
        <f t="shared" si="0"/>
        <v>46</v>
      </c>
      <c r="S5" s="32">
        <f t="shared" si="0"/>
        <v>41</v>
      </c>
      <c r="T5" s="32">
        <f t="shared" si="0"/>
        <v>12</v>
      </c>
      <c r="U5" s="32">
        <f t="shared" si="0"/>
        <v>12</v>
      </c>
      <c r="V5" s="32">
        <f t="shared" si="0"/>
        <v>10</v>
      </c>
      <c r="W5" s="32">
        <f t="shared" si="0"/>
        <v>9</v>
      </c>
      <c r="X5" s="32">
        <f t="shared" si="0"/>
        <v>10</v>
      </c>
      <c r="Y5" s="32">
        <f t="shared" si="0"/>
        <v>16</v>
      </c>
      <c r="Z5" s="32">
        <f t="shared" si="0"/>
        <v>27.4</v>
      </c>
      <c r="AA5" s="32">
        <f t="shared" si="0"/>
        <v>39</v>
      </c>
      <c r="AB5" s="32">
        <f t="shared" si="0"/>
        <v>40.6</v>
      </c>
      <c r="AC5" s="32">
        <f t="shared" si="0"/>
        <v>41.8</v>
      </c>
      <c r="AD5" s="32">
        <f t="shared" si="0"/>
        <v>39.299999999999997</v>
      </c>
      <c r="AE5" s="32">
        <f t="shared" si="0"/>
        <v>4</v>
      </c>
      <c r="AF5" s="32">
        <f>B72</f>
        <v>52.2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"&amp;ROUND(B237,0)&amp;"MW at "&amp;TRUNC(B238*24,0)&amp;":"&amp;ROUND((B238*24-TRUNC(B238*24,0))*60,0)&amp;"hr at "&amp;ROUND(B239,1)&amp;"Hz     "&amp;A229&amp;" "&amp;ROUND(B229,0)&amp;"MW at "&amp;TRUNC(C229*24,0)&amp;":"&amp;ROUND((C229*24-TRUNC(C229*24,0))*6,0)&amp;"0hr"</f>
        <v>Evening Peak 0MW at 0:0hr at 0Hz     Morning Peak 1662MW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Load=1609</v>
      </c>
      <c r="B7" s="37">
        <f>B79</f>
        <v>1787.34</v>
      </c>
      <c r="C7" s="37">
        <f t="shared" ref="C7:AF7" si="1">C79</f>
        <v>1678.74</v>
      </c>
      <c r="D7" s="37">
        <f t="shared" si="1"/>
        <v>1696.8400000000001</v>
      </c>
      <c r="E7" s="37">
        <f t="shared" si="1"/>
        <v>1662.1399999999999</v>
      </c>
      <c r="F7" s="37">
        <f t="shared" si="1"/>
        <v>1636.1399999999999</v>
      </c>
      <c r="G7" s="37">
        <f t="shared" si="1"/>
        <v>1634.6399999999999</v>
      </c>
      <c r="H7" s="37">
        <f t="shared" si="1"/>
        <v>1619.1399999999996</v>
      </c>
      <c r="I7" s="37">
        <f t="shared" si="1"/>
        <v>1631.54</v>
      </c>
      <c r="J7" s="37">
        <f t="shared" si="1"/>
        <v>1609.0399999999997</v>
      </c>
      <c r="K7" s="37">
        <f t="shared" si="1"/>
        <v>1655.14</v>
      </c>
      <c r="L7" s="37">
        <f t="shared" si="1"/>
        <v>1654.74</v>
      </c>
      <c r="M7" s="37">
        <f t="shared" si="1"/>
        <v>1661.54</v>
      </c>
      <c r="N7" s="37">
        <f t="shared" si="1"/>
        <v>1617.64</v>
      </c>
      <c r="O7" s="37">
        <f t="shared" si="1"/>
        <v>1673.44</v>
      </c>
      <c r="P7" s="37">
        <f t="shared" si="1"/>
        <v>1704.3400000000001</v>
      </c>
      <c r="Q7" s="37">
        <f t="shared" si="1"/>
        <v>1759.5400000000002</v>
      </c>
      <c r="R7" s="37">
        <f t="shared" si="1"/>
        <v>1703.24</v>
      </c>
      <c r="S7" s="37">
        <f t="shared" si="1"/>
        <v>1696.34</v>
      </c>
      <c r="T7" s="37">
        <f t="shared" si="1"/>
        <v>1716.34</v>
      </c>
      <c r="U7" s="37">
        <f t="shared" si="1"/>
        <v>1687.34</v>
      </c>
      <c r="V7" s="37">
        <f t="shared" si="1"/>
        <v>1710.6399999999999</v>
      </c>
      <c r="W7" s="37">
        <f t="shared" si="1"/>
        <v>1739.84</v>
      </c>
      <c r="X7" s="37">
        <f t="shared" si="1"/>
        <v>1659.6399999999999</v>
      </c>
      <c r="Y7" s="37">
        <f t="shared" si="1"/>
        <v>1765.04</v>
      </c>
      <c r="Z7" s="37">
        <f t="shared" si="1"/>
        <v>1771.04</v>
      </c>
      <c r="AA7" s="37">
        <f t="shared" si="1"/>
        <v>1880.5400000000002</v>
      </c>
      <c r="AB7" s="37">
        <f t="shared" si="1"/>
        <v>1891.74</v>
      </c>
      <c r="AC7" s="37">
        <f t="shared" si="1"/>
        <v>1892.54</v>
      </c>
      <c r="AD7" s="37">
        <f t="shared" si="1"/>
        <v>1876.64</v>
      </c>
      <c r="AE7" s="37">
        <f t="shared" si="1"/>
        <v>1814.9399999999998</v>
      </c>
      <c r="AF7" s="37">
        <f t="shared" si="1"/>
        <v>1743.34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179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0">
        <v>53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26</v>
      </c>
      <c r="R11" s="50">
        <v>54.1</v>
      </c>
      <c r="S11" s="50">
        <v>54.1</v>
      </c>
      <c r="T11" s="50">
        <v>54.1</v>
      </c>
      <c r="U11" s="50">
        <v>54.1</v>
      </c>
      <c r="V11" s="50">
        <v>54.1</v>
      </c>
      <c r="W11" s="50">
        <v>54.1</v>
      </c>
      <c r="X11" s="50">
        <v>54.1</v>
      </c>
      <c r="Y11" s="50">
        <v>54.1</v>
      </c>
      <c r="Z11" s="50">
        <v>54.1</v>
      </c>
      <c r="AA11" s="52">
        <v>53</v>
      </c>
      <c r="AB11" s="52">
        <v>54.2</v>
      </c>
      <c r="AC11" s="52">
        <v>54.1</v>
      </c>
      <c r="AD11" s="52">
        <v>54.1</v>
      </c>
      <c r="AE11" s="52">
        <v>54.1</v>
      </c>
      <c r="AF11" s="52">
        <v>54</v>
      </c>
      <c r="AG11" s="133">
        <v>52.4</v>
      </c>
      <c r="AH11" s="54">
        <f>MAX(B11:AF11)</f>
        <v>54.2</v>
      </c>
      <c r="AI11" s="55">
        <f>MIN(B11:AF11)</f>
        <v>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50.2</v>
      </c>
      <c r="C12" s="50">
        <v>50.2</v>
      </c>
      <c r="D12" s="50">
        <v>50.2</v>
      </c>
      <c r="E12" s="50">
        <v>50.3</v>
      </c>
      <c r="F12" s="50">
        <v>50.3</v>
      </c>
      <c r="G12" s="50">
        <v>50.3</v>
      </c>
      <c r="H12" s="50">
        <v>50.3</v>
      </c>
      <c r="I12" s="50">
        <v>50.3</v>
      </c>
      <c r="J12" s="50">
        <v>50.3</v>
      </c>
      <c r="K12" s="50">
        <v>50.3</v>
      </c>
      <c r="L12" s="50">
        <v>50.3</v>
      </c>
      <c r="M12" s="50">
        <v>0</v>
      </c>
      <c r="N12" s="50">
        <v>0</v>
      </c>
      <c r="O12" s="50">
        <v>0</v>
      </c>
      <c r="P12" s="50">
        <v>0</v>
      </c>
      <c r="Q12" s="50">
        <v>50.5</v>
      </c>
      <c r="R12" s="50">
        <v>50.2</v>
      </c>
      <c r="S12" s="50">
        <v>50.2</v>
      </c>
      <c r="T12" s="50">
        <v>50.2</v>
      </c>
      <c r="U12" s="50">
        <v>50.2</v>
      </c>
      <c r="V12" s="50">
        <v>50.2</v>
      </c>
      <c r="W12" s="50">
        <v>50.2</v>
      </c>
      <c r="X12" s="50">
        <v>50.2</v>
      </c>
      <c r="Y12" s="50">
        <v>50.2</v>
      </c>
      <c r="Z12" s="50">
        <v>50.2</v>
      </c>
      <c r="AA12" s="50">
        <v>50.4</v>
      </c>
      <c r="AB12" s="50">
        <v>50.3</v>
      </c>
      <c r="AC12" s="50">
        <v>50.3</v>
      </c>
      <c r="AD12" s="50">
        <v>50.7</v>
      </c>
      <c r="AE12" s="50">
        <v>50.4</v>
      </c>
      <c r="AF12" s="50">
        <v>50.6</v>
      </c>
      <c r="AG12" s="134">
        <v>50</v>
      </c>
      <c r="AH12" s="54">
        <f t="shared" ref="AH12:AH79" si="2">MAX(B12:AF12)</f>
        <v>50.7</v>
      </c>
      <c r="AI12" s="55">
        <f t="shared" ref="AI12:AI79" si="3">MIN(B12:AF12)</f>
        <v>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45.8</v>
      </c>
      <c r="C13" s="50">
        <v>45.8</v>
      </c>
      <c r="D13" s="50">
        <v>45.8</v>
      </c>
      <c r="E13" s="50">
        <v>45.9</v>
      </c>
      <c r="F13" s="50">
        <v>45.9</v>
      </c>
      <c r="G13" s="50">
        <v>45.9</v>
      </c>
      <c r="H13" s="50">
        <v>45.9</v>
      </c>
      <c r="I13" s="50">
        <v>45.9</v>
      </c>
      <c r="J13" s="50">
        <v>45.9</v>
      </c>
      <c r="K13" s="50">
        <v>45.9</v>
      </c>
      <c r="L13" s="50">
        <v>45.9</v>
      </c>
      <c r="M13" s="50">
        <v>45.8</v>
      </c>
      <c r="N13" s="50">
        <v>45.8</v>
      </c>
      <c r="O13" s="50">
        <v>45.8</v>
      </c>
      <c r="P13" s="50">
        <v>45.8</v>
      </c>
      <c r="Q13" s="50">
        <v>45.6</v>
      </c>
      <c r="R13" s="50">
        <v>45.7</v>
      </c>
      <c r="S13" s="50">
        <v>45.7</v>
      </c>
      <c r="T13" s="50">
        <v>45.7</v>
      </c>
      <c r="U13" s="50">
        <v>45.7</v>
      </c>
      <c r="V13" s="50">
        <v>45.7</v>
      </c>
      <c r="W13" s="50">
        <v>45.7</v>
      </c>
      <c r="X13" s="50">
        <v>45.7</v>
      </c>
      <c r="Y13" s="50">
        <v>45.7</v>
      </c>
      <c r="Z13" s="50">
        <v>45.7</v>
      </c>
      <c r="AA13" s="50">
        <v>45.8</v>
      </c>
      <c r="AB13" s="50">
        <v>45.8</v>
      </c>
      <c r="AC13" s="50">
        <v>45.7</v>
      </c>
      <c r="AD13" s="50">
        <v>45.7</v>
      </c>
      <c r="AE13" s="50">
        <v>45.8</v>
      </c>
      <c r="AF13" s="50">
        <v>45.8</v>
      </c>
      <c r="AG13" s="134">
        <v>45</v>
      </c>
      <c r="AH13" s="54">
        <f t="shared" si="2"/>
        <v>45.9</v>
      </c>
      <c r="AI13" s="55">
        <f t="shared" si="3"/>
        <v>45.6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28</v>
      </c>
      <c r="C14" s="50">
        <v>28</v>
      </c>
      <c r="D14" s="50">
        <v>38</v>
      </c>
      <c r="E14" s="50">
        <v>20</v>
      </c>
      <c r="F14" s="50">
        <v>0</v>
      </c>
      <c r="G14" s="50">
        <v>0</v>
      </c>
      <c r="H14" s="50">
        <v>0</v>
      </c>
      <c r="I14" s="50">
        <v>30</v>
      </c>
      <c r="J14" s="50">
        <v>35</v>
      </c>
      <c r="K14" s="50">
        <v>35</v>
      </c>
      <c r="L14" s="50">
        <v>35</v>
      </c>
      <c r="M14" s="50">
        <v>35</v>
      </c>
      <c r="N14" s="50">
        <v>35</v>
      </c>
      <c r="O14" s="50">
        <v>35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27</v>
      </c>
      <c r="X14" s="50">
        <v>27</v>
      </c>
      <c r="Y14" s="50">
        <v>36</v>
      </c>
      <c r="Z14" s="50">
        <v>36</v>
      </c>
      <c r="AA14" s="50">
        <v>28</v>
      </c>
      <c r="AB14" s="50">
        <v>36</v>
      </c>
      <c r="AC14" s="50">
        <v>36</v>
      </c>
      <c r="AD14" s="50">
        <v>36</v>
      </c>
      <c r="AE14" s="50">
        <v>36</v>
      </c>
      <c r="AF14" s="50">
        <v>36</v>
      </c>
      <c r="AG14" s="134">
        <v>42</v>
      </c>
      <c r="AH14" s="54">
        <f t="shared" si="2"/>
        <v>38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30</v>
      </c>
      <c r="C15" s="50">
        <v>30</v>
      </c>
      <c r="D15" s="50">
        <v>30</v>
      </c>
      <c r="E15" s="50">
        <v>29.6</v>
      </c>
      <c r="F15" s="50">
        <v>29.3</v>
      </c>
      <c r="G15" s="50">
        <v>29.3</v>
      </c>
      <c r="H15" s="50">
        <v>29.3</v>
      </c>
      <c r="I15" s="50">
        <v>29.3</v>
      </c>
      <c r="J15" s="50">
        <v>29.3</v>
      </c>
      <c r="K15" s="50">
        <v>29.3</v>
      </c>
      <c r="L15" s="50">
        <v>29.3</v>
      </c>
      <c r="M15" s="50">
        <v>30</v>
      </c>
      <c r="N15" s="50">
        <v>30</v>
      </c>
      <c r="O15" s="50">
        <v>30</v>
      </c>
      <c r="P15" s="50">
        <v>30</v>
      </c>
      <c r="Q15" s="50">
        <v>30</v>
      </c>
      <c r="R15" s="50">
        <v>30</v>
      </c>
      <c r="S15" s="50">
        <v>30</v>
      </c>
      <c r="T15" s="50">
        <v>30</v>
      </c>
      <c r="U15" s="50">
        <v>30</v>
      </c>
      <c r="V15" s="50">
        <v>30</v>
      </c>
      <c r="W15" s="50">
        <v>15</v>
      </c>
      <c r="X15" s="50">
        <v>20</v>
      </c>
      <c r="Y15" s="50">
        <v>30</v>
      </c>
      <c r="Z15" s="50">
        <v>30</v>
      </c>
      <c r="AA15" s="50">
        <v>30</v>
      </c>
      <c r="AB15" s="50">
        <v>30</v>
      </c>
      <c r="AC15" s="50">
        <v>30</v>
      </c>
      <c r="AD15" s="50">
        <v>30</v>
      </c>
      <c r="AE15" s="50">
        <v>30</v>
      </c>
      <c r="AF15" s="50">
        <v>30</v>
      </c>
      <c r="AG15" s="135">
        <v>30</v>
      </c>
      <c r="AH15" s="54">
        <f t="shared" si="2"/>
        <v>30</v>
      </c>
      <c r="AI15" s="55">
        <f t="shared" si="3"/>
        <v>15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26.1</v>
      </c>
      <c r="C16" s="50">
        <v>26.1</v>
      </c>
      <c r="D16" s="50">
        <v>26.1</v>
      </c>
      <c r="E16" s="50">
        <v>26.3</v>
      </c>
      <c r="F16" s="50">
        <v>26.4</v>
      </c>
      <c r="G16" s="50">
        <v>26.4</v>
      </c>
      <c r="H16" s="50">
        <v>26.4</v>
      </c>
      <c r="I16" s="50">
        <v>26.4</v>
      </c>
      <c r="J16" s="50">
        <v>26.4</v>
      </c>
      <c r="K16" s="50">
        <v>26.4</v>
      </c>
      <c r="L16" s="50">
        <v>26.4</v>
      </c>
      <c r="M16" s="50">
        <v>26.2</v>
      </c>
      <c r="N16" s="50">
        <v>23.1</v>
      </c>
      <c r="O16" s="50">
        <v>23.1</v>
      </c>
      <c r="P16" s="50">
        <v>26.5</v>
      </c>
      <c r="Q16" s="50">
        <v>26.3</v>
      </c>
      <c r="R16" s="50">
        <v>26.3</v>
      </c>
      <c r="S16" s="50">
        <v>26.3</v>
      </c>
      <c r="T16" s="50">
        <v>26.3</v>
      </c>
      <c r="U16" s="50">
        <v>26.3</v>
      </c>
      <c r="V16" s="50">
        <v>26.3</v>
      </c>
      <c r="W16" s="50">
        <v>25</v>
      </c>
      <c r="X16" s="50">
        <v>25</v>
      </c>
      <c r="Y16" s="50">
        <v>25</v>
      </c>
      <c r="Z16" s="50">
        <v>25</v>
      </c>
      <c r="AA16" s="50">
        <v>26.1</v>
      </c>
      <c r="AB16" s="50">
        <v>26.1</v>
      </c>
      <c r="AC16" s="50">
        <v>26.1</v>
      </c>
      <c r="AD16" s="50">
        <v>26.2</v>
      </c>
      <c r="AE16" s="50">
        <v>26.2</v>
      </c>
      <c r="AF16" s="50">
        <v>26.2</v>
      </c>
      <c r="AG16" s="134">
        <v>25</v>
      </c>
      <c r="AH16" s="54">
        <f t="shared" si="2"/>
        <v>26.5</v>
      </c>
      <c r="AI16" s="55">
        <f t="shared" si="3"/>
        <v>23.1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12</v>
      </c>
      <c r="D17" s="50">
        <v>12</v>
      </c>
      <c r="E17" s="50">
        <v>12</v>
      </c>
      <c r="F17" s="50">
        <v>12</v>
      </c>
      <c r="G17" s="50">
        <v>12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25</v>
      </c>
      <c r="D18" s="50">
        <v>25</v>
      </c>
      <c r="E18" s="50">
        <v>25</v>
      </c>
      <c r="F18" s="50">
        <v>25</v>
      </c>
      <c r="G18" s="50">
        <v>25</v>
      </c>
      <c r="H18" s="50">
        <v>25</v>
      </c>
      <c r="I18" s="50">
        <v>25</v>
      </c>
      <c r="J18" s="50">
        <v>25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12.5</v>
      </c>
      <c r="T18" s="50">
        <v>12.5</v>
      </c>
      <c r="U18" s="50">
        <v>12.5</v>
      </c>
      <c r="V18" s="50">
        <v>12.5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12.5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33.200000000000003</v>
      </c>
      <c r="C19" s="50">
        <v>33.200000000000003</v>
      </c>
      <c r="D19" s="50">
        <v>33.200000000000003</v>
      </c>
      <c r="E19" s="50">
        <v>30.4</v>
      </c>
      <c r="F19" s="50">
        <v>30.4</v>
      </c>
      <c r="G19" s="50">
        <v>30.4</v>
      </c>
      <c r="H19" s="50">
        <v>30.4</v>
      </c>
      <c r="I19" s="50">
        <v>30.4</v>
      </c>
      <c r="J19" s="50">
        <v>30.4</v>
      </c>
      <c r="K19" s="50">
        <v>30.4</v>
      </c>
      <c r="L19" s="50">
        <v>30.4</v>
      </c>
      <c r="M19" s="50">
        <v>33.1</v>
      </c>
      <c r="N19" s="50">
        <v>33.1</v>
      </c>
      <c r="O19" s="50">
        <v>33.1</v>
      </c>
      <c r="P19" s="50">
        <v>33.1</v>
      </c>
      <c r="Q19" s="50">
        <v>33</v>
      </c>
      <c r="R19" s="50">
        <v>33.200000000000003</v>
      </c>
      <c r="S19" s="50">
        <v>33.200000000000003</v>
      </c>
      <c r="T19" s="50">
        <v>33.200000000000003</v>
      </c>
      <c r="U19" s="50">
        <v>33.200000000000003</v>
      </c>
      <c r="V19" s="50">
        <v>33.200000000000003</v>
      </c>
      <c r="W19" s="50">
        <v>33.200000000000003</v>
      </c>
      <c r="X19" s="50">
        <v>25</v>
      </c>
      <c r="Y19" s="50">
        <v>33.200000000000003</v>
      </c>
      <c r="Z19" s="50">
        <v>33.200000000000003</v>
      </c>
      <c r="AA19" s="50">
        <v>33.200000000000003</v>
      </c>
      <c r="AB19" s="50">
        <v>33.1</v>
      </c>
      <c r="AC19" s="50">
        <v>33.1</v>
      </c>
      <c r="AD19" s="50">
        <v>33.1</v>
      </c>
      <c r="AE19" s="50">
        <v>33.1</v>
      </c>
      <c r="AF19" s="50">
        <v>33.1</v>
      </c>
      <c r="AG19" s="134">
        <v>24.2</v>
      </c>
      <c r="AH19" s="54">
        <f t="shared" si="2"/>
        <v>33.200000000000003</v>
      </c>
      <c r="AI19" s="55">
        <f t="shared" si="3"/>
        <v>25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23.7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23.3</v>
      </c>
      <c r="L20" s="50">
        <v>23.3</v>
      </c>
      <c r="M20" s="50">
        <v>23.8</v>
      </c>
      <c r="N20" s="50">
        <v>21.9</v>
      </c>
      <c r="O20" s="50">
        <v>22</v>
      </c>
      <c r="P20" s="50">
        <v>22</v>
      </c>
      <c r="Q20" s="50">
        <v>22</v>
      </c>
      <c r="R20" s="50">
        <v>22</v>
      </c>
      <c r="S20" s="50">
        <v>22</v>
      </c>
      <c r="T20" s="50">
        <v>22</v>
      </c>
      <c r="U20" s="50">
        <v>22</v>
      </c>
      <c r="V20" s="50">
        <v>22</v>
      </c>
      <c r="W20" s="50">
        <v>22</v>
      </c>
      <c r="X20" s="50">
        <v>22</v>
      </c>
      <c r="Y20" s="50">
        <v>22</v>
      </c>
      <c r="Z20" s="50">
        <v>22</v>
      </c>
      <c r="AA20" s="50">
        <v>23.7</v>
      </c>
      <c r="AB20" s="50">
        <v>20.3</v>
      </c>
      <c r="AC20" s="50">
        <v>20.3</v>
      </c>
      <c r="AD20" s="50">
        <v>20.3</v>
      </c>
      <c r="AE20" s="50">
        <v>20.3</v>
      </c>
      <c r="AF20" s="50">
        <v>20.3</v>
      </c>
      <c r="AG20" s="134">
        <v>23.5</v>
      </c>
      <c r="AH20" s="54">
        <f t="shared" si="2"/>
        <v>23.8</v>
      </c>
      <c r="AI20" s="55">
        <f t="shared" si="3"/>
        <v>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16</v>
      </c>
      <c r="C21" s="50">
        <v>16</v>
      </c>
      <c r="D21" s="50">
        <v>16</v>
      </c>
      <c r="E21" s="50">
        <v>16</v>
      </c>
      <c r="F21" s="50">
        <v>16</v>
      </c>
      <c r="G21" s="50">
        <v>16</v>
      </c>
      <c r="H21" s="50">
        <v>16</v>
      </c>
      <c r="I21" s="50">
        <v>16</v>
      </c>
      <c r="J21" s="50">
        <v>16</v>
      </c>
      <c r="K21" s="50">
        <v>16</v>
      </c>
      <c r="L21" s="50">
        <v>16</v>
      </c>
      <c r="M21" s="50">
        <v>0</v>
      </c>
      <c r="N21" s="50">
        <v>20</v>
      </c>
      <c r="O21" s="50">
        <v>20</v>
      </c>
      <c r="P21" s="50">
        <v>20</v>
      </c>
      <c r="Q21" s="50">
        <v>20</v>
      </c>
      <c r="R21" s="50">
        <v>20</v>
      </c>
      <c r="S21" s="50">
        <v>20</v>
      </c>
      <c r="T21" s="50">
        <v>20</v>
      </c>
      <c r="U21" s="50">
        <v>20</v>
      </c>
      <c r="V21" s="50">
        <v>20</v>
      </c>
      <c r="W21" s="50">
        <v>20</v>
      </c>
      <c r="X21" s="50">
        <v>20</v>
      </c>
      <c r="Y21" s="50">
        <v>20</v>
      </c>
      <c r="Z21" s="50">
        <v>20</v>
      </c>
      <c r="AA21" s="50">
        <v>16</v>
      </c>
      <c r="AB21" s="50">
        <v>16</v>
      </c>
      <c r="AC21" s="50">
        <v>16</v>
      </c>
      <c r="AD21" s="50">
        <v>16</v>
      </c>
      <c r="AE21" s="50">
        <v>16</v>
      </c>
      <c r="AF21" s="50">
        <v>16</v>
      </c>
      <c r="AG21" s="134">
        <v>22.2</v>
      </c>
      <c r="AH21" s="54">
        <f t="shared" si="2"/>
        <v>20</v>
      </c>
      <c r="AI21" s="55">
        <f t="shared" si="3"/>
        <v>0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15</v>
      </c>
      <c r="J22" s="50">
        <v>15</v>
      </c>
      <c r="K22" s="50">
        <v>15</v>
      </c>
      <c r="L22" s="50">
        <v>15</v>
      </c>
      <c r="M22" s="50">
        <v>15</v>
      </c>
      <c r="N22" s="50">
        <v>15</v>
      </c>
      <c r="O22" s="50">
        <v>15</v>
      </c>
      <c r="P22" s="50">
        <v>15</v>
      </c>
      <c r="Q22" s="50">
        <v>15</v>
      </c>
      <c r="R22" s="50">
        <v>15</v>
      </c>
      <c r="S22" s="50">
        <v>15</v>
      </c>
      <c r="T22" s="50">
        <v>15</v>
      </c>
      <c r="U22" s="50">
        <v>15</v>
      </c>
      <c r="V22" s="50">
        <v>15</v>
      </c>
      <c r="W22" s="50">
        <v>15</v>
      </c>
      <c r="X22" s="50">
        <v>15</v>
      </c>
      <c r="Y22" s="50">
        <v>15</v>
      </c>
      <c r="Z22" s="50">
        <v>15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134">
        <v>22.1</v>
      </c>
      <c r="AH22" s="54">
        <f t="shared" si="2"/>
        <v>22</v>
      </c>
      <c r="AI22" s="55">
        <f t="shared" si="3"/>
        <v>15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22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22</v>
      </c>
      <c r="AI24" s="55">
        <f t="shared" si="3"/>
        <v>22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20</v>
      </c>
      <c r="C25" s="50">
        <v>20</v>
      </c>
      <c r="D25" s="50">
        <v>20</v>
      </c>
      <c r="E25" s="50">
        <v>15</v>
      </c>
      <c r="F25" s="50">
        <v>20</v>
      </c>
      <c r="G25" s="50">
        <v>20</v>
      </c>
      <c r="H25" s="50">
        <v>20</v>
      </c>
      <c r="I25" s="50">
        <v>20</v>
      </c>
      <c r="J25" s="50">
        <v>20</v>
      </c>
      <c r="K25" s="50">
        <v>20</v>
      </c>
      <c r="L25" s="50">
        <v>20</v>
      </c>
      <c r="M25" s="50">
        <v>20</v>
      </c>
      <c r="N25" s="50">
        <v>20</v>
      </c>
      <c r="O25" s="50">
        <v>15</v>
      </c>
      <c r="P25" s="50">
        <v>10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10</v>
      </c>
      <c r="W25" s="50">
        <v>10</v>
      </c>
      <c r="X25" s="50">
        <v>10</v>
      </c>
      <c r="Y25" s="50">
        <v>10</v>
      </c>
      <c r="Z25" s="50">
        <v>10</v>
      </c>
      <c r="AA25" s="50">
        <v>10</v>
      </c>
      <c r="AB25" s="50">
        <v>10</v>
      </c>
      <c r="AC25" s="50">
        <v>10</v>
      </c>
      <c r="AD25" s="50">
        <v>10</v>
      </c>
      <c r="AE25" s="50">
        <v>10</v>
      </c>
      <c r="AF25" s="50">
        <v>10</v>
      </c>
      <c r="AG25" s="134">
        <v>20</v>
      </c>
      <c r="AH25" s="54">
        <f t="shared" si="2"/>
        <v>20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7.8</v>
      </c>
      <c r="C26" s="50">
        <v>7.8</v>
      </c>
      <c r="D26" s="50">
        <v>7.8</v>
      </c>
      <c r="E26" s="50">
        <v>7.8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7.8</v>
      </c>
      <c r="W26" s="50">
        <v>7.8</v>
      </c>
      <c r="X26" s="50">
        <v>7.8</v>
      </c>
      <c r="Y26" s="50">
        <v>7.8</v>
      </c>
      <c r="Z26" s="50">
        <v>7.8</v>
      </c>
      <c r="AA26" s="50">
        <v>7.8</v>
      </c>
      <c r="AB26" s="50">
        <v>7.8</v>
      </c>
      <c r="AC26" s="50">
        <v>7.8</v>
      </c>
      <c r="AD26" s="50">
        <v>7.8</v>
      </c>
      <c r="AE26" s="50">
        <v>7.8</v>
      </c>
      <c r="AF26" s="50">
        <v>7.8</v>
      </c>
      <c r="AG26" s="134">
        <v>14.9</v>
      </c>
      <c r="AH26" s="54">
        <f t="shared" si="2"/>
        <v>7.8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0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11</v>
      </c>
      <c r="N27" s="50">
        <v>11</v>
      </c>
      <c r="O27" s="50">
        <v>11</v>
      </c>
      <c r="P27" s="50">
        <v>11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134">
        <v>13.6</v>
      </c>
      <c r="AH27" s="54">
        <f t="shared" si="2"/>
        <v>11</v>
      </c>
      <c r="AI27" s="55">
        <f t="shared" si="3"/>
        <v>0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13</v>
      </c>
      <c r="C28" s="50">
        <v>13</v>
      </c>
      <c r="D28" s="50">
        <v>13</v>
      </c>
      <c r="E28" s="50">
        <v>13</v>
      </c>
      <c r="F28" s="50">
        <v>13</v>
      </c>
      <c r="G28" s="50">
        <v>13</v>
      </c>
      <c r="H28" s="50">
        <v>13</v>
      </c>
      <c r="I28" s="50">
        <v>13</v>
      </c>
      <c r="J28" s="50">
        <v>13</v>
      </c>
      <c r="K28" s="50">
        <v>13</v>
      </c>
      <c r="L28" s="50">
        <v>13</v>
      </c>
      <c r="M28" s="50">
        <v>13</v>
      </c>
      <c r="N28" s="50">
        <v>13</v>
      </c>
      <c r="O28" s="50">
        <v>13</v>
      </c>
      <c r="P28" s="50">
        <v>13</v>
      </c>
      <c r="Q28" s="50">
        <v>13</v>
      </c>
      <c r="R28" s="50">
        <v>13</v>
      </c>
      <c r="S28" s="50">
        <v>13</v>
      </c>
      <c r="T28" s="50">
        <v>13</v>
      </c>
      <c r="U28" s="50">
        <v>13</v>
      </c>
      <c r="V28" s="50">
        <v>13</v>
      </c>
      <c r="W28" s="50">
        <v>13</v>
      </c>
      <c r="X28" s="50">
        <v>13</v>
      </c>
      <c r="Y28" s="50">
        <v>13</v>
      </c>
      <c r="Z28" s="50">
        <v>13</v>
      </c>
      <c r="AA28" s="50">
        <v>12</v>
      </c>
      <c r="AB28" s="50">
        <v>12</v>
      </c>
      <c r="AC28" s="50">
        <v>12</v>
      </c>
      <c r="AD28" s="50">
        <v>12</v>
      </c>
      <c r="AE28" s="50">
        <v>12</v>
      </c>
      <c r="AF28" s="50">
        <v>12</v>
      </c>
      <c r="AG28" s="134">
        <v>13</v>
      </c>
      <c r="AH28" s="54">
        <f t="shared" si="2"/>
        <v>13</v>
      </c>
      <c r="AI28" s="55">
        <f t="shared" si="3"/>
        <v>12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4</v>
      </c>
      <c r="C29" s="50">
        <v>4</v>
      </c>
      <c r="D29" s="50">
        <v>4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12</v>
      </c>
      <c r="X29" s="50">
        <v>12</v>
      </c>
      <c r="Y29" s="50">
        <v>12</v>
      </c>
      <c r="Z29" s="50">
        <v>12</v>
      </c>
      <c r="AA29" s="50">
        <v>4</v>
      </c>
      <c r="AB29" s="50">
        <v>4</v>
      </c>
      <c r="AC29" s="50">
        <v>4</v>
      </c>
      <c r="AD29" s="50">
        <v>4</v>
      </c>
      <c r="AE29" s="50">
        <v>0</v>
      </c>
      <c r="AF29" s="50">
        <v>0</v>
      </c>
      <c r="AG29" s="134">
        <v>12</v>
      </c>
      <c r="AH29" s="54">
        <f t="shared" si="2"/>
        <v>12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7</v>
      </c>
      <c r="C30" s="50">
        <v>7</v>
      </c>
      <c r="D30" s="50">
        <v>7</v>
      </c>
      <c r="E30" s="50">
        <v>7</v>
      </c>
      <c r="F30" s="50">
        <v>7</v>
      </c>
      <c r="G30" s="50">
        <v>7</v>
      </c>
      <c r="H30" s="50">
        <v>7</v>
      </c>
      <c r="I30" s="50">
        <v>7</v>
      </c>
      <c r="J30" s="50">
        <v>7</v>
      </c>
      <c r="K30" s="50">
        <v>7</v>
      </c>
      <c r="L30" s="50">
        <v>7</v>
      </c>
      <c r="M30" s="50">
        <v>7</v>
      </c>
      <c r="N30" s="50">
        <v>7</v>
      </c>
      <c r="O30" s="50">
        <v>7</v>
      </c>
      <c r="P30" s="50">
        <v>7</v>
      </c>
      <c r="Q30" s="50">
        <v>7</v>
      </c>
      <c r="R30" s="50">
        <v>7</v>
      </c>
      <c r="S30" s="50">
        <v>7</v>
      </c>
      <c r="T30" s="50">
        <v>7</v>
      </c>
      <c r="U30" s="50">
        <v>7</v>
      </c>
      <c r="V30" s="50">
        <v>7</v>
      </c>
      <c r="W30" s="50">
        <v>7</v>
      </c>
      <c r="X30" s="50">
        <v>7</v>
      </c>
      <c r="Y30" s="50">
        <v>7</v>
      </c>
      <c r="Z30" s="50">
        <v>7</v>
      </c>
      <c r="AA30" s="50">
        <v>7</v>
      </c>
      <c r="AB30" s="50">
        <v>7</v>
      </c>
      <c r="AC30" s="50">
        <v>7</v>
      </c>
      <c r="AD30" s="50">
        <v>7</v>
      </c>
      <c r="AE30" s="50">
        <v>7</v>
      </c>
      <c r="AF30" s="50">
        <v>7</v>
      </c>
      <c r="AG30" s="134">
        <v>12</v>
      </c>
      <c r="AH30" s="54">
        <f t="shared" si="2"/>
        <v>7</v>
      </c>
      <c r="AI30" s="55">
        <f t="shared" si="3"/>
        <v>7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8.5</v>
      </c>
      <c r="C31" s="50">
        <v>8.5</v>
      </c>
      <c r="D31" s="50">
        <v>8.5</v>
      </c>
      <c r="E31" s="50">
        <v>8.5</v>
      </c>
      <c r="F31" s="50">
        <v>8.5</v>
      </c>
      <c r="G31" s="50">
        <v>8.5</v>
      </c>
      <c r="H31" s="50">
        <v>8.5</v>
      </c>
      <c r="I31" s="50">
        <v>8.5</v>
      </c>
      <c r="J31" s="50">
        <v>8.5</v>
      </c>
      <c r="K31" s="50">
        <v>8.5</v>
      </c>
      <c r="L31" s="50">
        <v>8.5</v>
      </c>
      <c r="M31" s="50">
        <v>8.5</v>
      </c>
      <c r="N31" s="50">
        <v>8.5</v>
      </c>
      <c r="O31" s="50">
        <v>8.5</v>
      </c>
      <c r="P31" s="50">
        <v>8.5</v>
      </c>
      <c r="Q31" s="50">
        <v>8.5</v>
      </c>
      <c r="R31" s="50">
        <v>8.5</v>
      </c>
      <c r="S31" s="50">
        <v>8.5</v>
      </c>
      <c r="T31" s="50">
        <v>8.5</v>
      </c>
      <c r="U31" s="50">
        <v>8.5</v>
      </c>
      <c r="V31" s="50">
        <v>8.5</v>
      </c>
      <c r="W31" s="50">
        <v>8.5</v>
      </c>
      <c r="X31" s="50">
        <v>8.5</v>
      </c>
      <c r="Y31" s="50">
        <v>8.5</v>
      </c>
      <c r="Z31" s="50">
        <v>8.5</v>
      </c>
      <c r="AA31" s="50">
        <v>8.5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178">
        <v>22</v>
      </c>
      <c r="AH31" s="54">
        <f>MAX(B31:AF31)</f>
        <v>8.5</v>
      </c>
      <c r="AI31" s="55">
        <f>MIN(B31:AF31)</f>
        <v>0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11</v>
      </c>
      <c r="C32" s="50">
        <v>11</v>
      </c>
      <c r="D32" s="50">
        <v>11</v>
      </c>
      <c r="E32" s="50">
        <v>11</v>
      </c>
      <c r="F32" s="50">
        <v>11</v>
      </c>
      <c r="G32" s="50">
        <v>11</v>
      </c>
      <c r="H32" s="50">
        <v>11</v>
      </c>
      <c r="I32" s="50">
        <v>11</v>
      </c>
      <c r="J32" s="50">
        <v>11</v>
      </c>
      <c r="K32" s="50">
        <v>11</v>
      </c>
      <c r="L32" s="50">
        <v>11</v>
      </c>
      <c r="M32" s="50">
        <v>11</v>
      </c>
      <c r="N32" s="50">
        <v>11</v>
      </c>
      <c r="O32" s="50">
        <v>11</v>
      </c>
      <c r="P32" s="50">
        <v>11</v>
      </c>
      <c r="Q32" s="50">
        <v>11</v>
      </c>
      <c r="R32" s="50">
        <v>11</v>
      </c>
      <c r="S32" s="50">
        <v>11</v>
      </c>
      <c r="T32" s="50">
        <v>11</v>
      </c>
      <c r="U32" s="50">
        <v>11</v>
      </c>
      <c r="V32" s="50">
        <v>11</v>
      </c>
      <c r="W32" s="50">
        <v>11</v>
      </c>
      <c r="X32" s="50">
        <v>11</v>
      </c>
      <c r="Y32" s="50">
        <v>11</v>
      </c>
      <c r="Z32" s="50">
        <v>11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135">
        <v>11.88</v>
      </c>
      <c r="AH32" s="54">
        <f t="shared" si="2"/>
        <v>11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11</v>
      </c>
      <c r="D33" s="50">
        <v>11</v>
      </c>
      <c r="E33" s="50">
        <v>11</v>
      </c>
      <c r="F33" s="50">
        <v>11</v>
      </c>
      <c r="G33" s="50">
        <v>11</v>
      </c>
      <c r="H33" s="50">
        <v>11</v>
      </c>
      <c r="I33" s="50">
        <v>11</v>
      </c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11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8.3000000000000007</v>
      </c>
      <c r="C34" s="50">
        <v>8.3000000000000007</v>
      </c>
      <c r="D34" s="50">
        <v>8.3000000000000007</v>
      </c>
      <c r="E34" s="50">
        <v>8.3000000000000007</v>
      </c>
      <c r="F34" s="50">
        <v>8.3000000000000007</v>
      </c>
      <c r="G34" s="50">
        <v>8.3000000000000007</v>
      </c>
      <c r="H34" s="50">
        <v>8.3000000000000007</v>
      </c>
      <c r="I34" s="50">
        <v>8.3000000000000007</v>
      </c>
      <c r="J34" s="50">
        <v>8.3000000000000007</v>
      </c>
      <c r="K34" s="50">
        <v>8.3000000000000007</v>
      </c>
      <c r="L34" s="50">
        <v>8.3000000000000007</v>
      </c>
      <c r="M34" s="50">
        <v>8.3000000000000007</v>
      </c>
      <c r="N34" s="50">
        <v>8.3000000000000007</v>
      </c>
      <c r="O34" s="50">
        <v>8.3000000000000007</v>
      </c>
      <c r="P34" s="50">
        <v>8.3000000000000007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0">
        <v>8.3000000000000007</v>
      </c>
      <c r="AB34" s="50">
        <v>8.3000000000000007</v>
      </c>
      <c r="AC34" s="50">
        <v>8.3000000000000007</v>
      </c>
      <c r="AD34" s="50">
        <v>8.3000000000000007</v>
      </c>
      <c r="AE34" s="50">
        <v>8.3000000000000007</v>
      </c>
      <c r="AF34" s="50">
        <v>8.3000000000000007</v>
      </c>
      <c r="AG34" s="136">
        <v>10</v>
      </c>
      <c r="AH34" s="54">
        <f t="shared" si="2"/>
        <v>8.3000000000000007</v>
      </c>
      <c r="AI34" s="55">
        <f t="shared" si="3"/>
        <v>0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136">
        <v>10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300</v>
      </c>
      <c r="C36" s="62">
        <v>300</v>
      </c>
      <c r="D36" s="62">
        <v>300</v>
      </c>
      <c r="E36" s="62">
        <v>300</v>
      </c>
      <c r="F36" s="62">
        <v>300</v>
      </c>
      <c r="G36" s="62">
        <v>300</v>
      </c>
      <c r="H36" s="62">
        <v>300</v>
      </c>
      <c r="I36" s="62">
        <v>300</v>
      </c>
      <c r="J36" s="62">
        <v>300</v>
      </c>
      <c r="K36" s="62">
        <v>300</v>
      </c>
      <c r="L36" s="62">
        <v>300</v>
      </c>
      <c r="M36" s="62">
        <v>300</v>
      </c>
      <c r="N36" s="62">
        <v>300</v>
      </c>
      <c r="O36" s="62">
        <v>300</v>
      </c>
      <c r="P36" s="62">
        <v>300</v>
      </c>
      <c r="Q36" s="62">
        <v>300</v>
      </c>
      <c r="R36" s="62">
        <v>300</v>
      </c>
      <c r="S36" s="62">
        <v>300</v>
      </c>
      <c r="T36" s="62">
        <v>300</v>
      </c>
      <c r="U36" s="62">
        <v>300</v>
      </c>
      <c r="V36" s="62">
        <v>300</v>
      </c>
      <c r="W36" s="62">
        <v>300</v>
      </c>
      <c r="X36" s="62">
        <v>300</v>
      </c>
      <c r="Y36" s="62">
        <v>300</v>
      </c>
      <c r="Z36" s="62">
        <v>300</v>
      </c>
      <c r="AA36" s="62">
        <v>300</v>
      </c>
      <c r="AB36" s="62">
        <v>300</v>
      </c>
      <c r="AC36" s="62">
        <v>300</v>
      </c>
      <c r="AD36" s="62">
        <v>300</v>
      </c>
      <c r="AE36" s="62">
        <v>300</v>
      </c>
      <c r="AF36" s="62">
        <v>300</v>
      </c>
      <c r="AG36" s="136">
        <v>85</v>
      </c>
      <c r="AH36" s="54">
        <f t="shared" si="2"/>
        <v>300</v>
      </c>
      <c r="AI36" s="55">
        <f t="shared" si="3"/>
        <v>300</v>
      </c>
      <c r="AK36" s="56"/>
    </row>
    <row r="37" spans="1:88" ht="15.75" thickBot="1" x14ac:dyDescent="0.3">
      <c r="A37" s="63" t="s">
        <v>21</v>
      </c>
      <c r="B37" s="64">
        <v>158.69999999999999</v>
      </c>
      <c r="C37" s="64">
        <f>51.2+97.7</f>
        <v>148.9</v>
      </c>
      <c r="D37" s="64">
        <f>51.7+97.9</f>
        <v>149.60000000000002</v>
      </c>
      <c r="E37" s="62">
        <f>98.6+51.9</f>
        <v>150.5</v>
      </c>
      <c r="F37" s="62">
        <f>98.3+37.1</f>
        <v>135.4</v>
      </c>
      <c r="G37" s="62">
        <f>98.1+35.1</f>
        <v>133.19999999999999</v>
      </c>
      <c r="H37" s="62">
        <f>97.3+17</f>
        <v>114.3</v>
      </c>
      <c r="I37" s="62">
        <f>96.9+16</f>
        <v>112.9</v>
      </c>
      <c r="J37" s="62">
        <f>96.9+26</f>
        <v>122.9</v>
      </c>
      <c r="K37" s="62">
        <f>96.2+27.6</f>
        <v>123.80000000000001</v>
      </c>
      <c r="L37" s="62">
        <f>95.7+39.3</f>
        <v>135</v>
      </c>
      <c r="M37" s="62">
        <f>95.9+39.7</f>
        <v>135.60000000000002</v>
      </c>
      <c r="N37" s="62">
        <f>95.9+39.7</f>
        <v>135.60000000000002</v>
      </c>
      <c r="O37" s="62">
        <f>95.9+39.7</f>
        <v>135.60000000000002</v>
      </c>
      <c r="P37" s="62">
        <f>95.9+39.7</f>
        <v>135.60000000000002</v>
      </c>
      <c r="Q37" s="62">
        <f>39.7+88</f>
        <v>127.7</v>
      </c>
      <c r="R37" s="62">
        <f>39.8+61</f>
        <v>100.8</v>
      </c>
      <c r="S37" s="62">
        <f>56+75</f>
        <v>131</v>
      </c>
      <c r="T37" s="62">
        <f>56+80</f>
        <v>136</v>
      </c>
      <c r="U37" s="62">
        <f>56+80</f>
        <v>136</v>
      </c>
      <c r="V37" s="62">
        <f>56+80</f>
        <v>136</v>
      </c>
      <c r="W37" s="62">
        <f>73+79</f>
        <v>152</v>
      </c>
      <c r="X37" s="62">
        <f>73+79</f>
        <v>152</v>
      </c>
      <c r="Y37" s="62">
        <f>73+76</f>
        <v>149</v>
      </c>
      <c r="Z37" s="62">
        <f>73+76</f>
        <v>149</v>
      </c>
      <c r="AA37" s="64">
        <v>147</v>
      </c>
      <c r="AB37" s="64">
        <f>78.1+71.8</f>
        <v>149.89999999999998</v>
      </c>
      <c r="AC37" s="64">
        <f>78.2+71.9</f>
        <v>150.10000000000002</v>
      </c>
      <c r="AD37" s="64">
        <f>76.9+72.4</f>
        <v>149.30000000000001</v>
      </c>
      <c r="AE37" s="64">
        <f>78.4+72.7</f>
        <v>151.10000000000002</v>
      </c>
      <c r="AF37" s="64">
        <f>83.8+73.3</f>
        <v>157.1</v>
      </c>
      <c r="AG37" s="136">
        <v>240</v>
      </c>
      <c r="AH37" s="54">
        <f t="shared" si="2"/>
        <v>158.69999999999999</v>
      </c>
      <c r="AI37" s="55">
        <f t="shared" si="3"/>
        <v>100.8</v>
      </c>
      <c r="AK37" s="56"/>
    </row>
    <row r="38" spans="1:88" ht="15.75" thickBot="1" x14ac:dyDescent="0.3">
      <c r="A38" s="131" t="s">
        <v>22</v>
      </c>
      <c r="B38" s="66">
        <v>770.6</v>
      </c>
      <c r="C38" s="66">
        <f t="shared" ref="C38:AG38" si="4">SUM(C11:C36)</f>
        <v>722.90000000000009</v>
      </c>
      <c r="D38" s="66">
        <f t="shared" si="4"/>
        <v>732.90000000000009</v>
      </c>
      <c r="E38" s="66">
        <f t="shared" si="4"/>
        <v>703.1</v>
      </c>
      <c r="F38" s="66">
        <f t="shared" si="4"/>
        <v>680.09999999999991</v>
      </c>
      <c r="G38" s="66">
        <f t="shared" si="4"/>
        <v>680.09999999999991</v>
      </c>
      <c r="H38" s="66">
        <f t="shared" si="4"/>
        <v>668.09999999999991</v>
      </c>
      <c r="I38" s="66">
        <f t="shared" si="4"/>
        <v>691.1</v>
      </c>
      <c r="J38" s="66">
        <f t="shared" si="4"/>
        <v>696.1</v>
      </c>
      <c r="K38" s="66">
        <f t="shared" si="4"/>
        <v>719.40000000000009</v>
      </c>
      <c r="L38" s="66">
        <f t="shared" si="4"/>
        <v>719.40000000000009</v>
      </c>
      <c r="M38" s="66">
        <f t="shared" si="4"/>
        <v>667.7</v>
      </c>
      <c r="N38" s="66">
        <f t="shared" si="4"/>
        <v>682.7</v>
      </c>
      <c r="O38" s="66">
        <f t="shared" si="4"/>
        <v>677.8</v>
      </c>
      <c r="P38" s="66">
        <f t="shared" si="4"/>
        <v>641.20000000000005</v>
      </c>
      <c r="Q38" s="66">
        <f t="shared" si="4"/>
        <v>691.9</v>
      </c>
      <c r="R38" s="66">
        <f t="shared" si="4"/>
        <v>720</v>
      </c>
      <c r="S38" s="66">
        <f t="shared" si="4"/>
        <v>707.5</v>
      </c>
      <c r="T38" s="66">
        <f t="shared" si="4"/>
        <v>732.5</v>
      </c>
      <c r="U38" s="66">
        <f t="shared" si="4"/>
        <v>732.5</v>
      </c>
      <c r="V38" s="66">
        <f t="shared" si="4"/>
        <v>750.3</v>
      </c>
      <c r="W38" s="66">
        <f t="shared" si="4"/>
        <v>781.5</v>
      </c>
      <c r="X38" s="66">
        <f t="shared" si="4"/>
        <v>778.3</v>
      </c>
      <c r="Y38" s="66">
        <f t="shared" si="4"/>
        <v>805.5</v>
      </c>
      <c r="Z38" s="66">
        <f t="shared" si="4"/>
        <v>805.5</v>
      </c>
      <c r="AA38" s="66">
        <f t="shared" si="4"/>
        <v>790.8</v>
      </c>
      <c r="AB38" s="66">
        <f t="shared" si="4"/>
        <v>787.90000000000009</v>
      </c>
      <c r="AC38" s="66">
        <f t="shared" si="4"/>
        <v>787.7</v>
      </c>
      <c r="AD38" s="66">
        <f t="shared" si="4"/>
        <v>788.2</v>
      </c>
      <c r="AE38" s="66">
        <f t="shared" si="4"/>
        <v>784</v>
      </c>
      <c r="AF38" s="66">
        <f t="shared" si="4"/>
        <v>784.1</v>
      </c>
      <c r="AG38" s="143">
        <f t="shared" si="4"/>
        <v>665.78</v>
      </c>
      <c r="AH38" s="54">
        <f t="shared" si="2"/>
        <v>805.5</v>
      </c>
      <c r="AI38" s="55">
        <f t="shared" si="3"/>
        <v>641.20000000000005</v>
      </c>
      <c r="AK38" s="56"/>
    </row>
    <row r="39" spans="1:88" x14ac:dyDescent="0.25">
      <c r="A39" s="159" t="s">
        <v>130</v>
      </c>
      <c r="B39" s="50">
        <v>456</v>
      </c>
      <c r="C39" s="50">
        <v>456</v>
      </c>
      <c r="D39" s="50">
        <v>456</v>
      </c>
      <c r="E39" s="50">
        <v>456</v>
      </c>
      <c r="F39" s="50">
        <v>456</v>
      </c>
      <c r="G39" s="50">
        <v>456</v>
      </c>
      <c r="H39" s="50">
        <v>456</v>
      </c>
      <c r="I39" s="50">
        <v>456</v>
      </c>
      <c r="J39" s="50">
        <v>456</v>
      </c>
      <c r="K39" s="50">
        <v>456</v>
      </c>
      <c r="L39" s="50">
        <v>456</v>
      </c>
      <c r="M39" s="50">
        <v>456</v>
      </c>
      <c r="N39" s="50">
        <v>456</v>
      </c>
      <c r="O39" s="50">
        <v>456</v>
      </c>
      <c r="P39" s="50">
        <v>456</v>
      </c>
      <c r="Q39" s="50">
        <v>456</v>
      </c>
      <c r="R39" s="50">
        <v>456</v>
      </c>
      <c r="S39" s="50">
        <v>456</v>
      </c>
      <c r="T39" s="50">
        <v>456</v>
      </c>
      <c r="U39" s="50">
        <v>456</v>
      </c>
      <c r="V39" s="50">
        <v>456</v>
      </c>
      <c r="W39" s="50">
        <v>456</v>
      </c>
      <c r="X39" s="50">
        <v>380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456</v>
      </c>
      <c r="AF39" s="50">
        <v>456</v>
      </c>
      <c r="AG39" s="135">
        <v>456</v>
      </c>
      <c r="AH39" s="54">
        <f t="shared" si="2"/>
        <v>456</v>
      </c>
      <c r="AI39" s="55">
        <f t="shared" si="3"/>
        <v>380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v>538</v>
      </c>
      <c r="C42" s="66">
        <f t="shared" ref="C42:AG42" si="5">SUM(C39:C41)</f>
        <v>538</v>
      </c>
      <c r="D42" s="66">
        <f t="shared" si="5"/>
        <v>538</v>
      </c>
      <c r="E42" s="66">
        <f t="shared" si="5"/>
        <v>538</v>
      </c>
      <c r="F42" s="66">
        <f t="shared" si="5"/>
        <v>538</v>
      </c>
      <c r="G42" s="66">
        <f t="shared" si="5"/>
        <v>538</v>
      </c>
      <c r="H42" s="66">
        <f t="shared" si="5"/>
        <v>538</v>
      </c>
      <c r="I42" s="66">
        <f t="shared" si="5"/>
        <v>538</v>
      </c>
      <c r="J42" s="66">
        <f t="shared" si="5"/>
        <v>538</v>
      </c>
      <c r="K42" s="66">
        <f t="shared" si="5"/>
        <v>538</v>
      </c>
      <c r="L42" s="66">
        <f t="shared" si="5"/>
        <v>538</v>
      </c>
      <c r="M42" s="66">
        <f t="shared" si="5"/>
        <v>538</v>
      </c>
      <c r="N42" s="66">
        <f t="shared" si="5"/>
        <v>538</v>
      </c>
      <c r="O42" s="66">
        <f t="shared" si="5"/>
        <v>538</v>
      </c>
      <c r="P42" s="66">
        <f t="shared" si="5"/>
        <v>538</v>
      </c>
      <c r="Q42" s="66">
        <f t="shared" si="5"/>
        <v>538</v>
      </c>
      <c r="R42" s="66">
        <f t="shared" si="5"/>
        <v>538</v>
      </c>
      <c r="S42" s="66">
        <f t="shared" si="5"/>
        <v>538</v>
      </c>
      <c r="T42" s="66">
        <f t="shared" si="5"/>
        <v>538</v>
      </c>
      <c r="U42" s="66">
        <f t="shared" si="5"/>
        <v>538</v>
      </c>
      <c r="V42" s="66">
        <f t="shared" si="5"/>
        <v>538</v>
      </c>
      <c r="W42" s="66">
        <f t="shared" si="5"/>
        <v>538</v>
      </c>
      <c r="X42" s="66">
        <f t="shared" si="5"/>
        <v>462</v>
      </c>
      <c r="Y42" s="66">
        <f t="shared" si="5"/>
        <v>538</v>
      </c>
      <c r="Z42" s="66">
        <f t="shared" si="5"/>
        <v>538</v>
      </c>
      <c r="AA42" s="66">
        <f t="shared" si="5"/>
        <v>538</v>
      </c>
      <c r="AB42" s="66">
        <f t="shared" si="5"/>
        <v>538</v>
      </c>
      <c r="AC42" s="66">
        <f t="shared" si="5"/>
        <v>538</v>
      </c>
      <c r="AD42" s="66">
        <f t="shared" si="5"/>
        <v>538</v>
      </c>
      <c r="AE42" s="66">
        <f t="shared" si="5"/>
        <v>538</v>
      </c>
      <c r="AF42" s="66">
        <f t="shared" si="5"/>
        <v>538</v>
      </c>
      <c r="AG42" s="143">
        <f t="shared" si="5"/>
        <v>538.1</v>
      </c>
      <c r="AH42" s="54">
        <f t="shared" si="2"/>
        <v>538</v>
      </c>
      <c r="AI42" s="55">
        <f t="shared" si="3"/>
        <v>462</v>
      </c>
      <c r="AK42" s="56"/>
    </row>
    <row r="43" spans="1:88" x14ac:dyDescent="0.25">
      <c r="A43" s="57" t="s">
        <v>23</v>
      </c>
      <c r="B43" s="50">
        <v>137</v>
      </c>
      <c r="C43" s="50">
        <v>137</v>
      </c>
      <c r="D43" s="50">
        <v>138</v>
      </c>
      <c r="E43" s="50">
        <v>137.4</v>
      </c>
      <c r="F43" s="50">
        <v>136.80000000000001</v>
      </c>
      <c r="G43" s="50">
        <v>138.69999999999999</v>
      </c>
      <c r="H43" s="50">
        <v>139.80000000000001</v>
      </c>
      <c r="I43" s="50">
        <v>139.19999999999999</v>
      </c>
      <c r="J43" s="50">
        <v>138.30000000000001</v>
      </c>
      <c r="K43" s="50">
        <v>136.4</v>
      </c>
      <c r="L43" s="50">
        <v>135.80000000000001</v>
      </c>
      <c r="M43" s="50">
        <v>106.7</v>
      </c>
      <c r="N43" s="50">
        <v>0</v>
      </c>
      <c r="O43" s="50">
        <v>135</v>
      </c>
      <c r="P43" s="50">
        <v>134.80000000000001</v>
      </c>
      <c r="Q43" s="50">
        <v>134.5</v>
      </c>
      <c r="R43" s="50">
        <v>134.30000000000001</v>
      </c>
      <c r="S43" s="50">
        <v>134.30000000000001</v>
      </c>
      <c r="T43" s="50">
        <v>134.30000000000001</v>
      </c>
      <c r="U43" s="50">
        <v>134.30000000000001</v>
      </c>
      <c r="V43" s="50">
        <v>134.30000000000001</v>
      </c>
      <c r="W43" s="50">
        <v>134.30000000000001</v>
      </c>
      <c r="X43" s="50">
        <v>134.30000000000001</v>
      </c>
      <c r="Y43" s="50">
        <v>135.69999999999999</v>
      </c>
      <c r="Z43" s="50">
        <v>135.69999999999999</v>
      </c>
      <c r="AA43" s="50">
        <v>137.6</v>
      </c>
      <c r="AB43" s="50">
        <v>138.69999999999999</v>
      </c>
      <c r="AC43" s="50">
        <v>137.69999999999999</v>
      </c>
      <c r="AD43" s="50">
        <v>136.69999999999999</v>
      </c>
      <c r="AE43" s="50">
        <v>137</v>
      </c>
      <c r="AF43" s="50">
        <v>138.80000000000001</v>
      </c>
      <c r="AG43" s="135">
        <v>144</v>
      </c>
      <c r="AH43" s="54">
        <f t="shared" si="2"/>
        <v>139.80000000000001</v>
      </c>
      <c r="AI43" s="55">
        <f t="shared" si="3"/>
        <v>0</v>
      </c>
      <c r="AK43" s="56"/>
    </row>
    <row r="44" spans="1:88" x14ac:dyDescent="0.25">
      <c r="A44" s="60" t="s">
        <v>24</v>
      </c>
      <c r="B44" s="48">
        <v>71.599999999999994</v>
      </c>
      <c r="C44" s="48">
        <v>71.599999999999994</v>
      </c>
      <c r="D44" s="48">
        <v>70.400000000000006</v>
      </c>
      <c r="E44" s="48">
        <v>70.5</v>
      </c>
      <c r="F44" s="48">
        <v>70.099999999999994</v>
      </c>
      <c r="G44" s="48">
        <v>70.7</v>
      </c>
      <c r="H44" s="48">
        <v>70</v>
      </c>
      <c r="I44" s="48">
        <v>70</v>
      </c>
      <c r="J44" s="48">
        <v>70</v>
      </c>
      <c r="K44" s="48">
        <v>70.2</v>
      </c>
      <c r="L44" s="48">
        <v>70.8</v>
      </c>
      <c r="M44" s="48">
        <v>70.8</v>
      </c>
      <c r="N44" s="50">
        <v>70.099999999999994</v>
      </c>
      <c r="O44" s="50">
        <v>70.099999999999994</v>
      </c>
      <c r="P44" s="50">
        <v>70.099999999999994</v>
      </c>
      <c r="Q44" s="50">
        <v>70</v>
      </c>
      <c r="R44" s="50">
        <v>71.3</v>
      </c>
      <c r="S44" s="50">
        <v>71.3</v>
      </c>
      <c r="T44" s="50">
        <v>71.3</v>
      </c>
      <c r="U44" s="50">
        <v>71.3</v>
      </c>
      <c r="V44" s="50">
        <v>71.3</v>
      </c>
      <c r="W44" s="50">
        <v>71.3</v>
      </c>
      <c r="X44" s="50">
        <v>71.3</v>
      </c>
      <c r="Y44" s="48">
        <v>70.900000000000006</v>
      </c>
      <c r="Z44" s="48">
        <v>70.900000000000006</v>
      </c>
      <c r="AA44" s="48">
        <v>71.900000000000006</v>
      </c>
      <c r="AB44" s="48">
        <v>72.2</v>
      </c>
      <c r="AC44" s="48">
        <v>71.400000000000006</v>
      </c>
      <c r="AD44" s="48">
        <v>72</v>
      </c>
      <c r="AE44" s="48">
        <v>71.2</v>
      </c>
      <c r="AF44" s="48">
        <v>71.400000000000006</v>
      </c>
      <c r="AG44" s="136">
        <v>70</v>
      </c>
      <c r="AH44" s="54">
        <f t="shared" si="2"/>
        <v>72.2</v>
      </c>
      <c r="AI44" s="55">
        <f t="shared" si="3"/>
        <v>70</v>
      </c>
      <c r="AK44" s="56"/>
    </row>
    <row r="45" spans="1:88" x14ac:dyDescent="0.25">
      <c r="A45" s="60" t="s">
        <v>25</v>
      </c>
      <c r="B45" s="48">
        <v>62</v>
      </c>
      <c r="C45" s="48">
        <v>62</v>
      </c>
      <c r="D45" s="48">
        <v>62</v>
      </c>
      <c r="E45" s="48">
        <v>61.6</v>
      </c>
      <c r="F45" s="48">
        <v>61.5</v>
      </c>
      <c r="G45" s="48">
        <v>61.3</v>
      </c>
      <c r="H45" s="48">
        <v>61.3</v>
      </c>
      <c r="I45" s="48">
        <v>61.3</v>
      </c>
      <c r="J45" s="48">
        <v>61</v>
      </c>
      <c r="K45" s="48">
        <v>61.1</v>
      </c>
      <c r="L45" s="48">
        <v>61.6</v>
      </c>
      <c r="M45" s="48">
        <v>61.6</v>
      </c>
      <c r="N45" s="50">
        <v>61.4</v>
      </c>
      <c r="O45" s="50">
        <v>61.4</v>
      </c>
      <c r="P45" s="50">
        <v>61.4</v>
      </c>
      <c r="Q45" s="50">
        <v>61.5</v>
      </c>
      <c r="R45" s="50">
        <v>61.7</v>
      </c>
      <c r="S45" s="50">
        <v>61.7</v>
      </c>
      <c r="T45" s="50">
        <v>61.7</v>
      </c>
      <c r="U45" s="50">
        <v>61.7</v>
      </c>
      <c r="V45" s="50">
        <v>61.7</v>
      </c>
      <c r="W45" s="50">
        <v>61.7</v>
      </c>
      <c r="X45" s="50">
        <v>61.7</v>
      </c>
      <c r="Y45" s="48">
        <v>61.9</v>
      </c>
      <c r="Z45" s="48">
        <v>61.9</v>
      </c>
      <c r="AA45" s="48">
        <v>62</v>
      </c>
      <c r="AB45" s="48">
        <v>61.9</v>
      </c>
      <c r="AC45" s="48">
        <v>61.9</v>
      </c>
      <c r="AD45" s="48">
        <v>62.1</v>
      </c>
      <c r="AE45" s="48">
        <v>61.6</v>
      </c>
      <c r="AF45" s="48">
        <v>61.7</v>
      </c>
      <c r="AG45" s="136">
        <v>69</v>
      </c>
      <c r="AH45" s="54">
        <f t="shared" si="2"/>
        <v>62.1</v>
      </c>
      <c r="AI45" s="55">
        <f t="shared" si="3"/>
        <v>61</v>
      </c>
      <c r="AK45" s="56"/>
    </row>
    <row r="46" spans="1:88" x14ac:dyDescent="0.25">
      <c r="A46" s="60" t="s">
        <v>26</v>
      </c>
      <c r="B46" s="62">
        <v>30.2</v>
      </c>
      <c r="C46" s="62">
        <v>30.2</v>
      </c>
      <c r="D46" s="62">
        <v>40.1</v>
      </c>
      <c r="E46" s="62">
        <v>39.799999999999997</v>
      </c>
      <c r="F46" s="62">
        <v>40</v>
      </c>
      <c r="G46" s="62">
        <v>40</v>
      </c>
      <c r="H46" s="62">
        <v>40</v>
      </c>
      <c r="I46" s="62">
        <v>40</v>
      </c>
      <c r="J46" s="62">
        <v>40</v>
      </c>
      <c r="K46" s="62">
        <v>40</v>
      </c>
      <c r="L46" s="62">
        <v>40</v>
      </c>
      <c r="M46" s="62">
        <v>54.7</v>
      </c>
      <c r="N46" s="50">
        <v>60.2</v>
      </c>
      <c r="O46" s="50">
        <v>60.2</v>
      </c>
      <c r="P46" s="50">
        <v>60.2</v>
      </c>
      <c r="Q46" s="50">
        <v>60.4</v>
      </c>
      <c r="R46" s="50">
        <v>60.4</v>
      </c>
      <c r="S46" s="50">
        <v>60.4</v>
      </c>
      <c r="T46" s="50">
        <v>60.4</v>
      </c>
      <c r="U46" s="50">
        <v>60.4</v>
      </c>
      <c r="V46" s="50">
        <v>60.4</v>
      </c>
      <c r="W46" s="50">
        <v>60.4</v>
      </c>
      <c r="X46" s="50">
        <v>60.4</v>
      </c>
      <c r="Y46" s="50">
        <v>60.4</v>
      </c>
      <c r="Z46" s="50">
        <v>60.4</v>
      </c>
      <c r="AA46" s="48">
        <v>59.6</v>
      </c>
      <c r="AB46" s="62">
        <v>59.7</v>
      </c>
      <c r="AC46" s="62">
        <v>59.7</v>
      </c>
      <c r="AD46" s="62">
        <v>59.7</v>
      </c>
      <c r="AE46" s="62">
        <v>60.4</v>
      </c>
      <c r="AF46" s="62">
        <v>60.4</v>
      </c>
      <c r="AG46" s="136">
        <v>60</v>
      </c>
      <c r="AH46" s="54">
        <f t="shared" si="2"/>
        <v>60.4</v>
      </c>
      <c r="AI46" s="55">
        <f t="shared" si="3"/>
        <v>30.2</v>
      </c>
      <c r="AK46" s="56"/>
    </row>
    <row r="47" spans="1:88" x14ac:dyDescent="0.25">
      <c r="A47" s="60" t="s">
        <v>27</v>
      </c>
      <c r="B47" s="62">
        <v>28</v>
      </c>
      <c r="C47" s="62">
        <v>28</v>
      </c>
      <c r="D47" s="62">
        <v>27.5</v>
      </c>
      <c r="E47" s="62">
        <v>27.6</v>
      </c>
      <c r="F47" s="62">
        <v>27.6</v>
      </c>
      <c r="G47" s="62">
        <v>22</v>
      </c>
      <c r="H47" s="62">
        <v>0</v>
      </c>
      <c r="I47" s="62">
        <v>0</v>
      </c>
      <c r="J47" s="62">
        <v>0</v>
      </c>
      <c r="K47" s="62">
        <v>0</v>
      </c>
      <c r="L47" s="62">
        <v>0</v>
      </c>
      <c r="M47" s="62">
        <v>0</v>
      </c>
      <c r="N47" s="62">
        <v>0</v>
      </c>
      <c r="O47" s="62">
        <v>0</v>
      </c>
      <c r="P47" s="62">
        <v>15</v>
      </c>
      <c r="Q47" s="50">
        <v>28.3</v>
      </c>
      <c r="R47" s="50">
        <v>28.4</v>
      </c>
      <c r="S47" s="50">
        <v>28.4</v>
      </c>
      <c r="T47" s="50">
        <v>28.4</v>
      </c>
      <c r="U47" s="50">
        <v>28.4</v>
      </c>
      <c r="V47" s="50">
        <v>28.4</v>
      </c>
      <c r="W47" s="50">
        <v>28.4</v>
      </c>
      <c r="X47" s="50">
        <v>28.4</v>
      </c>
      <c r="Y47" s="50">
        <v>28.4</v>
      </c>
      <c r="Z47" s="50">
        <v>28.4</v>
      </c>
      <c r="AA47" s="48">
        <v>28.1</v>
      </c>
      <c r="AB47" s="62">
        <v>28.1</v>
      </c>
      <c r="AC47" s="62">
        <v>28.2</v>
      </c>
      <c r="AD47" s="62">
        <v>28.2</v>
      </c>
      <c r="AE47" s="62">
        <v>28.2</v>
      </c>
      <c r="AF47" s="62">
        <v>28</v>
      </c>
      <c r="AG47" s="136">
        <v>30</v>
      </c>
      <c r="AH47" s="54">
        <f t="shared" si="2"/>
        <v>28.4</v>
      </c>
      <c r="AI47" s="55">
        <f t="shared" si="3"/>
        <v>0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48">
        <v>0</v>
      </c>
      <c r="G48" s="62">
        <v>0</v>
      </c>
      <c r="H48" s="62">
        <v>0</v>
      </c>
      <c r="I48" s="62">
        <v>0</v>
      </c>
      <c r="J48" s="62">
        <v>0</v>
      </c>
      <c r="K48" s="62">
        <v>0</v>
      </c>
      <c r="L48" s="62">
        <v>0</v>
      </c>
      <c r="M48" s="62">
        <v>8</v>
      </c>
      <c r="N48" s="62">
        <v>8</v>
      </c>
      <c r="O48" s="62">
        <v>8</v>
      </c>
      <c r="P48" s="62">
        <v>8</v>
      </c>
      <c r="Q48" s="50">
        <v>8</v>
      </c>
      <c r="R48" s="50">
        <v>8</v>
      </c>
      <c r="S48" s="50">
        <v>8</v>
      </c>
      <c r="T48" s="50">
        <v>8</v>
      </c>
      <c r="U48" s="50">
        <v>8</v>
      </c>
      <c r="V48" s="50">
        <v>8</v>
      </c>
      <c r="W48" s="50">
        <v>8</v>
      </c>
      <c r="X48" s="50">
        <v>8</v>
      </c>
      <c r="Y48" s="50">
        <v>8</v>
      </c>
      <c r="Z48" s="50">
        <v>8</v>
      </c>
      <c r="AA48" s="50">
        <v>0</v>
      </c>
      <c r="AB48" s="48">
        <v>0</v>
      </c>
      <c r="AC48" s="48">
        <v>0</v>
      </c>
      <c r="AD48" s="48">
        <v>0</v>
      </c>
      <c r="AE48" s="48">
        <v>0</v>
      </c>
      <c r="AF48" s="48">
        <v>0</v>
      </c>
      <c r="AG48" s="136">
        <v>25</v>
      </c>
      <c r="AH48" s="54">
        <f t="shared" si="2"/>
        <v>8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16.3</v>
      </c>
      <c r="C49" s="48">
        <v>16.3</v>
      </c>
      <c r="D49" s="48">
        <v>16.3</v>
      </c>
      <c r="E49" s="48">
        <v>16.399999999999999</v>
      </c>
      <c r="F49" s="48">
        <v>16.399999999999999</v>
      </c>
      <c r="G49" s="48">
        <v>16.399999999999999</v>
      </c>
      <c r="H49" s="48">
        <v>16.399999999999999</v>
      </c>
      <c r="I49" s="48">
        <v>16.399999999999999</v>
      </c>
      <c r="J49" s="48">
        <v>16.399999999999999</v>
      </c>
      <c r="K49" s="48">
        <v>16.399999999999999</v>
      </c>
      <c r="L49" s="48">
        <v>16.399999999999999</v>
      </c>
      <c r="M49" s="48">
        <v>16.399999999999999</v>
      </c>
      <c r="N49" s="48">
        <v>16.399999999999999</v>
      </c>
      <c r="O49" s="48">
        <v>16.399999999999999</v>
      </c>
      <c r="P49" s="48">
        <v>16.399999999999999</v>
      </c>
      <c r="Q49" s="50">
        <v>8.4</v>
      </c>
      <c r="R49" s="50">
        <v>8.4</v>
      </c>
      <c r="S49" s="50">
        <v>8.4</v>
      </c>
      <c r="T49" s="50">
        <v>8.4</v>
      </c>
      <c r="U49" s="50">
        <v>8.4</v>
      </c>
      <c r="V49" s="50">
        <v>9.1999999999999993</v>
      </c>
      <c r="W49" s="50">
        <v>9.1999999999999993</v>
      </c>
      <c r="X49" s="50">
        <v>9.1999999999999993</v>
      </c>
      <c r="Y49" s="50">
        <v>9.1999999999999993</v>
      </c>
      <c r="Z49" s="50">
        <v>9.1999999999999993</v>
      </c>
      <c r="AA49" s="50">
        <v>16.5</v>
      </c>
      <c r="AB49" s="48">
        <v>16.3</v>
      </c>
      <c r="AC49" s="48">
        <v>16.3</v>
      </c>
      <c r="AD49" s="48">
        <v>16.3</v>
      </c>
      <c r="AE49" s="48">
        <v>16.3</v>
      </c>
      <c r="AF49" s="48">
        <v>16.3</v>
      </c>
      <c r="AG49" s="136">
        <v>24</v>
      </c>
      <c r="AH49" s="54">
        <f t="shared" si="2"/>
        <v>16.5</v>
      </c>
      <c r="AI49" s="55">
        <f t="shared" si="3"/>
        <v>8.4</v>
      </c>
      <c r="AK49" s="56"/>
    </row>
    <row r="50" spans="1:41" x14ac:dyDescent="0.25">
      <c r="A50" s="60" t="s">
        <v>30</v>
      </c>
      <c r="B50" s="48">
        <v>0</v>
      </c>
      <c r="C50" s="48">
        <v>0</v>
      </c>
      <c r="D50" s="48">
        <v>0</v>
      </c>
      <c r="E50" s="48">
        <v>0</v>
      </c>
      <c r="F50" s="48">
        <v>0</v>
      </c>
      <c r="G50" s="48">
        <v>0</v>
      </c>
      <c r="H50" s="48">
        <v>0</v>
      </c>
      <c r="I50" s="48">
        <v>0</v>
      </c>
      <c r="J50" s="48">
        <v>0</v>
      </c>
      <c r="K50" s="48">
        <v>0</v>
      </c>
      <c r="L50" s="48">
        <v>0</v>
      </c>
      <c r="M50" s="48">
        <v>3</v>
      </c>
      <c r="N50" s="48">
        <v>3</v>
      </c>
      <c r="O50" s="48">
        <v>3</v>
      </c>
      <c r="P50" s="48">
        <v>3</v>
      </c>
      <c r="Q50" s="48">
        <v>3</v>
      </c>
      <c r="R50" s="50">
        <v>3</v>
      </c>
      <c r="S50" s="50">
        <v>3</v>
      </c>
      <c r="T50" s="50">
        <v>3</v>
      </c>
      <c r="U50" s="50">
        <v>3</v>
      </c>
      <c r="V50" s="50">
        <v>3</v>
      </c>
      <c r="W50" s="50">
        <v>3</v>
      </c>
      <c r="X50" s="50">
        <v>3</v>
      </c>
      <c r="Y50" s="50">
        <v>3</v>
      </c>
      <c r="Z50" s="50">
        <v>3</v>
      </c>
      <c r="AA50" s="50">
        <v>3.5</v>
      </c>
      <c r="AB50" s="48">
        <v>3.5</v>
      </c>
      <c r="AC50" s="48">
        <v>3.5</v>
      </c>
      <c r="AD50" s="48">
        <v>3.5</v>
      </c>
      <c r="AE50" s="48">
        <v>3.5</v>
      </c>
      <c r="AF50" s="48">
        <v>3.5</v>
      </c>
      <c r="AG50" s="136">
        <v>15</v>
      </c>
      <c r="AH50" s="54">
        <f t="shared" si="2"/>
        <v>3.5</v>
      </c>
      <c r="AI50" s="55">
        <f t="shared" si="3"/>
        <v>0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9</v>
      </c>
      <c r="C51" s="48">
        <v>9</v>
      </c>
      <c r="D51" s="48">
        <v>9</v>
      </c>
      <c r="E51" s="48">
        <v>12.9</v>
      </c>
      <c r="F51" s="48">
        <v>12.9</v>
      </c>
      <c r="G51" s="48">
        <v>12.9</v>
      </c>
      <c r="H51" s="48">
        <v>12.9</v>
      </c>
      <c r="I51" s="48">
        <v>12.9</v>
      </c>
      <c r="J51" s="48">
        <v>12.9</v>
      </c>
      <c r="K51" s="48">
        <v>12.9</v>
      </c>
      <c r="L51" s="48">
        <v>12.9</v>
      </c>
      <c r="M51" s="48">
        <v>12.9</v>
      </c>
      <c r="N51" s="48">
        <v>12.9</v>
      </c>
      <c r="O51" s="48">
        <v>12.9</v>
      </c>
      <c r="P51" s="48">
        <v>12.9</v>
      </c>
      <c r="Q51" s="50">
        <v>7.4</v>
      </c>
      <c r="R51" s="50">
        <v>4.4000000000000004</v>
      </c>
      <c r="S51" s="50">
        <v>4.4000000000000004</v>
      </c>
      <c r="T51" s="50">
        <v>4.4000000000000004</v>
      </c>
      <c r="U51" s="50">
        <v>4.4000000000000004</v>
      </c>
      <c r="V51" s="50">
        <v>9.1</v>
      </c>
      <c r="W51" s="50">
        <v>9.1</v>
      </c>
      <c r="X51" s="50">
        <v>9.1</v>
      </c>
      <c r="Y51" s="50">
        <v>9.1</v>
      </c>
      <c r="Z51" s="50">
        <v>9.1</v>
      </c>
      <c r="AA51" s="50">
        <v>12.4</v>
      </c>
      <c r="AB51" s="48">
        <v>12.9</v>
      </c>
      <c r="AC51" s="48">
        <v>12.9</v>
      </c>
      <c r="AD51" s="48">
        <v>12.9</v>
      </c>
      <c r="AE51" s="48">
        <v>12.9</v>
      </c>
      <c r="AF51" s="48">
        <v>12.9</v>
      </c>
      <c r="AG51" s="136">
        <v>14.1</v>
      </c>
      <c r="AH51" s="54">
        <f t="shared" si="2"/>
        <v>12.9</v>
      </c>
      <c r="AI51" s="55">
        <f t="shared" si="3"/>
        <v>4.4000000000000004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14</v>
      </c>
      <c r="C52" s="48">
        <v>7.7</v>
      </c>
      <c r="D52" s="48">
        <v>7.7</v>
      </c>
      <c r="E52" s="48">
        <v>6.8</v>
      </c>
      <c r="F52" s="48">
        <v>6.8</v>
      </c>
      <c r="G52" s="48">
        <v>6.8</v>
      </c>
      <c r="H52" s="48">
        <v>13.7</v>
      </c>
      <c r="I52" s="48">
        <v>7</v>
      </c>
      <c r="J52" s="48">
        <v>7</v>
      </c>
      <c r="K52" s="48">
        <v>7</v>
      </c>
      <c r="L52" s="48">
        <v>7</v>
      </c>
      <c r="M52" s="48">
        <v>7</v>
      </c>
      <c r="N52" s="48">
        <v>7</v>
      </c>
      <c r="O52" s="48">
        <v>13.7</v>
      </c>
      <c r="P52" s="48">
        <v>13.7</v>
      </c>
      <c r="Q52" s="50">
        <v>0</v>
      </c>
      <c r="R52" s="50">
        <v>0</v>
      </c>
      <c r="S52" s="50">
        <v>7.2</v>
      </c>
      <c r="T52" s="50">
        <v>7.2</v>
      </c>
      <c r="U52" s="50">
        <v>7.2</v>
      </c>
      <c r="V52" s="50">
        <v>7.2</v>
      </c>
      <c r="W52" s="50">
        <v>7.2</v>
      </c>
      <c r="X52" s="50">
        <v>7.2</v>
      </c>
      <c r="Y52" s="50">
        <v>7.2</v>
      </c>
      <c r="Z52" s="50">
        <v>7.2</v>
      </c>
      <c r="AA52" s="50">
        <v>13.7</v>
      </c>
      <c r="AB52" s="48">
        <v>13.9</v>
      </c>
      <c r="AC52" s="48">
        <v>13.9</v>
      </c>
      <c r="AD52" s="48">
        <v>13.9</v>
      </c>
      <c r="AE52" s="48">
        <v>13.9</v>
      </c>
      <c r="AF52" s="48">
        <v>5.4</v>
      </c>
      <c r="AG52" s="136">
        <v>14</v>
      </c>
      <c r="AH52" s="54">
        <f t="shared" si="2"/>
        <v>14</v>
      </c>
      <c r="AI52" s="55">
        <f t="shared" si="3"/>
        <v>0</v>
      </c>
      <c r="AK52" s="56"/>
    </row>
    <row r="53" spans="1:41" x14ac:dyDescent="0.25">
      <c r="A53" s="60" t="s">
        <v>33</v>
      </c>
      <c r="B53" s="48">
        <v>7</v>
      </c>
      <c r="C53" s="48">
        <v>7</v>
      </c>
      <c r="D53" s="48">
        <v>7</v>
      </c>
      <c r="E53" s="48">
        <v>0</v>
      </c>
      <c r="F53" s="48">
        <v>0</v>
      </c>
      <c r="G53" s="48">
        <v>0</v>
      </c>
      <c r="H53" s="48">
        <v>0</v>
      </c>
      <c r="I53" s="48">
        <v>0</v>
      </c>
      <c r="J53" s="48">
        <v>0</v>
      </c>
      <c r="K53" s="48">
        <v>0</v>
      </c>
      <c r="L53" s="48">
        <v>0</v>
      </c>
      <c r="M53" s="48">
        <v>0</v>
      </c>
      <c r="N53" s="48">
        <v>0</v>
      </c>
      <c r="O53" s="48">
        <v>0</v>
      </c>
      <c r="P53" s="48">
        <v>0</v>
      </c>
      <c r="Q53" s="50">
        <v>8</v>
      </c>
      <c r="R53" s="50">
        <v>8</v>
      </c>
      <c r="S53" s="50">
        <v>8</v>
      </c>
      <c r="T53" s="50">
        <v>8</v>
      </c>
      <c r="U53" s="50">
        <v>8</v>
      </c>
      <c r="V53" s="50">
        <v>8</v>
      </c>
      <c r="W53" s="50">
        <v>8</v>
      </c>
      <c r="X53" s="50">
        <v>8</v>
      </c>
      <c r="Y53" s="50">
        <v>8</v>
      </c>
      <c r="Z53" s="50">
        <v>8</v>
      </c>
      <c r="AA53" s="50">
        <v>9.1</v>
      </c>
      <c r="AB53" s="48">
        <v>9.1</v>
      </c>
      <c r="AC53" s="48">
        <v>9.1</v>
      </c>
      <c r="AD53" s="48">
        <v>9.1</v>
      </c>
      <c r="AE53" s="48">
        <v>9.1</v>
      </c>
      <c r="AF53" s="48">
        <v>9.1</v>
      </c>
      <c r="AG53" s="136">
        <v>10.050000000000001</v>
      </c>
      <c r="AH53" s="54">
        <f t="shared" si="2"/>
        <v>9.1</v>
      </c>
      <c r="AI53" s="55">
        <f t="shared" si="3"/>
        <v>0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48">
        <v>6.2</v>
      </c>
      <c r="N54" s="48">
        <v>6.2</v>
      </c>
      <c r="O54" s="48">
        <v>6.2</v>
      </c>
      <c r="P54" s="48">
        <v>6.2</v>
      </c>
      <c r="Q54" s="50">
        <v>6.2</v>
      </c>
      <c r="R54" s="50">
        <v>6.2</v>
      </c>
      <c r="S54" s="50">
        <v>6.2</v>
      </c>
      <c r="T54" s="50">
        <v>6.2</v>
      </c>
      <c r="U54" s="50">
        <v>6.2</v>
      </c>
      <c r="V54" s="50">
        <v>6.2</v>
      </c>
      <c r="W54" s="50">
        <v>6.2</v>
      </c>
      <c r="X54" s="50">
        <v>6.2</v>
      </c>
      <c r="Y54" s="50">
        <v>6.2</v>
      </c>
      <c r="Z54" s="50">
        <v>6.2</v>
      </c>
      <c r="AA54" s="50">
        <v>6.2</v>
      </c>
      <c r="AB54" s="48">
        <v>6.2</v>
      </c>
      <c r="AC54" s="48">
        <v>6.2</v>
      </c>
      <c r="AD54" s="48">
        <v>6.2</v>
      </c>
      <c r="AE54" s="48">
        <v>6.2</v>
      </c>
      <c r="AF54" s="48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6">AG220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v>392.84000000000003</v>
      </c>
      <c r="C56" s="66">
        <f t="shared" ref="C56:AG56" si="7">SUM(C43:C55)</f>
        <v>378.54</v>
      </c>
      <c r="D56" s="66">
        <f t="shared" si="7"/>
        <v>387.74</v>
      </c>
      <c r="E56" s="66">
        <f t="shared" si="7"/>
        <v>382.74</v>
      </c>
      <c r="F56" s="66">
        <f t="shared" si="7"/>
        <v>381.84</v>
      </c>
      <c r="G56" s="66">
        <f t="shared" si="7"/>
        <v>378.53999999999996</v>
      </c>
      <c r="H56" s="66">
        <f t="shared" si="7"/>
        <v>363.84</v>
      </c>
      <c r="I56" s="66">
        <f t="shared" si="7"/>
        <v>356.53999999999996</v>
      </c>
      <c r="J56" s="66">
        <f t="shared" si="7"/>
        <v>355.34</v>
      </c>
      <c r="K56" s="66">
        <f t="shared" si="7"/>
        <v>353.74</v>
      </c>
      <c r="L56" s="66">
        <f t="shared" si="7"/>
        <v>354.24</v>
      </c>
      <c r="M56" s="66">
        <f t="shared" si="7"/>
        <v>350.84</v>
      </c>
      <c r="N56" s="66">
        <f t="shared" si="7"/>
        <v>248.73999999999998</v>
      </c>
      <c r="O56" s="66">
        <f t="shared" si="7"/>
        <v>390.43999999999994</v>
      </c>
      <c r="P56" s="66">
        <f t="shared" si="7"/>
        <v>405.23999999999995</v>
      </c>
      <c r="Q56" s="66">
        <f t="shared" si="7"/>
        <v>399.23999999999995</v>
      </c>
      <c r="R56" s="66">
        <f t="shared" si="7"/>
        <v>397.63999999999993</v>
      </c>
      <c r="S56" s="66">
        <f t="shared" si="7"/>
        <v>404.83999999999992</v>
      </c>
      <c r="T56" s="66">
        <f t="shared" si="7"/>
        <v>404.83999999999992</v>
      </c>
      <c r="U56" s="66">
        <f t="shared" si="7"/>
        <v>404.83999999999992</v>
      </c>
      <c r="V56" s="66">
        <f t="shared" si="7"/>
        <v>410.34</v>
      </c>
      <c r="W56" s="66">
        <f t="shared" si="7"/>
        <v>410.34</v>
      </c>
      <c r="X56" s="66">
        <f t="shared" si="7"/>
        <v>410.34</v>
      </c>
      <c r="Y56" s="66">
        <f t="shared" si="7"/>
        <v>411.53999999999996</v>
      </c>
      <c r="Z56" s="66">
        <f t="shared" si="7"/>
        <v>411.53999999999996</v>
      </c>
      <c r="AA56" s="66">
        <f t="shared" si="7"/>
        <v>424.14000000000004</v>
      </c>
      <c r="AB56" s="66">
        <f t="shared" si="7"/>
        <v>426.03999999999996</v>
      </c>
      <c r="AC56" s="66">
        <f t="shared" si="7"/>
        <v>424.34</v>
      </c>
      <c r="AD56" s="66">
        <f t="shared" si="7"/>
        <v>424.14</v>
      </c>
      <c r="AE56" s="66">
        <f t="shared" si="7"/>
        <v>423.84</v>
      </c>
      <c r="AF56" s="66">
        <f t="shared" si="7"/>
        <v>417.24</v>
      </c>
      <c r="AG56" s="143">
        <f t="shared" si="7"/>
        <v>489.91</v>
      </c>
      <c r="AH56" s="54">
        <f t="shared" si="2"/>
        <v>426.03999999999996</v>
      </c>
      <c r="AI56" s="55">
        <f t="shared" si="3"/>
        <v>248.73999999999998</v>
      </c>
      <c r="AK56" s="56"/>
    </row>
    <row r="57" spans="1:41" x14ac:dyDescent="0.25">
      <c r="A57" s="57" t="s">
        <v>37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14.6</v>
      </c>
      <c r="I57" s="50">
        <v>10</v>
      </c>
      <c r="J57" s="50">
        <v>10</v>
      </c>
      <c r="K57" s="50">
        <v>0</v>
      </c>
      <c r="L57" s="50">
        <v>24</v>
      </c>
      <c r="M57" s="50">
        <v>60</v>
      </c>
      <c r="N57" s="50">
        <v>60</v>
      </c>
      <c r="O57" s="50">
        <v>40</v>
      </c>
      <c r="P57" s="50">
        <v>60</v>
      </c>
      <c r="Q57" s="50">
        <v>35</v>
      </c>
      <c r="R57" s="50">
        <v>9.6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59.5</v>
      </c>
      <c r="AB57" s="50">
        <v>59.7</v>
      </c>
      <c r="AC57" s="50">
        <v>59.7</v>
      </c>
      <c r="AD57" s="50">
        <v>50</v>
      </c>
      <c r="AE57" s="50">
        <v>14</v>
      </c>
      <c r="AF57" s="50">
        <v>0</v>
      </c>
      <c r="AG57" s="135">
        <v>60</v>
      </c>
      <c r="AH57" s="54">
        <f t="shared" si="2"/>
        <v>60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5.5</v>
      </c>
      <c r="I58" s="48">
        <v>12</v>
      </c>
      <c r="J58" s="48">
        <v>4.0999999999999996</v>
      </c>
      <c r="K58" s="48">
        <v>0</v>
      </c>
      <c r="L58" s="48">
        <v>11</v>
      </c>
      <c r="M58" s="48">
        <v>30</v>
      </c>
      <c r="N58" s="48">
        <v>30</v>
      </c>
      <c r="O58" s="48">
        <v>17</v>
      </c>
      <c r="P58" s="48">
        <v>30</v>
      </c>
      <c r="Q58" s="48">
        <v>17.899999999999999</v>
      </c>
      <c r="R58" s="48">
        <v>3.4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29.8</v>
      </c>
      <c r="AB58" s="48">
        <v>30.1</v>
      </c>
      <c r="AC58" s="48">
        <v>30.9</v>
      </c>
      <c r="AD58" s="48">
        <v>25.3</v>
      </c>
      <c r="AE58" s="48">
        <v>11.6</v>
      </c>
      <c r="AF58" s="48">
        <v>0</v>
      </c>
      <c r="AG58" s="136">
        <v>32</v>
      </c>
      <c r="AH58" s="54">
        <f t="shared" si="2"/>
        <v>30.9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2</v>
      </c>
      <c r="I59" s="70">
        <v>4.5</v>
      </c>
      <c r="J59" s="70">
        <v>1.5</v>
      </c>
      <c r="K59" s="70">
        <v>0</v>
      </c>
      <c r="L59" s="70">
        <v>4.0999999999999996</v>
      </c>
      <c r="M59" s="70">
        <v>11</v>
      </c>
      <c r="N59" s="70">
        <v>11</v>
      </c>
      <c r="O59" s="70">
        <v>6.2</v>
      </c>
      <c r="P59" s="70">
        <v>10.7</v>
      </c>
      <c r="Q59" s="70">
        <v>6.5</v>
      </c>
      <c r="R59" s="70">
        <v>1.2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70">
        <v>10.9</v>
      </c>
      <c r="AB59" s="70">
        <v>11</v>
      </c>
      <c r="AC59" s="70">
        <v>11.3</v>
      </c>
      <c r="AD59" s="70">
        <v>9.1999999999999993</v>
      </c>
      <c r="AE59" s="70">
        <v>4.2</v>
      </c>
      <c r="AF59" s="70">
        <v>0</v>
      </c>
      <c r="AG59" s="137">
        <v>14</v>
      </c>
      <c r="AH59" s="54">
        <f t="shared" si="2"/>
        <v>11.3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v>33.700000000000003</v>
      </c>
      <c r="C60" s="66">
        <f t="shared" ref="C60:AG60" si="8">SUM(C57:C59)</f>
        <v>0</v>
      </c>
      <c r="D60" s="66">
        <f t="shared" si="8"/>
        <v>0</v>
      </c>
      <c r="E60" s="66">
        <f t="shared" si="8"/>
        <v>0</v>
      </c>
      <c r="F60" s="66">
        <f t="shared" si="8"/>
        <v>0</v>
      </c>
      <c r="G60" s="66">
        <f t="shared" si="8"/>
        <v>0</v>
      </c>
      <c r="H60" s="66">
        <f t="shared" si="8"/>
        <v>22.1</v>
      </c>
      <c r="I60" s="66">
        <f t="shared" si="8"/>
        <v>26.5</v>
      </c>
      <c r="J60" s="66">
        <f t="shared" si="8"/>
        <v>15.6</v>
      </c>
      <c r="K60" s="66">
        <f t="shared" si="8"/>
        <v>0</v>
      </c>
      <c r="L60" s="66">
        <f t="shared" si="8"/>
        <v>39.1</v>
      </c>
      <c r="M60" s="66">
        <f t="shared" si="8"/>
        <v>101</v>
      </c>
      <c r="N60" s="66">
        <f t="shared" si="8"/>
        <v>101</v>
      </c>
      <c r="O60" s="66">
        <f t="shared" si="8"/>
        <v>63.2</v>
      </c>
      <c r="P60" s="66">
        <f t="shared" si="8"/>
        <v>100.7</v>
      </c>
      <c r="Q60" s="66">
        <f t="shared" si="8"/>
        <v>59.4</v>
      </c>
      <c r="R60" s="66">
        <f t="shared" si="8"/>
        <v>14.2</v>
      </c>
      <c r="S60" s="66">
        <f t="shared" si="8"/>
        <v>0</v>
      </c>
      <c r="T60" s="66">
        <f t="shared" si="8"/>
        <v>0</v>
      </c>
      <c r="U60" s="66">
        <f t="shared" si="8"/>
        <v>0</v>
      </c>
      <c r="V60" s="66">
        <f t="shared" si="8"/>
        <v>0</v>
      </c>
      <c r="W60" s="66">
        <f t="shared" si="8"/>
        <v>0</v>
      </c>
      <c r="X60" s="66">
        <f t="shared" si="8"/>
        <v>0</v>
      </c>
      <c r="Y60" s="66">
        <f t="shared" si="8"/>
        <v>0</v>
      </c>
      <c r="Z60" s="66">
        <f t="shared" si="8"/>
        <v>0</v>
      </c>
      <c r="AA60" s="66">
        <f t="shared" si="8"/>
        <v>100.2</v>
      </c>
      <c r="AB60" s="66">
        <f t="shared" si="8"/>
        <v>100.80000000000001</v>
      </c>
      <c r="AC60" s="66">
        <f t="shared" si="8"/>
        <v>101.89999999999999</v>
      </c>
      <c r="AD60" s="66">
        <f t="shared" si="8"/>
        <v>84.5</v>
      </c>
      <c r="AE60" s="66">
        <f t="shared" si="8"/>
        <v>29.8</v>
      </c>
      <c r="AF60" s="66">
        <f t="shared" si="8"/>
        <v>0</v>
      </c>
      <c r="AG60" s="143">
        <f t="shared" si="8"/>
        <v>106</v>
      </c>
      <c r="AH60" s="54">
        <f t="shared" si="2"/>
        <v>101.89999999999999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35</v>
      </c>
      <c r="C61" s="50">
        <v>31.3</v>
      </c>
      <c r="D61" s="50">
        <v>30.2</v>
      </c>
      <c r="E61" s="50">
        <v>30.3</v>
      </c>
      <c r="F61" s="50">
        <v>28.2</v>
      </c>
      <c r="G61" s="50">
        <v>30</v>
      </c>
      <c r="H61" s="50">
        <v>19.100000000000001</v>
      </c>
      <c r="I61" s="50">
        <v>15.4</v>
      </c>
      <c r="J61" s="50">
        <v>0</v>
      </c>
      <c r="K61" s="50">
        <v>0</v>
      </c>
      <c r="L61" s="50">
        <v>0</v>
      </c>
      <c r="M61" s="50">
        <v>0</v>
      </c>
      <c r="N61" s="50">
        <v>43.2</v>
      </c>
      <c r="O61" s="50">
        <v>0</v>
      </c>
      <c r="P61" s="50">
        <v>15.2</v>
      </c>
      <c r="Q61" s="50">
        <v>32</v>
      </c>
      <c r="R61" s="50">
        <v>29.4</v>
      </c>
      <c r="S61" s="50">
        <v>42</v>
      </c>
      <c r="T61" s="50">
        <v>37</v>
      </c>
      <c r="U61" s="50">
        <v>8</v>
      </c>
      <c r="V61" s="50">
        <v>8</v>
      </c>
      <c r="W61" s="50">
        <v>6</v>
      </c>
      <c r="X61" s="50">
        <v>5</v>
      </c>
      <c r="Y61" s="50">
        <v>6</v>
      </c>
      <c r="Z61" s="50">
        <v>12</v>
      </c>
      <c r="AA61" s="50">
        <v>23.4</v>
      </c>
      <c r="AB61" s="50">
        <v>35</v>
      </c>
      <c r="AC61" s="50">
        <v>36.6</v>
      </c>
      <c r="AD61" s="50">
        <v>37.799999999999997</v>
      </c>
      <c r="AE61" s="50">
        <v>35.299999999999997</v>
      </c>
      <c r="AF61" s="50">
        <v>0</v>
      </c>
      <c r="AG61" s="135"/>
      <c r="AH61" s="54">
        <f t="shared" si="2"/>
        <v>43.2</v>
      </c>
      <c r="AI61" s="55">
        <f t="shared" si="3"/>
        <v>0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-350</v>
      </c>
      <c r="C63" s="48">
        <v>-249</v>
      </c>
      <c r="D63" s="48">
        <v>-283</v>
      </c>
      <c r="E63" s="48">
        <v>-315</v>
      </c>
      <c r="F63" s="48">
        <v>-280</v>
      </c>
      <c r="G63" s="48">
        <v>-290</v>
      </c>
      <c r="H63" s="48">
        <v>-300</v>
      </c>
      <c r="I63" s="48">
        <v>-340</v>
      </c>
      <c r="J63" s="48">
        <v>-375</v>
      </c>
      <c r="K63" s="48">
        <v>-350</v>
      </c>
      <c r="L63" s="48">
        <v>-355</v>
      </c>
      <c r="M63" s="48">
        <v>-311</v>
      </c>
      <c r="N63" s="48">
        <v>-324</v>
      </c>
      <c r="O63" s="48">
        <v>-370</v>
      </c>
      <c r="P63" s="48">
        <v>-350</v>
      </c>
      <c r="Q63" s="48">
        <v>-373</v>
      </c>
      <c r="R63" s="48">
        <v>-367</v>
      </c>
      <c r="S63" s="48">
        <v>-386</v>
      </c>
      <c r="T63" s="48">
        <v>-384</v>
      </c>
      <c r="U63" s="48">
        <v>-375</v>
      </c>
      <c r="V63" s="48">
        <v>-434</v>
      </c>
      <c r="W63" s="48">
        <v>-421</v>
      </c>
      <c r="X63" s="48">
        <v>-387</v>
      </c>
      <c r="Y63" s="48">
        <v>-401</v>
      </c>
      <c r="Z63" s="48">
        <v>-316</v>
      </c>
      <c r="AA63" s="48">
        <v>-340</v>
      </c>
      <c r="AB63" s="48">
        <v>-370.9</v>
      </c>
      <c r="AC63" s="48">
        <v>-353.1</v>
      </c>
      <c r="AD63" s="48">
        <v>-372.8</v>
      </c>
      <c r="AE63" s="48">
        <v>-387.5</v>
      </c>
      <c r="AF63" s="48">
        <v>-375</v>
      </c>
      <c r="AG63" s="140"/>
      <c r="AH63" s="54">
        <f t="shared" si="2"/>
        <v>-249</v>
      </c>
      <c r="AI63" s="55">
        <f t="shared" si="3"/>
        <v>-434</v>
      </c>
      <c r="AK63" s="56"/>
    </row>
    <row r="64" spans="1:41" x14ac:dyDescent="0.25">
      <c r="A64" s="60" t="s">
        <v>44</v>
      </c>
      <c r="B64" s="71">
        <v>0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140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8</v>
      </c>
      <c r="C66" s="72">
        <v>8</v>
      </c>
      <c r="D66" s="72">
        <v>8</v>
      </c>
      <c r="E66" s="72">
        <v>8</v>
      </c>
      <c r="F66" s="72">
        <v>8</v>
      </c>
      <c r="G66" s="72">
        <v>8</v>
      </c>
      <c r="H66" s="72">
        <v>8</v>
      </c>
      <c r="I66" s="72">
        <v>4</v>
      </c>
      <c r="J66" s="72">
        <v>4</v>
      </c>
      <c r="K66" s="72">
        <v>4</v>
      </c>
      <c r="L66" s="72">
        <v>4</v>
      </c>
      <c r="M66" s="72">
        <v>4</v>
      </c>
      <c r="N66" s="72">
        <v>4</v>
      </c>
      <c r="O66" s="72">
        <v>4</v>
      </c>
      <c r="P66" s="72">
        <v>4</v>
      </c>
      <c r="Q66" s="72">
        <v>4</v>
      </c>
      <c r="R66" s="72">
        <v>4</v>
      </c>
      <c r="S66" s="72">
        <v>4</v>
      </c>
      <c r="T66" s="72">
        <v>4</v>
      </c>
      <c r="U66" s="72">
        <v>4</v>
      </c>
      <c r="V66" s="72">
        <v>4</v>
      </c>
      <c r="W66" s="72">
        <v>4</v>
      </c>
      <c r="X66" s="72">
        <v>4</v>
      </c>
      <c r="Y66" s="72">
        <v>4</v>
      </c>
      <c r="Z66" s="72">
        <v>4</v>
      </c>
      <c r="AA66" s="72">
        <v>4</v>
      </c>
      <c r="AB66" s="72">
        <v>4</v>
      </c>
      <c r="AC66" s="72">
        <v>4</v>
      </c>
      <c r="AD66" s="72">
        <v>4</v>
      </c>
      <c r="AE66" s="72">
        <v>4</v>
      </c>
      <c r="AF66" s="72">
        <v>4</v>
      </c>
      <c r="AG66" s="140"/>
      <c r="AH66" s="54">
        <f t="shared" si="2"/>
        <v>8</v>
      </c>
      <c r="AI66" s="55">
        <f t="shared" si="3"/>
        <v>4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1">
        <v>0</v>
      </c>
      <c r="D68" s="71">
        <v>0</v>
      </c>
      <c r="E68" s="71">
        <v>0</v>
      </c>
      <c r="F68" s="71">
        <v>0</v>
      </c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1">
        <v>0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4">
        <v>0</v>
      </c>
      <c r="C70" s="74">
        <v>0</v>
      </c>
      <c r="D70" s="74">
        <v>0</v>
      </c>
      <c r="E70" s="74">
        <v>0</v>
      </c>
      <c r="F70" s="74">
        <v>0</v>
      </c>
      <c r="G70" s="74">
        <v>0</v>
      </c>
      <c r="H70" s="74">
        <v>0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4">
        <v>0</v>
      </c>
      <c r="C71" s="74">
        <v>0</v>
      </c>
      <c r="D71" s="74">
        <v>0</v>
      </c>
      <c r="E71" s="74">
        <v>0</v>
      </c>
      <c r="F71" s="74">
        <v>0</v>
      </c>
      <c r="G71" s="74">
        <v>0</v>
      </c>
      <c r="H71" s="74">
        <v>0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v>52.2</v>
      </c>
      <c r="C72" s="66">
        <f t="shared" ref="C72:L72" si="9">SUMIF(C61:C71,"&gt;0")</f>
        <v>39.299999999999997</v>
      </c>
      <c r="D72" s="66">
        <f t="shared" si="9"/>
        <v>38.200000000000003</v>
      </c>
      <c r="E72" s="66">
        <f t="shared" si="9"/>
        <v>38.299999999999997</v>
      </c>
      <c r="F72" s="66">
        <f t="shared" si="9"/>
        <v>36.200000000000003</v>
      </c>
      <c r="G72" s="66">
        <f t="shared" si="9"/>
        <v>38</v>
      </c>
      <c r="H72" s="66">
        <f t="shared" si="9"/>
        <v>27.1</v>
      </c>
      <c r="I72" s="66">
        <f t="shared" si="9"/>
        <v>19.399999999999999</v>
      </c>
      <c r="J72" s="66">
        <f t="shared" si="9"/>
        <v>4</v>
      </c>
      <c r="K72" s="66">
        <f t="shared" si="9"/>
        <v>4</v>
      </c>
      <c r="L72" s="66">
        <f t="shared" si="9"/>
        <v>4</v>
      </c>
      <c r="M72" s="66">
        <f>SUMIF(M61:M71,"&gt;0")</f>
        <v>4</v>
      </c>
      <c r="N72" s="66">
        <f t="shared" ref="N72:AF72" si="10">SUMIF(N61:N71,"&gt;0")</f>
        <v>47.2</v>
      </c>
      <c r="O72" s="66">
        <f t="shared" si="10"/>
        <v>4</v>
      </c>
      <c r="P72" s="66">
        <f t="shared" si="10"/>
        <v>19.2</v>
      </c>
      <c r="Q72" s="66">
        <f t="shared" si="10"/>
        <v>36</v>
      </c>
      <c r="R72" s="66">
        <f t="shared" si="10"/>
        <v>33.4</v>
      </c>
      <c r="S72" s="66">
        <f t="shared" si="10"/>
        <v>46</v>
      </c>
      <c r="T72" s="66">
        <f t="shared" si="10"/>
        <v>41</v>
      </c>
      <c r="U72" s="66">
        <f t="shared" si="10"/>
        <v>12</v>
      </c>
      <c r="V72" s="66">
        <f t="shared" si="10"/>
        <v>12</v>
      </c>
      <c r="W72" s="66">
        <f t="shared" si="10"/>
        <v>10</v>
      </c>
      <c r="X72" s="66">
        <f t="shared" ref="X72" si="11">SUMIF(X61:X71,"&gt;0")</f>
        <v>9</v>
      </c>
      <c r="Y72" s="66">
        <f t="shared" si="10"/>
        <v>10</v>
      </c>
      <c r="Z72" s="66">
        <f t="shared" si="10"/>
        <v>16</v>
      </c>
      <c r="AA72" s="66">
        <f t="shared" si="10"/>
        <v>27.4</v>
      </c>
      <c r="AB72" s="66">
        <f t="shared" si="10"/>
        <v>39</v>
      </c>
      <c r="AC72" s="66">
        <f t="shared" si="10"/>
        <v>40.6</v>
      </c>
      <c r="AD72" s="66">
        <f t="shared" si="10"/>
        <v>41.8</v>
      </c>
      <c r="AE72" s="66">
        <f t="shared" si="10"/>
        <v>39.299999999999997</v>
      </c>
      <c r="AF72" s="66">
        <f t="shared" si="10"/>
        <v>4</v>
      </c>
      <c r="AG72" s="138">
        <f>SUM(AG61:AG71)</f>
        <v>0</v>
      </c>
      <c r="AH72" s="54">
        <f t="shared" si="2"/>
        <v>52.2</v>
      </c>
      <c r="AI72" s="55">
        <f t="shared" si="3"/>
        <v>4</v>
      </c>
      <c r="AK72" s="56"/>
    </row>
    <row r="73" spans="1:88" x14ac:dyDescent="0.25">
      <c r="A73" s="57" t="s">
        <v>53</v>
      </c>
      <c r="B73" s="71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>
        <v>0</v>
      </c>
      <c r="C75" s="74">
        <v>0</v>
      </c>
      <c r="D75" s="74">
        <v>0</v>
      </c>
      <c r="E75" s="74">
        <v>0</v>
      </c>
      <c r="F75" s="74">
        <v>0</v>
      </c>
      <c r="G75" s="74">
        <v>0</v>
      </c>
      <c r="H75" s="74">
        <v>0</v>
      </c>
      <c r="I75" s="74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v>1787.34</v>
      </c>
      <c r="C77" s="75">
        <f t="shared" ref="C77:AF77" si="12">C38+C42+C60+C56+C72+C76</f>
        <v>1678.74</v>
      </c>
      <c r="D77" s="75">
        <f t="shared" si="12"/>
        <v>1696.8400000000001</v>
      </c>
      <c r="E77" s="75">
        <f t="shared" si="12"/>
        <v>1662.1399999999999</v>
      </c>
      <c r="F77" s="75">
        <f t="shared" si="12"/>
        <v>1636.1399999999999</v>
      </c>
      <c r="G77" s="75">
        <f t="shared" si="12"/>
        <v>1634.6399999999999</v>
      </c>
      <c r="H77" s="75">
        <f t="shared" si="12"/>
        <v>1619.1399999999996</v>
      </c>
      <c r="I77" s="75">
        <f t="shared" si="12"/>
        <v>1631.54</v>
      </c>
      <c r="J77" s="75">
        <f t="shared" si="12"/>
        <v>1609.0399999999997</v>
      </c>
      <c r="K77" s="75">
        <f t="shared" si="12"/>
        <v>1615.14</v>
      </c>
      <c r="L77" s="75">
        <f t="shared" si="12"/>
        <v>1654.74</v>
      </c>
      <c r="M77" s="75">
        <f t="shared" si="12"/>
        <v>1661.54</v>
      </c>
      <c r="N77" s="75">
        <f t="shared" si="12"/>
        <v>1617.64</v>
      </c>
      <c r="O77" s="75">
        <f t="shared" si="12"/>
        <v>1673.44</v>
      </c>
      <c r="P77" s="75">
        <f t="shared" si="12"/>
        <v>1704.3400000000001</v>
      </c>
      <c r="Q77" s="75">
        <f t="shared" si="12"/>
        <v>1724.5400000000002</v>
      </c>
      <c r="R77" s="75">
        <f t="shared" si="12"/>
        <v>1703.24</v>
      </c>
      <c r="S77" s="75">
        <f t="shared" si="12"/>
        <v>1696.34</v>
      </c>
      <c r="T77" s="75">
        <f t="shared" si="12"/>
        <v>1716.34</v>
      </c>
      <c r="U77" s="75">
        <f t="shared" si="12"/>
        <v>1687.34</v>
      </c>
      <c r="V77" s="75">
        <f t="shared" si="12"/>
        <v>1710.6399999999999</v>
      </c>
      <c r="W77" s="75">
        <f t="shared" si="12"/>
        <v>1739.84</v>
      </c>
      <c r="X77" s="75">
        <f t="shared" si="12"/>
        <v>1659.6399999999999</v>
      </c>
      <c r="Y77" s="75">
        <f t="shared" si="12"/>
        <v>1765.04</v>
      </c>
      <c r="Z77" s="75">
        <f t="shared" si="12"/>
        <v>1771.04</v>
      </c>
      <c r="AA77" s="75">
        <f t="shared" si="12"/>
        <v>1880.5400000000002</v>
      </c>
      <c r="AB77" s="75">
        <f t="shared" si="12"/>
        <v>1891.74</v>
      </c>
      <c r="AC77" s="75">
        <f t="shared" si="12"/>
        <v>1892.54</v>
      </c>
      <c r="AD77" s="75">
        <f t="shared" si="12"/>
        <v>1876.64</v>
      </c>
      <c r="AE77" s="75">
        <f t="shared" si="12"/>
        <v>1814.9399999999998</v>
      </c>
      <c r="AF77" s="75">
        <f t="shared" si="12"/>
        <v>1743.34</v>
      </c>
      <c r="AG77" s="143">
        <f>AG38+AG42+AG60+AG56+AG72+AG76</f>
        <v>1855.1900000000003</v>
      </c>
      <c r="AH77" s="54">
        <f t="shared" si="2"/>
        <v>1892.54</v>
      </c>
      <c r="AI77" s="55">
        <f t="shared" si="3"/>
        <v>1609.0399999999997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>
        <v>40</v>
      </c>
      <c r="L78" s="77"/>
      <c r="M78" s="77"/>
      <c r="N78" s="77"/>
      <c r="O78" s="77"/>
      <c r="P78" s="77"/>
      <c r="Q78" s="77">
        <v>35</v>
      </c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40</v>
      </c>
      <c r="AI78" s="55">
        <f t="shared" si="3"/>
        <v>35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v>1787.34</v>
      </c>
      <c r="C79" s="75">
        <f t="shared" ref="C79:AF79" si="13">C77+C78</f>
        <v>1678.74</v>
      </c>
      <c r="D79" s="75">
        <f t="shared" si="13"/>
        <v>1696.8400000000001</v>
      </c>
      <c r="E79" s="75">
        <f t="shared" si="13"/>
        <v>1662.1399999999999</v>
      </c>
      <c r="F79" s="75">
        <f t="shared" si="13"/>
        <v>1636.1399999999999</v>
      </c>
      <c r="G79" s="75">
        <f t="shared" si="13"/>
        <v>1634.6399999999999</v>
      </c>
      <c r="H79" s="75">
        <f t="shared" si="13"/>
        <v>1619.1399999999996</v>
      </c>
      <c r="I79" s="75">
        <f t="shared" si="13"/>
        <v>1631.54</v>
      </c>
      <c r="J79" s="75">
        <f t="shared" si="13"/>
        <v>1609.0399999999997</v>
      </c>
      <c r="K79" s="75">
        <f t="shared" si="13"/>
        <v>1655.14</v>
      </c>
      <c r="L79" s="75">
        <f t="shared" si="13"/>
        <v>1654.74</v>
      </c>
      <c r="M79" s="75">
        <f t="shared" si="13"/>
        <v>1661.54</v>
      </c>
      <c r="N79" s="75">
        <f t="shared" si="13"/>
        <v>1617.64</v>
      </c>
      <c r="O79" s="75">
        <f t="shared" si="13"/>
        <v>1673.44</v>
      </c>
      <c r="P79" s="75">
        <f t="shared" si="13"/>
        <v>1704.3400000000001</v>
      </c>
      <c r="Q79" s="75">
        <f t="shared" si="13"/>
        <v>1759.5400000000002</v>
      </c>
      <c r="R79" s="75">
        <f t="shared" si="13"/>
        <v>1703.24</v>
      </c>
      <c r="S79" s="75">
        <f t="shared" si="13"/>
        <v>1696.34</v>
      </c>
      <c r="T79" s="75">
        <f t="shared" si="13"/>
        <v>1716.34</v>
      </c>
      <c r="U79" s="75">
        <f t="shared" si="13"/>
        <v>1687.34</v>
      </c>
      <c r="V79" s="75">
        <f t="shared" si="13"/>
        <v>1710.6399999999999</v>
      </c>
      <c r="W79" s="75">
        <f t="shared" si="13"/>
        <v>1739.84</v>
      </c>
      <c r="X79" s="75">
        <f t="shared" si="13"/>
        <v>1659.6399999999999</v>
      </c>
      <c r="Y79" s="75">
        <f t="shared" si="13"/>
        <v>1765.04</v>
      </c>
      <c r="Z79" s="75">
        <f t="shared" si="13"/>
        <v>1771.04</v>
      </c>
      <c r="AA79" s="75">
        <f t="shared" si="13"/>
        <v>1880.5400000000002</v>
      </c>
      <c r="AB79" s="75">
        <f t="shared" si="13"/>
        <v>1891.74</v>
      </c>
      <c r="AC79" s="75">
        <f t="shared" si="13"/>
        <v>1892.54</v>
      </c>
      <c r="AD79" s="75">
        <f t="shared" si="13"/>
        <v>1876.64</v>
      </c>
      <c r="AE79" s="75">
        <f t="shared" si="13"/>
        <v>1814.9399999999998</v>
      </c>
      <c r="AF79" s="75">
        <f t="shared" si="13"/>
        <v>1743.34</v>
      </c>
      <c r="AG79" s="138">
        <f>AG76+AG72+AG60+AG56+AG38+AG78</f>
        <v>1317.0900000000001</v>
      </c>
      <c r="AH79" s="54">
        <f t="shared" si="2"/>
        <v>1892.54</v>
      </c>
      <c r="AI79" s="55">
        <f t="shared" si="3"/>
        <v>1609.0399999999997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v>1472.34</v>
      </c>
      <c r="C80" s="75">
        <f t="shared" ref="C80:AF80" si="14">C79-C87</f>
        <v>1429.74</v>
      </c>
      <c r="D80" s="75">
        <f t="shared" si="14"/>
        <v>1413.8400000000001</v>
      </c>
      <c r="E80" s="75">
        <f t="shared" si="14"/>
        <v>1347.1399999999999</v>
      </c>
      <c r="F80" s="75">
        <f t="shared" si="14"/>
        <v>1356.1399999999999</v>
      </c>
      <c r="G80" s="75">
        <f t="shared" si="14"/>
        <v>1344.6399999999999</v>
      </c>
      <c r="H80" s="75">
        <f t="shared" si="14"/>
        <v>1319.1399999999996</v>
      </c>
      <c r="I80" s="75">
        <f t="shared" si="14"/>
        <v>1291.54</v>
      </c>
      <c r="J80" s="75">
        <f t="shared" si="14"/>
        <v>1234.0399999999997</v>
      </c>
      <c r="K80" s="75">
        <f t="shared" si="14"/>
        <v>1305.1400000000001</v>
      </c>
      <c r="L80" s="75">
        <f t="shared" si="14"/>
        <v>1299.74</v>
      </c>
      <c r="M80" s="75">
        <f t="shared" si="14"/>
        <v>1350.54</v>
      </c>
      <c r="N80" s="75">
        <f t="shared" si="14"/>
        <v>1293.6400000000001</v>
      </c>
      <c r="O80" s="75">
        <f t="shared" si="14"/>
        <v>1303.44</v>
      </c>
      <c r="P80" s="75">
        <f t="shared" si="14"/>
        <v>1354.3400000000001</v>
      </c>
      <c r="Q80" s="75">
        <f t="shared" si="14"/>
        <v>1386.5400000000002</v>
      </c>
      <c r="R80" s="75">
        <f t="shared" si="14"/>
        <v>1336.24</v>
      </c>
      <c r="S80" s="75">
        <f t="shared" si="14"/>
        <v>1310.3399999999999</v>
      </c>
      <c r="T80" s="75">
        <f t="shared" si="14"/>
        <v>1332.34</v>
      </c>
      <c r="U80" s="75">
        <f t="shared" si="14"/>
        <v>1312.34</v>
      </c>
      <c r="V80" s="75">
        <f t="shared" si="14"/>
        <v>1276.6399999999999</v>
      </c>
      <c r="W80" s="75">
        <f t="shared" si="14"/>
        <v>1318.84</v>
      </c>
      <c r="X80" s="75">
        <f t="shared" si="14"/>
        <v>1272.6399999999999</v>
      </c>
      <c r="Y80" s="75">
        <f t="shared" si="14"/>
        <v>1364.04</v>
      </c>
      <c r="Z80" s="75">
        <f t="shared" si="14"/>
        <v>1455.04</v>
      </c>
      <c r="AA80" s="75">
        <f t="shared" si="14"/>
        <v>1540.5400000000002</v>
      </c>
      <c r="AB80" s="75">
        <f t="shared" si="14"/>
        <v>1520.8400000000001</v>
      </c>
      <c r="AC80" s="75">
        <f t="shared" si="14"/>
        <v>1539.44</v>
      </c>
      <c r="AD80" s="75">
        <f t="shared" si="14"/>
        <v>1503.8400000000001</v>
      </c>
      <c r="AE80" s="75">
        <f t="shared" si="14"/>
        <v>1427.4399999999998</v>
      </c>
      <c r="AF80" s="75">
        <f t="shared" si="14"/>
        <v>1368.34</v>
      </c>
      <c r="AG80" s="138"/>
      <c r="AH80" s="54">
        <f t="shared" ref="AH80:AH97" si="15">MAX(B80:AF80)</f>
        <v>1540.5400000000002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v>0</v>
      </c>
      <c r="C81" s="71">
        <f t="shared" ref="C81:AF81" si="16">IF(C64&lt;0,C64*-1,0)</f>
        <v>0</v>
      </c>
      <c r="D81" s="71">
        <f t="shared" si="16"/>
        <v>0</v>
      </c>
      <c r="E81" s="71">
        <f t="shared" si="16"/>
        <v>0</v>
      </c>
      <c r="F81" s="71">
        <f t="shared" si="16"/>
        <v>0</v>
      </c>
      <c r="G81" s="71">
        <f t="shared" si="16"/>
        <v>0</v>
      </c>
      <c r="H81" s="71">
        <f t="shared" si="16"/>
        <v>0</v>
      </c>
      <c r="I81" s="71">
        <f t="shared" si="16"/>
        <v>0</v>
      </c>
      <c r="J81" s="71">
        <f t="shared" si="16"/>
        <v>0</v>
      </c>
      <c r="K81" s="71">
        <f t="shared" si="16"/>
        <v>0</v>
      </c>
      <c r="L81" s="71">
        <f t="shared" si="16"/>
        <v>0</v>
      </c>
      <c r="M81" s="71">
        <f t="shared" si="16"/>
        <v>0</v>
      </c>
      <c r="N81" s="71">
        <f t="shared" si="16"/>
        <v>0</v>
      </c>
      <c r="O81" s="71">
        <f t="shared" si="16"/>
        <v>0</v>
      </c>
      <c r="P81" s="71">
        <f t="shared" si="16"/>
        <v>0</v>
      </c>
      <c r="Q81" s="71">
        <f t="shared" si="16"/>
        <v>0</v>
      </c>
      <c r="R81" s="71">
        <f t="shared" si="16"/>
        <v>0</v>
      </c>
      <c r="S81" s="71">
        <f t="shared" si="16"/>
        <v>0</v>
      </c>
      <c r="T81" s="71">
        <f t="shared" si="16"/>
        <v>0</v>
      </c>
      <c r="U81" s="71">
        <f t="shared" si="16"/>
        <v>0</v>
      </c>
      <c r="V81" s="71">
        <f t="shared" si="16"/>
        <v>0</v>
      </c>
      <c r="W81" s="71">
        <f t="shared" si="16"/>
        <v>0</v>
      </c>
      <c r="X81" s="71">
        <f t="shared" si="16"/>
        <v>0</v>
      </c>
      <c r="Y81" s="71">
        <f t="shared" si="16"/>
        <v>0</v>
      </c>
      <c r="Z81" s="71">
        <f t="shared" si="16"/>
        <v>0</v>
      </c>
      <c r="AA81" s="71">
        <f t="shared" si="16"/>
        <v>0</v>
      </c>
      <c r="AB81" s="71">
        <f t="shared" si="16"/>
        <v>0</v>
      </c>
      <c r="AC81" s="71">
        <f t="shared" si="16"/>
        <v>0</v>
      </c>
      <c r="AD81" s="71">
        <f t="shared" si="16"/>
        <v>0</v>
      </c>
      <c r="AE81" s="71">
        <f t="shared" si="16"/>
        <v>0</v>
      </c>
      <c r="AF81" s="71">
        <f t="shared" si="16"/>
        <v>0</v>
      </c>
      <c r="AG81" s="135"/>
      <c r="AH81" s="54">
        <f t="shared" si="15"/>
        <v>0</v>
      </c>
      <c r="AI81" s="55">
        <f t="shared" ref="AI81:AI97" si="17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v>0</v>
      </c>
      <c r="C82" s="71">
        <f t="shared" ref="C82:AF82" si="18">IF(C62&lt;0,C62*-1,0)</f>
        <v>0</v>
      </c>
      <c r="D82" s="71">
        <f t="shared" si="18"/>
        <v>0</v>
      </c>
      <c r="E82" s="71">
        <f t="shared" si="18"/>
        <v>0</v>
      </c>
      <c r="F82" s="71">
        <f t="shared" si="18"/>
        <v>0</v>
      </c>
      <c r="G82" s="71">
        <f t="shared" si="18"/>
        <v>0</v>
      </c>
      <c r="H82" s="71">
        <f t="shared" si="18"/>
        <v>0</v>
      </c>
      <c r="I82" s="71">
        <f t="shared" si="18"/>
        <v>0</v>
      </c>
      <c r="J82" s="71">
        <f t="shared" si="18"/>
        <v>0</v>
      </c>
      <c r="K82" s="71">
        <f t="shared" si="18"/>
        <v>0</v>
      </c>
      <c r="L82" s="71">
        <f t="shared" si="18"/>
        <v>0</v>
      </c>
      <c r="M82" s="71">
        <f t="shared" si="18"/>
        <v>0</v>
      </c>
      <c r="N82" s="71">
        <f t="shared" si="18"/>
        <v>0</v>
      </c>
      <c r="O82" s="71">
        <f t="shared" si="18"/>
        <v>0</v>
      </c>
      <c r="P82" s="71">
        <f t="shared" si="18"/>
        <v>0</v>
      </c>
      <c r="Q82" s="71">
        <f t="shared" si="18"/>
        <v>0</v>
      </c>
      <c r="R82" s="71">
        <f t="shared" si="18"/>
        <v>0</v>
      </c>
      <c r="S82" s="71">
        <f t="shared" si="18"/>
        <v>0</v>
      </c>
      <c r="T82" s="71">
        <f t="shared" si="18"/>
        <v>0</v>
      </c>
      <c r="U82" s="71">
        <f t="shared" si="18"/>
        <v>0</v>
      </c>
      <c r="V82" s="71">
        <f t="shared" si="18"/>
        <v>0</v>
      </c>
      <c r="W82" s="71">
        <f t="shared" si="18"/>
        <v>0</v>
      </c>
      <c r="X82" s="71">
        <f t="shared" si="18"/>
        <v>0</v>
      </c>
      <c r="Y82" s="71">
        <f t="shared" si="18"/>
        <v>0</v>
      </c>
      <c r="Z82" s="71">
        <f t="shared" si="18"/>
        <v>0</v>
      </c>
      <c r="AA82" s="71">
        <f t="shared" si="18"/>
        <v>0</v>
      </c>
      <c r="AB82" s="71">
        <f t="shared" si="18"/>
        <v>0</v>
      </c>
      <c r="AC82" s="71">
        <f t="shared" si="18"/>
        <v>0</v>
      </c>
      <c r="AD82" s="71">
        <f t="shared" si="18"/>
        <v>0</v>
      </c>
      <c r="AE82" s="71">
        <f t="shared" si="18"/>
        <v>0</v>
      </c>
      <c r="AF82" s="71">
        <f t="shared" si="18"/>
        <v>0</v>
      </c>
      <c r="AG82" s="136"/>
      <c r="AH82" s="54">
        <f t="shared" si="15"/>
        <v>0</v>
      </c>
      <c r="AI82" s="55">
        <f t="shared" si="17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v>0</v>
      </c>
      <c r="C83" s="71">
        <f t="shared" ref="C83:AF83" si="19">IF(C65&lt;0,C65*-1,0)</f>
        <v>0</v>
      </c>
      <c r="D83" s="71">
        <f t="shared" si="19"/>
        <v>0</v>
      </c>
      <c r="E83" s="71">
        <f t="shared" si="19"/>
        <v>0</v>
      </c>
      <c r="F83" s="71">
        <f t="shared" si="19"/>
        <v>0</v>
      </c>
      <c r="G83" s="71">
        <f t="shared" si="19"/>
        <v>0</v>
      </c>
      <c r="H83" s="71">
        <f t="shared" si="19"/>
        <v>0</v>
      </c>
      <c r="I83" s="71">
        <f t="shared" si="19"/>
        <v>0</v>
      </c>
      <c r="J83" s="71">
        <f t="shared" si="19"/>
        <v>0</v>
      </c>
      <c r="K83" s="71">
        <f t="shared" si="19"/>
        <v>0</v>
      </c>
      <c r="L83" s="71">
        <f t="shared" si="19"/>
        <v>0</v>
      </c>
      <c r="M83" s="71">
        <f t="shared" si="19"/>
        <v>0</v>
      </c>
      <c r="N83" s="71">
        <f t="shared" si="19"/>
        <v>0</v>
      </c>
      <c r="O83" s="71">
        <f t="shared" si="19"/>
        <v>0</v>
      </c>
      <c r="P83" s="71">
        <f t="shared" si="19"/>
        <v>0</v>
      </c>
      <c r="Q83" s="71">
        <f t="shared" si="19"/>
        <v>0</v>
      </c>
      <c r="R83" s="71">
        <f t="shared" si="19"/>
        <v>0</v>
      </c>
      <c r="S83" s="71">
        <f t="shared" si="19"/>
        <v>0</v>
      </c>
      <c r="T83" s="71">
        <f t="shared" si="19"/>
        <v>0</v>
      </c>
      <c r="U83" s="71">
        <f t="shared" si="19"/>
        <v>0</v>
      </c>
      <c r="V83" s="71">
        <f t="shared" si="19"/>
        <v>0</v>
      </c>
      <c r="W83" s="71">
        <f t="shared" si="19"/>
        <v>0</v>
      </c>
      <c r="X83" s="71">
        <f t="shared" si="19"/>
        <v>0</v>
      </c>
      <c r="Y83" s="71">
        <f t="shared" si="19"/>
        <v>0</v>
      </c>
      <c r="Z83" s="71">
        <f t="shared" si="19"/>
        <v>0</v>
      </c>
      <c r="AA83" s="71">
        <f t="shared" si="19"/>
        <v>0</v>
      </c>
      <c r="AB83" s="71">
        <f t="shared" si="19"/>
        <v>0</v>
      </c>
      <c r="AC83" s="71">
        <f t="shared" si="19"/>
        <v>0</v>
      </c>
      <c r="AD83" s="71">
        <f t="shared" si="19"/>
        <v>0</v>
      </c>
      <c r="AE83" s="71">
        <f t="shared" si="19"/>
        <v>0</v>
      </c>
      <c r="AF83" s="71">
        <f t="shared" si="19"/>
        <v>0</v>
      </c>
      <c r="AG83" s="144"/>
      <c r="AH83" s="54">
        <f t="shared" si="15"/>
        <v>0</v>
      </c>
      <c r="AI83" s="55">
        <f t="shared" si="17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v>315</v>
      </c>
      <c r="C84" s="71">
        <f t="shared" ref="C84:AF84" si="20">IF(C63&lt;0,C63*-1,0)</f>
        <v>249</v>
      </c>
      <c r="D84" s="71">
        <f t="shared" si="20"/>
        <v>283</v>
      </c>
      <c r="E84" s="71">
        <f t="shared" si="20"/>
        <v>315</v>
      </c>
      <c r="F84" s="71">
        <f t="shared" si="20"/>
        <v>280</v>
      </c>
      <c r="G84" s="71">
        <f t="shared" si="20"/>
        <v>290</v>
      </c>
      <c r="H84" s="71">
        <f t="shared" si="20"/>
        <v>300</v>
      </c>
      <c r="I84" s="71">
        <f t="shared" si="20"/>
        <v>340</v>
      </c>
      <c r="J84" s="71">
        <f t="shared" si="20"/>
        <v>375</v>
      </c>
      <c r="K84" s="71">
        <f t="shared" si="20"/>
        <v>350</v>
      </c>
      <c r="L84" s="71">
        <f t="shared" si="20"/>
        <v>355</v>
      </c>
      <c r="M84" s="71">
        <f t="shared" si="20"/>
        <v>311</v>
      </c>
      <c r="N84" s="71">
        <f t="shared" si="20"/>
        <v>324</v>
      </c>
      <c r="O84" s="71">
        <f t="shared" si="20"/>
        <v>370</v>
      </c>
      <c r="P84" s="71">
        <f t="shared" si="20"/>
        <v>350</v>
      </c>
      <c r="Q84" s="71">
        <f t="shared" si="20"/>
        <v>373</v>
      </c>
      <c r="R84" s="71">
        <f t="shared" si="20"/>
        <v>367</v>
      </c>
      <c r="S84" s="71">
        <f t="shared" si="20"/>
        <v>386</v>
      </c>
      <c r="T84" s="71">
        <f t="shared" si="20"/>
        <v>384</v>
      </c>
      <c r="U84" s="71">
        <f t="shared" si="20"/>
        <v>375</v>
      </c>
      <c r="V84" s="71">
        <f t="shared" si="20"/>
        <v>434</v>
      </c>
      <c r="W84" s="71">
        <f t="shared" si="20"/>
        <v>421</v>
      </c>
      <c r="X84" s="71">
        <f t="shared" si="20"/>
        <v>387</v>
      </c>
      <c r="Y84" s="71">
        <f t="shared" si="20"/>
        <v>401</v>
      </c>
      <c r="Z84" s="71">
        <f t="shared" si="20"/>
        <v>316</v>
      </c>
      <c r="AA84" s="71">
        <f t="shared" si="20"/>
        <v>340</v>
      </c>
      <c r="AB84" s="71">
        <f t="shared" si="20"/>
        <v>370.9</v>
      </c>
      <c r="AC84" s="71">
        <f t="shared" si="20"/>
        <v>353.1</v>
      </c>
      <c r="AD84" s="71">
        <f t="shared" si="20"/>
        <v>372.8</v>
      </c>
      <c r="AE84" s="71">
        <f t="shared" si="20"/>
        <v>387.5</v>
      </c>
      <c r="AF84" s="71">
        <f t="shared" si="20"/>
        <v>375</v>
      </c>
      <c r="AG84" s="144"/>
      <c r="AH84" s="54">
        <f t="shared" si="15"/>
        <v>434</v>
      </c>
      <c r="AI84" s="55">
        <f t="shared" si="17"/>
        <v>249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v>0</v>
      </c>
      <c r="C85" s="71">
        <f t="shared" ref="C85:AF85" si="21">IF(C61&lt;0,C61*-1,0)</f>
        <v>0</v>
      </c>
      <c r="D85" s="71">
        <f t="shared" si="21"/>
        <v>0</v>
      </c>
      <c r="E85" s="71">
        <f t="shared" si="21"/>
        <v>0</v>
      </c>
      <c r="F85" s="71">
        <f t="shared" si="21"/>
        <v>0</v>
      </c>
      <c r="G85" s="71">
        <f t="shared" si="21"/>
        <v>0</v>
      </c>
      <c r="H85" s="71">
        <f t="shared" si="21"/>
        <v>0</v>
      </c>
      <c r="I85" s="71">
        <f t="shared" si="21"/>
        <v>0</v>
      </c>
      <c r="J85" s="71">
        <f t="shared" si="21"/>
        <v>0</v>
      </c>
      <c r="K85" s="71">
        <f t="shared" si="21"/>
        <v>0</v>
      </c>
      <c r="L85" s="71">
        <f t="shared" si="21"/>
        <v>0</v>
      </c>
      <c r="M85" s="71">
        <f t="shared" si="21"/>
        <v>0</v>
      </c>
      <c r="N85" s="71">
        <f t="shared" si="21"/>
        <v>0</v>
      </c>
      <c r="O85" s="71">
        <f t="shared" si="21"/>
        <v>0</v>
      </c>
      <c r="P85" s="71">
        <f t="shared" si="21"/>
        <v>0</v>
      </c>
      <c r="Q85" s="71">
        <f t="shared" si="21"/>
        <v>0</v>
      </c>
      <c r="R85" s="71">
        <f t="shared" si="21"/>
        <v>0</v>
      </c>
      <c r="S85" s="71">
        <f t="shared" si="21"/>
        <v>0</v>
      </c>
      <c r="T85" s="71">
        <f t="shared" si="21"/>
        <v>0</v>
      </c>
      <c r="U85" s="71">
        <f t="shared" si="21"/>
        <v>0</v>
      </c>
      <c r="V85" s="71">
        <f t="shared" si="21"/>
        <v>0</v>
      </c>
      <c r="W85" s="71">
        <f t="shared" si="21"/>
        <v>0</v>
      </c>
      <c r="X85" s="71">
        <f t="shared" si="21"/>
        <v>0</v>
      </c>
      <c r="Y85" s="71">
        <f t="shared" si="21"/>
        <v>0</v>
      </c>
      <c r="Z85" s="71">
        <f t="shared" si="21"/>
        <v>0</v>
      </c>
      <c r="AA85" s="71">
        <f t="shared" si="21"/>
        <v>0</v>
      </c>
      <c r="AB85" s="71">
        <f t="shared" si="21"/>
        <v>0</v>
      </c>
      <c r="AC85" s="71">
        <f t="shared" si="21"/>
        <v>0</v>
      </c>
      <c r="AD85" s="71">
        <f t="shared" si="21"/>
        <v>0</v>
      </c>
      <c r="AE85" s="71">
        <f t="shared" si="21"/>
        <v>0</v>
      </c>
      <c r="AF85" s="71">
        <f t="shared" si="21"/>
        <v>0</v>
      </c>
      <c r="AG85" s="144"/>
      <c r="AH85" s="54">
        <f t="shared" si="15"/>
        <v>0</v>
      </c>
      <c r="AI85" s="55">
        <f t="shared" si="17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/>
      <c r="AD86" s="74"/>
      <c r="AE86" s="74"/>
      <c r="AF86" s="74"/>
      <c r="AG86" s="141"/>
      <c r="AH86" s="54">
        <f t="shared" si="15"/>
        <v>0</v>
      </c>
      <c r="AI86" s="55">
        <f t="shared" si="17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v>315</v>
      </c>
      <c r="C87" s="66">
        <f t="shared" ref="C87:AF87" si="22">SUM(C81:C86)</f>
        <v>249</v>
      </c>
      <c r="D87" s="66">
        <f t="shared" si="22"/>
        <v>283</v>
      </c>
      <c r="E87" s="66">
        <f t="shared" si="22"/>
        <v>315</v>
      </c>
      <c r="F87" s="66">
        <f t="shared" si="22"/>
        <v>280</v>
      </c>
      <c r="G87" s="66">
        <f t="shared" si="22"/>
        <v>290</v>
      </c>
      <c r="H87" s="66">
        <f t="shared" si="22"/>
        <v>300</v>
      </c>
      <c r="I87" s="66">
        <f t="shared" si="22"/>
        <v>340</v>
      </c>
      <c r="J87" s="66">
        <f t="shared" si="22"/>
        <v>375</v>
      </c>
      <c r="K87" s="66">
        <f t="shared" si="22"/>
        <v>350</v>
      </c>
      <c r="L87" s="66">
        <f t="shared" si="22"/>
        <v>355</v>
      </c>
      <c r="M87" s="66">
        <f t="shared" si="22"/>
        <v>311</v>
      </c>
      <c r="N87" s="66">
        <f t="shared" si="22"/>
        <v>324</v>
      </c>
      <c r="O87" s="66">
        <f t="shared" si="22"/>
        <v>370</v>
      </c>
      <c r="P87" s="66">
        <f t="shared" si="22"/>
        <v>350</v>
      </c>
      <c r="Q87" s="66">
        <f t="shared" si="22"/>
        <v>373</v>
      </c>
      <c r="R87" s="66">
        <f t="shared" si="22"/>
        <v>367</v>
      </c>
      <c r="S87" s="66">
        <f t="shared" si="22"/>
        <v>386</v>
      </c>
      <c r="T87" s="66">
        <f t="shared" si="22"/>
        <v>384</v>
      </c>
      <c r="U87" s="66">
        <f t="shared" si="22"/>
        <v>375</v>
      </c>
      <c r="V87" s="66">
        <f t="shared" si="22"/>
        <v>434</v>
      </c>
      <c r="W87" s="66">
        <f t="shared" si="22"/>
        <v>421</v>
      </c>
      <c r="X87" s="66">
        <f t="shared" si="22"/>
        <v>387</v>
      </c>
      <c r="Y87" s="66">
        <f t="shared" si="22"/>
        <v>401</v>
      </c>
      <c r="Z87" s="66">
        <f t="shared" si="22"/>
        <v>316</v>
      </c>
      <c r="AA87" s="66">
        <f t="shared" si="22"/>
        <v>340</v>
      </c>
      <c r="AB87" s="66">
        <f t="shared" si="22"/>
        <v>370.9</v>
      </c>
      <c r="AC87" s="66">
        <f t="shared" si="22"/>
        <v>353.1</v>
      </c>
      <c r="AD87" s="66">
        <f t="shared" si="22"/>
        <v>372.8</v>
      </c>
      <c r="AE87" s="66">
        <f t="shared" si="22"/>
        <v>387.5</v>
      </c>
      <c r="AF87" s="66">
        <f t="shared" si="22"/>
        <v>375</v>
      </c>
      <c r="AG87" s="138"/>
      <c r="AH87" s="54">
        <f t="shared" si="15"/>
        <v>434</v>
      </c>
      <c r="AI87" s="55">
        <f t="shared" si="17"/>
        <v>249</v>
      </c>
      <c r="AK87" s="56"/>
    </row>
    <row r="88" spans="1:88" s="1" customFormat="1" ht="15.75" thickBot="1" x14ac:dyDescent="0.3">
      <c r="A88" s="65" t="s">
        <v>64</v>
      </c>
      <c r="B88" s="66">
        <v>-262.8</v>
      </c>
      <c r="C88" s="66">
        <f t="shared" ref="C88:AF88" si="23">C72-C87</f>
        <v>-209.7</v>
      </c>
      <c r="D88" s="66">
        <f t="shared" si="23"/>
        <v>-244.8</v>
      </c>
      <c r="E88" s="66">
        <f t="shared" si="23"/>
        <v>-276.7</v>
      </c>
      <c r="F88" s="66">
        <f t="shared" si="23"/>
        <v>-243.8</v>
      </c>
      <c r="G88" s="66">
        <f t="shared" si="23"/>
        <v>-252</v>
      </c>
      <c r="H88" s="66">
        <f t="shared" si="23"/>
        <v>-272.89999999999998</v>
      </c>
      <c r="I88" s="66">
        <f t="shared" si="23"/>
        <v>-320.60000000000002</v>
      </c>
      <c r="J88" s="66">
        <f t="shared" si="23"/>
        <v>-371</v>
      </c>
      <c r="K88" s="66">
        <f t="shared" si="23"/>
        <v>-346</v>
      </c>
      <c r="L88" s="66">
        <f t="shared" si="23"/>
        <v>-351</v>
      </c>
      <c r="M88" s="66">
        <f t="shared" si="23"/>
        <v>-307</v>
      </c>
      <c r="N88" s="66">
        <f t="shared" si="23"/>
        <v>-276.8</v>
      </c>
      <c r="O88" s="66">
        <f t="shared" si="23"/>
        <v>-366</v>
      </c>
      <c r="P88" s="66">
        <f t="shared" si="23"/>
        <v>-330.8</v>
      </c>
      <c r="Q88" s="66">
        <f t="shared" si="23"/>
        <v>-337</v>
      </c>
      <c r="R88" s="66">
        <f t="shared" si="23"/>
        <v>-333.6</v>
      </c>
      <c r="S88" s="66">
        <f t="shared" si="23"/>
        <v>-340</v>
      </c>
      <c r="T88" s="66">
        <f t="shared" si="23"/>
        <v>-343</v>
      </c>
      <c r="U88" s="66">
        <f t="shared" si="23"/>
        <v>-363</v>
      </c>
      <c r="V88" s="66">
        <f t="shared" si="23"/>
        <v>-422</v>
      </c>
      <c r="W88" s="66">
        <f t="shared" si="23"/>
        <v>-411</v>
      </c>
      <c r="X88" s="66">
        <f t="shared" si="23"/>
        <v>-378</v>
      </c>
      <c r="Y88" s="66">
        <f t="shared" si="23"/>
        <v>-391</v>
      </c>
      <c r="Z88" s="66">
        <f t="shared" si="23"/>
        <v>-300</v>
      </c>
      <c r="AA88" s="66">
        <f t="shared" si="23"/>
        <v>-312.60000000000002</v>
      </c>
      <c r="AB88" s="66">
        <f t="shared" si="23"/>
        <v>-331.9</v>
      </c>
      <c r="AC88" s="66">
        <f t="shared" si="23"/>
        <v>-312.5</v>
      </c>
      <c r="AD88" s="66">
        <f t="shared" si="23"/>
        <v>-331</v>
      </c>
      <c r="AE88" s="66">
        <f t="shared" si="23"/>
        <v>-348.2</v>
      </c>
      <c r="AF88" s="66">
        <f t="shared" si="23"/>
        <v>-371</v>
      </c>
      <c r="AG88" s="138"/>
      <c r="AH88" s="54">
        <f t="shared" si="15"/>
        <v>-209.7</v>
      </c>
      <c r="AI88" s="55">
        <f t="shared" si="17"/>
        <v>-422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50.06</v>
      </c>
      <c r="C89" s="80">
        <v>50.02</v>
      </c>
      <c r="D89" s="80">
        <v>49.96</v>
      </c>
      <c r="E89" s="80">
        <v>49.972999999999999</v>
      </c>
      <c r="F89" s="80">
        <v>49.972000000000001</v>
      </c>
      <c r="G89" s="80">
        <v>49.984999999999999</v>
      </c>
      <c r="H89" s="80">
        <v>50.027999999999999</v>
      </c>
      <c r="I89" s="80">
        <v>50.008000000000003</v>
      </c>
      <c r="J89" s="80">
        <v>50.000999999999998</v>
      </c>
      <c r="K89" s="80">
        <v>50.06</v>
      </c>
      <c r="L89" s="80">
        <v>50.055999999999997</v>
      </c>
      <c r="M89" s="80">
        <v>50.124000000000002</v>
      </c>
      <c r="N89" s="80">
        <v>50.110999999999997</v>
      </c>
      <c r="O89" s="80">
        <v>50.05</v>
      </c>
      <c r="P89" s="80">
        <v>50.066000000000003</v>
      </c>
      <c r="Q89" s="80">
        <v>50.03</v>
      </c>
      <c r="R89" s="80">
        <v>49.99</v>
      </c>
      <c r="S89" s="80">
        <v>50.027000000000001</v>
      </c>
      <c r="T89" s="80">
        <v>49.892000000000003</v>
      </c>
      <c r="U89" s="80">
        <v>49.93</v>
      </c>
      <c r="V89" s="80">
        <v>50.036999999999999</v>
      </c>
      <c r="W89" s="80">
        <v>50.036999999999999</v>
      </c>
      <c r="X89" s="80">
        <v>49.984000000000002</v>
      </c>
      <c r="Y89" s="80">
        <v>50.033999999999999</v>
      </c>
      <c r="Z89" s="80">
        <v>50.046999999999997</v>
      </c>
      <c r="AA89" s="80">
        <v>49.845999999999997</v>
      </c>
      <c r="AB89" s="80">
        <v>49.98</v>
      </c>
      <c r="AC89" s="80">
        <v>49.930999999999997</v>
      </c>
      <c r="AD89" s="80">
        <v>49.912999999999997</v>
      </c>
      <c r="AE89" s="80">
        <v>49.911999999999999</v>
      </c>
      <c r="AF89" s="80">
        <v>49.924999999999997</v>
      </c>
      <c r="AG89" s="145"/>
      <c r="AH89" s="54">
        <f t="shared" si="15"/>
        <v>50.124000000000002</v>
      </c>
      <c r="AI89" s="55">
        <f t="shared" si="17"/>
        <v>49.845999999999997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122</v>
      </c>
      <c r="C90" s="48">
        <v>122.3</v>
      </c>
      <c r="D90" s="48">
        <v>122.3</v>
      </c>
      <c r="E90" s="48">
        <v>123</v>
      </c>
      <c r="F90" s="48">
        <v>125.9</v>
      </c>
      <c r="G90" s="48">
        <v>125.5</v>
      </c>
      <c r="H90" s="48">
        <v>125.9</v>
      </c>
      <c r="I90" s="48">
        <v>123.8</v>
      </c>
      <c r="J90" s="48">
        <v>125.9</v>
      </c>
      <c r="K90" s="48">
        <v>122.9</v>
      </c>
      <c r="L90" s="48">
        <v>124.9</v>
      </c>
      <c r="M90" s="48">
        <v>125.6</v>
      </c>
      <c r="N90" s="48">
        <v>125.9</v>
      </c>
      <c r="O90" s="48">
        <v>125.6</v>
      </c>
      <c r="P90" s="48">
        <v>125</v>
      </c>
      <c r="Q90" s="48">
        <v>124.3</v>
      </c>
      <c r="R90" s="48">
        <v>123.5</v>
      </c>
      <c r="S90" s="48">
        <v>123.5</v>
      </c>
      <c r="T90" s="48">
        <v>124.5</v>
      </c>
      <c r="U90" s="48">
        <v>124.3</v>
      </c>
      <c r="V90" s="48">
        <v>125</v>
      </c>
      <c r="W90" s="48">
        <v>125</v>
      </c>
      <c r="X90" s="48">
        <v>122</v>
      </c>
      <c r="Y90" s="48">
        <v>124</v>
      </c>
      <c r="Z90" s="48">
        <v>124</v>
      </c>
      <c r="AA90" s="48">
        <v>125</v>
      </c>
      <c r="AB90" s="48">
        <v>125.8</v>
      </c>
      <c r="AC90" s="48">
        <v>125.4</v>
      </c>
      <c r="AD90" s="48">
        <v>124.4</v>
      </c>
      <c r="AE90" s="48">
        <v>122.5</v>
      </c>
      <c r="AF90" s="48">
        <v>124</v>
      </c>
      <c r="AG90" s="146"/>
      <c r="AH90" s="54">
        <f t="shared" si="15"/>
        <v>125.9</v>
      </c>
      <c r="AI90" s="55">
        <f t="shared" si="17"/>
        <v>122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127.3</v>
      </c>
      <c r="C91" s="48">
        <v>128</v>
      </c>
      <c r="D91" s="48">
        <v>128</v>
      </c>
      <c r="E91" s="48">
        <v>128.80000000000001</v>
      </c>
      <c r="F91" s="48">
        <v>130.6</v>
      </c>
      <c r="G91" s="48">
        <v>130.30000000000001</v>
      </c>
      <c r="H91" s="48">
        <v>130</v>
      </c>
      <c r="I91" s="48">
        <v>129.1</v>
      </c>
      <c r="J91" s="48">
        <v>130</v>
      </c>
      <c r="K91" s="48">
        <v>1272</v>
      </c>
      <c r="L91" s="48">
        <v>128</v>
      </c>
      <c r="M91" s="48">
        <v>128</v>
      </c>
      <c r="N91" s="48">
        <v>128.30000000000001</v>
      </c>
      <c r="O91" s="48">
        <v>128.19999999999999</v>
      </c>
      <c r="P91" s="48">
        <v>128.1</v>
      </c>
      <c r="Q91" s="48">
        <v>128</v>
      </c>
      <c r="R91" s="48">
        <v>127.3</v>
      </c>
      <c r="S91" s="48">
        <v>127.3</v>
      </c>
      <c r="T91" s="48">
        <v>128</v>
      </c>
      <c r="U91" s="48">
        <v>128</v>
      </c>
      <c r="V91" s="48">
        <v>129</v>
      </c>
      <c r="W91" s="48">
        <v>129</v>
      </c>
      <c r="X91" s="48">
        <v>126</v>
      </c>
      <c r="Y91" s="48">
        <v>127</v>
      </c>
      <c r="Z91" s="48">
        <v>127</v>
      </c>
      <c r="AA91" s="48">
        <v>129</v>
      </c>
      <c r="AB91" s="48">
        <v>129</v>
      </c>
      <c r="AC91" s="48">
        <v>128.9</v>
      </c>
      <c r="AD91" s="48">
        <v>129</v>
      </c>
      <c r="AE91" s="48">
        <v>127.7</v>
      </c>
      <c r="AF91" s="48">
        <v>129.4</v>
      </c>
      <c r="AG91" s="146"/>
      <c r="AH91" s="54">
        <f t="shared" si="15"/>
        <v>1272</v>
      </c>
      <c r="AI91" s="55">
        <f t="shared" si="17"/>
        <v>126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128.30000000000001</v>
      </c>
      <c r="C92" s="48">
        <v>1295</v>
      </c>
      <c r="D92" s="48">
        <v>1295</v>
      </c>
      <c r="E92" s="48">
        <v>130.9</v>
      </c>
      <c r="F92" s="48">
        <v>128.4</v>
      </c>
      <c r="G92" s="48">
        <v>130</v>
      </c>
      <c r="H92" s="48">
        <v>129.4</v>
      </c>
      <c r="I92" s="48">
        <v>129.4</v>
      </c>
      <c r="J92" s="48">
        <v>131.5</v>
      </c>
      <c r="K92" s="48">
        <v>130.6</v>
      </c>
      <c r="L92" s="48">
        <v>130.6</v>
      </c>
      <c r="M92" s="48">
        <v>129.30000000000001</v>
      </c>
      <c r="N92" s="48">
        <v>129.4</v>
      </c>
      <c r="O92" s="48">
        <v>128.6</v>
      </c>
      <c r="P92" s="48">
        <v>126.8</v>
      </c>
      <c r="Q92" s="48">
        <v>131.9</v>
      </c>
      <c r="R92" s="48">
        <v>129.9</v>
      </c>
      <c r="S92" s="48">
        <v>129.9</v>
      </c>
      <c r="T92" s="48">
        <v>129</v>
      </c>
      <c r="U92" s="48">
        <v>130</v>
      </c>
      <c r="V92" s="48">
        <v>130</v>
      </c>
      <c r="W92" s="48">
        <v>130</v>
      </c>
      <c r="X92" s="48">
        <v>128</v>
      </c>
      <c r="Y92" s="48">
        <v>129</v>
      </c>
      <c r="Z92" s="48">
        <v>129</v>
      </c>
      <c r="AA92" s="48">
        <v>129</v>
      </c>
      <c r="AB92" s="48">
        <v>130.30000000000001</v>
      </c>
      <c r="AC92" s="48">
        <v>130</v>
      </c>
      <c r="AD92" s="48">
        <v>131.1</v>
      </c>
      <c r="AE92" s="48">
        <v>129.69999999999999</v>
      </c>
      <c r="AF92" s="48">
        <v>130.9</v>
      </c>
      <c r="AG92" s="146"/>
      <c r="AH92" s="54">
        <f t="shared" si="15"/>
        <v>1295</v>
      </c>
      <c r="AI92" s="55">
        <f t="shared" si="17"/>
        <v>126.8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>
        <v>133.30000000000001</v>
      </c>
      <c r="C93" s="48">
        <v>133</v>
      </c>
      <c r="D93" s="48">
        <v>133</v>
      </c>
      <c r="E93" s="48">
        <v>133.1</v>
      </c>
      <c r="F93" s="48">
        <v>130.9</v>
      </c>
      <c r="G93" s="48">
        <v>132.5</v>
      </c>
      <c r="H93" s="48">
        <v>131.4</v>
      </c>
      <c r="I93" s="48">
        <v>131.6</v>
      </c>
      <c r="J93" s="48">
        <v>133.19999999999999</v>
      </c>
      <c r="K93" s="48">
        <v>131.6</v>
      </c>
      <c r="L93" s="48">
        <v>130.80000000000001</v>
      </c>
      <c r="M93" s="48">
        <v>131.4</v>
      </c>
      <c r="N93" s="48">
        <v>131.80000000000001</v>
      </c>
      <c r="O93" s="48">
        <v>131.6</v>
      </c>
      <c r="P93" s="48">
        <v>129.69999999999999</v>
      </c>
      <c r="Q93" s="48">
        <v>134.1</v>
      </c>
      <c r="R93" s="48">
        <v>132.6</v>
      </c>
      <c r="S93" s="48">
        <v>132.6</v>
      </c>
      <c r="T93" s="48">
        <v>133</v>
      </c>
      <c r="U93" s="48">
        <v>133</v>
      </c>
      <c r="V93" s="48">
        <v>133</v>
      </c>
      <c r="W93" s="48">
        <v>133</v>
      </c>
      <c r="X93" s="48">
        <v>131</v>
      </c>
      <c r="Y93" s="48">
        <v>132</v>
      </c>
      <c r="Z93" s="48">
        <v>132</v>
      </c>
      <c r="AA93" s="48">
        <v>133</v>
      </c>
      <c r="AB93" s="48">
        <v>130.30000000000001</v>
      </c>
      <c r="AC93" s="48">
        <v>132.5</v>
      </c>
      <c r="AD93" s="48">
        <v>133.5</v>
      </c>
      <c r="AE93" s="48">
        <v>133</v>
      </c>
      <c r="AF93" s="48">
        <v>134.69999999999999</v>
      </c>
      <c r="AG93" s="146"/>
      <c r="AH93" s="54">
        <f t="shared" si="15"/>
        <v>134.69999999999999</v>
      </c>
      <c r="AI93" s="55">
        <f t="shared" si="17"/>
        <v>129.69999999999999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131.4</v>
      </c>
      <c r="C94" s="82">
        <v>131.9</v>
      </c>
      <c r="D94" s="82">
        <v>131.9</v>
      </c>
      <c r="E94" s="82">
        <v>133.30000000000001</v>
      </c>
      <c r="F94" s="82">
        <v>134</v>
      </c>
      <c r="G94" s="82">
        <v>132.80000000000001</v>
      </c>
      <c r="H94" s="82">
        <v>134.6</v>
      </c>
      <c r="I94" s="82">
        <v>130</v>
      </c>
      <c r="J94" s="82">
        <v>132.5</v>
      </c>
      <c r="K94" s="82">
        <v>131.80000000000001</v>
      </c>
      <c r="L94" s="82">
        <v>132</v>
      </c>
      <c r="M94" s="82">
        <v>134.30000000000001</v>
      </c>
      <c r="N94" s="82">
        <v>131.30000000000001</v>
      </c>
      <c r="O94" s="82">
        <v>131.80000000000001</v>
      </c>
      <c r="P94" s="82">
        <v>135.1</v>
      </c>
      <c r="Q94" s="82">
        <v>133.30000000000001</v>
      </c>
      <c r="R94" s="82">
        <v>133.4</v>
      </c>
      <c r="S94" s="82">
        <v>133.4</v>
      </c>
      <c r="T94" s="82">
        <v>134.4</v>
      </c>
      <c r="U94" s="82">
        <v>133.69999999999999</v>
      </c>
      <c r="V94" s="82">
        <v>133.69999999999999</v>
      </c>
      <c r="W94" s="82">
        <v>133.69999999999999</v>
      </c>
      <c r="X94" s="82">
        <v>131</v>
      </c>
      <c r="Y94" s="82">
        <v>131</v>
      </c>
      <c r="Z94" s="82">
        <v>131</v>
      </c>
      <c r="AA94" s="82">
        <v>133</v>
      </c>
      <c r="AB94" s="82">
        <v>134.30000000000001</v>
      </c>
      <c r="AC94" s="82">
        <v>132.80000000000001</v>
      </c>
      <c r="AD94" s="82">
        <v>132.1</v>
      </c>
      <c r="AE94" s="82">
        <v>130.1</v>
      </c>
      <c r="AF94" s="82">
        <v>133.1</v>
      </c>
      <c r="AG94" s="147"/>
      <c r="AH94" s="54">
        <f t="shared" si="15"/>
        <v>135.1</v>
      </c>
      <c r="AI94" s="55">
        <f t="shared" si="17"/>
        <v>130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130.1</v>
      </c>
      <c r="C95" s="48">
        <v>131.19999999999999</v>
      </c>
      <c r="D95" s="48">
        <v>131.19999999999999</v>
      </c>
      <c r="E95" s="48">
        <v>128.4</v>
      </c>
      <c r="F95" s="48">
        <v>128.6</v>
      </c>
      <c r="G95" s="48">
        <v>126.6</v>
      </c>
      <c r="H95" s="48">
        <v>134.1</v>
      </c>
      <c r="I95" s="48">
        <v>131.30000000000001</v>
      </c>
      <c r="J95" s="48">
        <v>132</v>
      </c>
      <c r="K95" s="48">
        <v>128.5</v>
      </c>
      <c r="L95" s="48">
        <v>128</v>
      </c>
      <c r="M95" s="48">
        <v>130.19999999999999</v>
      </c>
      <c r="N95" s="48">
        <v>132.80000000000001</v>
      </c>
      <c r="O95" s="48">
        <v>127.9</v>
      </c>
      <c r="P95" s="48">
        <v>132.69999999999999</v>
      </c>
      <c r="Q95" s="48">
        <v>135</v>
      </c>
      <c r="R95" s="48">
        <v>132.5</v>
      </c>
      <c r="S95" s="48">
        <v>132.5</v>
      </c>
      <c r="T95" s="48">
        <v>132.5</v>
      </c>
      <c r="U95" s="48">
        <v>131</v>
      </c>
      <c r="V95" s="48">
        <v>131</v>
      </c>
      <c r="W95" s="48">
        <v>131</v>
      </c>
      <c r="X95" s="48">
        <v>130</v>
      </c>
      <c r="Y95" s="48">
        <v>129</v>
      </c>
      <c r="Z95" s="48">
        <v>129</v>
      </c>
      <c r="AA95" s="48">
        <v>133</v>
      </c>
      <c r="AB95" s="48">
        <v>130.9</v>
      </c>
      <c r="AC95" s="48">
        <v>131.30000000000001</v>
      </c>
      <c r="AD95" s="48">
        <v>133.9</v>
      </c>
      <c r="AE95" s="48">
        <v>126.6</v>
      </c>
      <c r="AF95" s="48">
        <v>129.80000000000001</v>
      </c>
      <c r="AG95" s="146"/>
      <c r="AH95" s="54">
        <f t="shared" si="15"/>
        <v>135</v>
      </c>
      <c r="AI95" s="55">
        <f t="shared" si="17"/>
        <v>126.6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64.599999999999994</v>
      </c>
      <c r="C96" s="83">
        <v>64.8</v>
      </c>
      <c r="D96" s="83">
        <v>64.8</v>
      </c>
      <c r="E96" s="83">
        <v>65</v>
      </c>
      <c r="F96" s="83">
        <v>65.900000000000006</v>
      </c>
      <c r="G96" s="83">
        <v>65.5</v>
      </c>
      <c r="H96" s="83">
        <v>65.8</v>
      </c>
      <c r="I96" s="83">
        <v>65.2</v>
      </c>
      <c r="J96" s="83">
        <v>65.400000000000006</v>
      </c>
      <c r="K96" s="83">
        <v>64</v>
      </c>
      <c r="L96" s="83">
        <v>64.5</v>
      </c>
      <c r="M96" s="83">
        <v>64.099999999999994</v>
      </c>
      <c r="N96" s="83">
        <v>64.599999999999994</v>
      </c>
      <c r="O96" s="83">
        <v>64.8</v>
      </c>
      <c r="P96" s="83">
        <v>64.5</v>
      </c>
      <c r="Q96" s="83"/>
      <c r="R96" s="83">
        <v>64.3</v>
      </c>
      <c r="S96" s="83">
        <v>64.3</v>
      </c>
      <c r="T96" s="83">
        <v>64.8</v>
      </c>
      <c r="U96" s="83">
        <v>64.5</v>
      </c>
      <c r="V96" s="83">
        <v>64.5</v>
      </c>
      <c r="W96" s="83">
        <v>64.5</v>
      </c>
      <c r="X96" s="83">
        <v>64</v>
      </c>
      <c r="Y96" s="83">
        <v>64.400000000000006</v>
      </c>
      <c r="Z96" s="83">
        <v>64.400000000000006</v>
      </c>
      <c r="AA96" s="83">
        <v>65</v>
      </c>
      <c r="AB96" s="83">
        <v>65.2</v>
      </c>
      <c r="AC96" s="83">
        <v>65.2</v>
      </c>
      <c r="AD96" s="83">
        <v>65.2</v>
      </c>
      <c r="AE96" s="83">
        <v>64.599999999999994</v>
      </c>
      <c r="AF96" s="83">
        <v>65.5</v>
      </c>
      <c r="AG96" s="148"/>
      <c r="AH96" s="54">
        <f t="shared" si="15"/>
        <v>65.900000000000006</v>
      </c>
      <c r="AI96" s="55">
        <f t="shared" si="17"/>
        <v>64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15"/>
        <v>0</v>
      </c>
      <c r="AI97" s="55">
        <f t="shared" si="17"/>
        <v>0</v>
      </c>
    </row>
    <row r="98" spans="1:37" ht="15.75" thickBot="1" x14ac:dyDescent="0.3">
      <c r="A98" s="85" t="s">
        <v>73</v>
      </c>
      <c r="B98" s="86">
        <v>233.7</v>
      </c>
      <c r="C98" s="86">
        <f t="shared" ref="C98:AF98" si="24">SUM(C15,C18,C21:C22,C46,C48:C49,C51,C53,C99:C102,C123,C129,C135,C144,C146,C158,C165,C168:C169,C176,C178,C180,C184:C186,C188:C190,C195,C201:C202,C204:C206,C214,C219)</f>
        <v>27.540000000000003</v>
      </c>
      <c r="D98" s="86">
        <f t="shared" si="24"/>
        <v>31.840000000000014</v>
      </c>
      <c r="E98" s="86">
        <f t="shared" si="24"/>
        <v>20.739999999999995</v>
      </c>
      <c r="F98" s="86">
        <f t="shared" si="24"/>
        <v>34.04000000000002</v>
      </c>
      <c r="G98" s="86">
        <f t="shared" si="24"/>
        <v>44.340000000000018</v>
      </c>
      <c r="H98" s="86">
        <f t="shared" si="24"/>
        <v>53.740000000000023</v>
      </c>
      <c r="I98" s="86">
        <f t="shared" si="24"/>
        <v>52.839999999999996</v>
      </c>
      <c r="J98" s="86">
        <f t="shared" si="24"/>
        <v>93.239999999999981</v>
      </c>
      <c r="K98" s="86">
        <f t="shared" si="24"/>
        <v>110.94</v>
      </c>
      <c r="L98" s="86">
        <f t="shared" si="24"/>
        <v>124.24</v>
      </c>
      <c r="M98" s="86">
        <f t="shared" si="24"/>
        <v>137.04</v>
      </c>
      <c r="N98" s="86">
        <f t="shared" si="24"/>
        <v>168.84</v>
      </c>
      <c r="O98" s="86">
        <f t="shared" si="24"/>
        <v>154.44</v>
      </c>
      <c r="P98" s="86">
        <f t="shared" si="24"/>
        <v>133.34</v>
      </c>
      <c r="Q98" s="86">
        <f t="shared" si="24"/>
        <v>182.20000000000002</v>
      </c>
      <c r="R98" s="86">
        <f t="shared" si="24"/>
        <v>156.20000000000002</v>
      </c>
      <c r="S98" s="86">
        <f t="shared" si="24"/>
        <v>107.70000000000002</v>
      </c>
      <c r="T98" s="86">
        <f t="shared" si="24"/>
        <v>101.70000000000002</v>
      </c>
      <c r="U98" s="86">
        <f t="shared" si="24"/>
        <v>121.70000000000002</v>
      </c>
      <c r="V98" s="86">
        <f t="shared" si="24"/>
        <v>118.19999999999999</v>
      </c>
      <c r="W98" s="86">
        <f t="shared" si="24"/>
        <v>119.39999999999999</v>
      </c>
      <c r="X98" s="86">
        <f t="shared" si="24"/>
        <v>120.39999999999999</v>
      </c>
      <c r="Y98" s="86">
        <f t="shared" si="24"/>
        <v>172.2</v>
      </c>
      <c r="Z98" s="86">
        <f t="shared" si="24"/>
        <v>178.7</v>
      </c>
      <c r="AA98" s="86">
        <f t="shared" si="24"/>
        <v>270.60000000000002</v>
      </c>
      <c r="AB98" s="86">
        <f t="shared" si="24"/>
        <v>186</v>
      </c>
      <c r="AC98" s="86">
        <f t="shared" si="24"/>
        <v>166.20000000000002</v>
      </c>
      <c r="AD98" s="86">
        <f t="shared" si="24"/>
        <v>128.5</v>
      </c>
      <c r="AE98" s="86">
        <f t="shared" si="24"/>
        <v>77.200000000000045</v>
      </c>
      <c r="AF98" s="86">
        <f t="shared" si="24"/>
        <v>76.300000000000026</v>
      </c>
      <c r="AG98" s="150"/>
      <c r="AH98" s="54">
        <f>MAX(C98:AF98)</f>
        <v>270.60000000000002</v>
      </c>
      <c r="AI98" s="55">
        <f>MIN(C98:AF98)</f>
        <v>20.739999999999995</v>
      </c>
    </row>
    <row r="99" spans="1:37" x14ac:dyDescent="0.25">
      <c r="A99" s="170" t="s">
        <v>74</v>
      </c>
      <c r="B99" s="87">
        <v>20.5</v>
      </c>
      <c r="C99" s="87">
        <v>22</v>
      </c>
      <c r="D99" s="87">
        <v>23.4</v>
      </c>
      <c r="E99" s="87">
        <v>23.4</v>
      </c>
      <c r="F99" s="87">
        <v>14</v>
      </c>
      <c r="G99" s="87">
        <v>20</v>
      </c>
      <c r="H99" s="87">
        <v>22</v>
      </c>
      <c r="I99" s="87">
        <v>31.4</v>
      </c>
      <c r="J99" s="87">
        <v>26.7</v>
      </c>
      <c r="K99" s="87">
        <v>30.4</v>
      </c>
      <c r="L99" s="87">
        <v>30.4</v>
      </c>
      <c r="M99" s="87">
        <v>12.6</v>
      </c>
      <c r="N99" s="87">
        <v>7.9</v>
      </c>
      <c r="O99" s="87">
        <v>19.8</v>
      </c>
      <c r="P99" s="87">
        <v>10.3</v>
      </c>
      <c r="Q99" s="87"/>
      <c r="R99" s="87">
        <f>44.1+27.5</f>
        <v>71.599999999999994</v>
      </c>
      <c r="S99" s="87">
        <v>28</v>
      </c>
      <c r="T99" s="87">
        <v>29</v>
      </c>
      <c r="U99" s="87">
        <v>25</v>
      </c>
      <c r="V99" s="87">
        <v>27</v>
      </c>
      <c r="W99" s="87">
        <v>32</v>
      </c>
      <c r="X99" s="87">
        <v>40</v>
      </c>
      <c r="Y99" s="87">
        <v>42</v>
      </c>
      <c r="Z99" s="87">
        <v>37</v>
      </c>
      <c r="AA99" s="87">
        <v>31</v>
      </c>
      <c r="AB99" s="87">
        <v>25</v>
      </c>
      <c r="AC99" s="87">
        <v>20.9</v>
      </c>
      <c r="AD99" s="87">
        <v>23.4</v>
      </c>
      <c r="AE99" s="87">
        <v>25.8</v>
      </c>
      <c r="AF99" s="87">
        <v>17.8</v>
      </c>
      <c r="AG99" s="151">
        <v>75</v>
      </c>
      <c r="AH99" s="54">
        <f t="shared" ref="AH99:AH105" si="25">IF(ABS(MAX(C99:AF99))&gt;ABS(MIN(C99:AF99)),MAX(C99:AF99),MIN(C99:AF99))</f>
        <v>71.599999999999994</v>
      </c>
      <c r="AI99" s="89">
        <f t="shared" ref="AI99:AI105" si="26">INDEX($C$9:$AF$9,1,MATCH(AH99,C99:AF99,0))</f>
        <v>0.54166666666666696</v>
      </c>
    </row>
    <row r="100" spans="1:37" x14ac:dyDescent="0.25">
      <c r="A100" s="163" t="s">
        <v>75</v>
      </c>
      <c r="B100" s="90"/>
      <c r="C100" s="90">
        <v>-146</v>
      </c>
      <c r="D100" s="90">
        <v>-153</v>
      </c>
      <c r="E100" s="90">
        <v>-158</v>
      </c>
      <c r="F100" s="90">
        <v>-136</v>
      </c>
      <c r="G100" s="90">
        <v>-136</v>
      </c>
      <c r="H100" s="90">
        <v>-138</v>
      </c>
      <c r="I100" s="90">
        <v>-140</v>
      </c>
      <c r="J100" s="90">
        <v>-103</v>
      </c>
      <c r="K100" s="90">
        <v>-85</v>
      </c>
      <c r="L100" s="90">
        <v>-88</v>
      </c>
      <c r="M100" s="90">
        <f>-28.9-59.2</f>
        <v>-88.1</v>
      </c>
      <c r="N100" s="90">
        <f>-23.3-55.7</f>
        <v>-79</v>
      </c>
      <c r="O100" s="90">
        <f>-34-51</f>
        <v>-85</v>
      </c>
      <c r="P100" s="90">
        <f>-42-70.4</f>
        <v>-112.4</v>
      </c>
      <c r="Q100" s="90"/>
      <c r="R100" s="90">
        <f>-50-54.6</f>
        <v>-104.6</v>
      </c>
      <c r="S100" s="90">
        <v>-94</v>
      </c>
      <c r="T100" s="90">
        <v>-100</v>
      </c>
      <c r="U100" s="90">
        <v>-80</v>
      </c>
      <c r="V100" s="90">
        <v>-90</v>
      </c>
      <c r="W100" s="90">
        <v>-90</v>
      </c>
      <c r="X100" s="90">
        <v>-101</v>
      </c>
      <c r="Y100" s="90">
        <v>-67</v>
      </c>
      <c r="Z100" s="90">
        <v>-58</v>
      </c>
      <c r="AA100" s="90"/>
      <c r="AB100" s="90">
        <v>-75.2</v>
      </c>
      <c r="AC100" s="90">
        <v>-89.6</v>
      </c>
      <c r="AD100" s="90">
        <v>-116.5</v>
      </c>
      <c r="AE100" s="90">
        <v>-143.19999999999999</v>
      </c>
      <c r="AF100" s="90">
        <v>-132.5</v>
      </c>
      <c r="AG100" s="151">
        <v>240</v>
      </c>
      <c r="AH100" s="54">
        <f t="shared" si="25"/>
        <v>-158</v>
      </c>
      <c r="AI100" s="89">
        <f t="shared" si="26"/>
        <v>0.125</v>
      </c>
    </row>
    <row r="101" spans="1:37" x14ac:dyDescent="0.25">
      <c r="A101" s="163" t="s">
        <v>76</v>
      </c>
      <c r="B101" s="90">
        <v>12</v>
      </c>
      <c r="C101" s="90">
        <v>-4.9000000000000004</v>
      </c>
      <c r="D101" s="90">
        <v>-4.9000000000000004</v>
      </c>
      <c r="E101" s="90">
        <v>-7.3</v>
      </c>
      <c r="F101" s="90">
        <v>-6.5</v>
      </c>
      <c r="G101" s="90">
        <v>-2.2000000000000002</v>
      </c>
      <c r="H101" s="90">
        <v>7.2</v>
      </c>
      <c r="I101" s="90">
        <v>5.9</v>
      </c>
      <c r="J101" s="90">
        <v>14</v>
      </c>
      <c r="K101" s="90">
        <v>10</v>
      </c>
      <c r="L101" s="90">
        <v>26.3</v>
      </c>
      <c r="M101" s="90">
        <v>49.6</v>
      </c>
      <c r="N101" s="90">
        <v>51.5</v>
      </c>
      <c r="O101" s="90">
        <v>31.2</v>
      </c>
      <c r="P101" s="90">
        <v>47</v>
      </c>
      <c r="Q101" s="90"/>
      <c r="R101" s="90">
        <v>10</v>
      </c>
      <c r="S101" s="90">
        <v>7</v>
      </c>
      <c r="T101" s="90">
        <v>6</v>
      </c>
      <c r="U101" s="90">
        <v>10</v>
      </c>
      <c r="V101" s="90">
        <v>9</v>
      </c>
      <c r="W101" s="90">
        <v>7.7</v>
      </c>
      <c r="X101" s="90">
        <v>6.7</v>
      </c>
      <c r="Y101" s="90">
        <v>12.5</v>
      </c>
      <c r="Z101" s="90">
        <v>15</v>
      </c>
      <c r="AA101" s="90">
        <v>49</v>
      </c>
      <c r="AB101" s="90">
        <v>45.2</v>
      </c>
      <c r="AC101" s="90">
        <v>43.9</v>
      </c>
      <c r="AD101" s="90">
        <v>30.6</v>
      </c>
      <c r="AE101" s="90">
        <v>2.9</v>
      </c>
      <c r="AF101" s="90">
        <v>-0.7</v>
      </c>
      <c r="AG101" s="151">
        <v>60</v>
      </c>
      <c r="AH101" s="54">
        <f t="shared" si="25"/>
        <v>51.5</v>
      </c>
      <c r="AI101" s="89">
        <f t="shared" si="26"/>
        <v>0.375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0</v>
      </c>
      <c r="M102" s="91">
        <v>0</v>
      </c>
      <c r="N102" s="91">
        <v>0</v>
      </c>
      <c r="O102" s="91">
        <v>0</v>
      </c>
      <c r="P102" s="91">
        <v>0</v>
      </c>
      <c r="Q102" s="91"/>
      <c r="R102" s="91">
        <v>0</v>
      </c>
      <c r="S102" s="91">
        <v>0</v>
      </c>
      <c r="T102" s="91">
        <v>0</v>
      </c>
      <c r="U102" s="91">
        <v>0</v>
      </c>
      <c r="V102" s="91">
        <v>0</v>
      </c>
      <c r="W102" s="91">
        <v>0</v>
      </c>
      <c r="X102" s="91">
        <v>0</v>
      </c>
      <c r="Y102" s="91">
        <v>0</v>
      </c>
      <c r="Z102" s="91">
        <v>0</v>
      </c>
      <c r="AA102" s="91">
        <v>0</v>
      </c>
      <c r="AB102" s="91">
        <v>0</v>
      </c>
      <c r="AC102" s="91">
        <v>0</v>
      </c>
      <c r="AD102" s="91">
        <v>0</v>
      </c>
      <c r="AE102" s="91">
        <v>0</v>
      </c>
      <c r="AF102" s="91">
        <v>0</v>
      </c>
      <c r="AG102" s="152">
        <v>120</v>
      </c>
      <c r="AH102" s="54">
        <f t="shared" si="25"/>
        <v>0</v>
      </c>
      <c r="AI102" s="89">
        <f t="shared" si="26"/>
        <v>4.1666666666666664E-2</v>
      </c>
    </row>
    <row r="103" spans="1:37" x14ac:dyDescent="0.25">
      <c r="A103" s="164" t="s">
        <v>78</v>
      </c>
      <c r="B103" s="91">
        <v>61.2</v>
      </c>
      <c r="C103" s="91">
        <v>40.4</v>
      </c>
      <c r="D103" s="91">
        <v>34.299999999999997</v>
      </c>
      <c r="E103" s="91">
        <v>30</v>
      </c>
      <c r="F103" s="91">
        <v>42</v>
      </c>
      <c r="G103" s="91">
        <v>34</v>
      </c>
      <c r="H103" s="91">
        <v>27</v>
      </c>
      <c r="I103" s="91">
        <v>25</v>
      </c>
      <c r="J103" s="91">
        <v>18</v>
      </c>
      <c r="K103" s="91">
        <v>37</v>
      </c>
      <c r="L103" s="91">
        <v>26</v>
      </c>
      <c r="M103" s="91">
        <v>43.1</v>
      </c>
      <c r="N103" s="91">
        <v>47.7</v>
      </c>
      <c r="O103" s="91">
        <v>35</v>
      </c>
      <c r="P103" s="91">
        <v>35</v>
      </c>
      <c r="Q103" s="91"/>
      <c r="R103" s="91">
        <v>36.5</v>
      </c>
      <c r="S103" s="91">
        <v>40</v>
      </c>
      <c r="T103" s="91">
        <v>43</v>
      </c>
      <c r="U103" s="91">
        <v>52</v>
      </c>
      <c r="V103" s="91">
        <v>34</v>
      </c>
      <c r="W103" s="91">
        <v>33</v>
      </c>
      <c r="X103" s="91">
        <v>16</v>
      </c>
      <c r="Y103" s="91">
        <v>47</v>
      </c>
      <c r="Z103" s="91">
        <v>67</v>
      </c>
      <c r="AA103" s="91">
        <v>38</v>
      </c>
      <c r="AB103" s="91">
        <v>46.8</v>
      </c>
      <c r="AC103" s="91">
        <v>43.7</v>
      </c>
      <c r="AD103" s="91">
        <v>30.4</v>
      </c>
      <c r="AE103" s="91">
        <v>22.9</v>
      </c>
      <c r="AF103" s="91">
        <v>58.8</v>
      </c>
      <c r="AG103" s="152"/>
      <c r="AH103" s="54">
        <f t="shared" si="25"/>
        <v>67</v>
      </c>
      <c r="AI103" s="89">
        <f t="shared" si="26"/>
        <v>0.79166666666666663</v>
      </c>
    </row>
    <row r="104" spans="1:37" x14ac:dyDescent="0.25">
      <c r="A104" s="164" t="s">
        <v>105</v>
      </c>
      <c r="B104" s="91">
        <v>34.700000000000003</v>
      </c>
      <c r="C104" s="91">
        <v>33.299999999999997</v>
      </c>
      <c r="D104" s="91">
        <v>-33.5</v>
      </c>
      <c r="E104" s="91">
        <v>33.700000000000003</v>
      </c>
      <c r="F104" s="91">
        <v>65</v>
      </c>
      <c r="G104" s="91">
        <v>60</v>
      </c>
      <c r="H104" s="91">
        <v>48</v>
      </c>
      <c r="I104" s="91">
        <v>16</v>
      </c>
      <c r="J104" s="91">
        <v>28</v>
      </c>
      <c r="K104" s="91">
        <v>28</v>
      </c>
      <c r="L104" s="91">
        <v>19</v>
      </c>
      <c r="M104" s="91">
        <v>50</v>
      </c>
      <c r="N104" s="91">
        <v>66.400000000000006</v>
      </c>
      <c r="O104" s="91">
        <v>20</v>
      </c>
      <c r="P104" s="91">
        <v>52</v>
      </c>
      <c r="Q104" s="91"/>
      <c r="R104" s="91">
        <v>25.9</v>
      </c>
      <c r="S104" s="91">
        <v>35</v>
      </c>
      <c r="T104" s="91">
        <v>30</v>
      </c>
      <c r="U104" s="91">
        <v>48</v>
      </c>
      <c r="V104" s="91">
        <v>23</v>
      </c>
      <c r="W104" s="91">
        <v>-23</v>
      </c>
      <c r="X104" s="91">
        <v>-25</v>
      </c>
      <c r="Y104" s="91">
        <v>-16</v>
      </c>
      <c r="Z104" s="91">
        <v>3</v>
      </c>
      <c r="AA104" s="91">
        <v>23</v>
      </c>
      <c r="AB104" s="91">
        <v>35.9</v>
      </c>
      <c r="AC104" s="91">
        <v>46.8</v>
      </c>
      <c r="AD104" s="91">
        <v>25.2</v>
      </c>
      <c r="AE104" s="91">
        <v>19.899999999999999</v>
      </c>
      <c r="AF104" s="91">
        <v>61.6</v>
      </c>
      <c r="AG104" s="153"/>
      <c r="AH104" s="54">
        <f t="shared" si="25"/>
        <v>66.400000000000006</v>
      </c>
      <c r="AI104" s="89">
        <f t="shared" si="26"/>
        <v>0.375</v>
      </c>
    </row>
    <row r="105" spans="1:37" ht="15.75" thickBot="1" x14ac:dyDescent="0.3">
      <c r="A105" s="171" t="s">
        <v>106</v>
      </c>
      <c r="B105" s="82">
        <v>88</v>
      </c>
      <c r="C105" s="82">
        <v>82.5</v>
      </c>
      <c r="D105" s="82">
        <v>88.8</v>
      </c>
      <c r="E105" s="82">
        <v>90</v>
      </c>
      <c r="F105" s="82">
        <v>83.2</v>
      </c>
      <c r="G105" s="82">
        <v>84</v>
      </c>
      <c r="H105" s="82">
        <v>65</v>
      </c>
      <c r="I105" s="82">
        <v>67</v>
      </c>
      <c r="J105" s="82">
        <v>76</v>
      </c>
      <c r="K105" s="82">
        <v>70</v>
      </c>
      <c r="L105" s="82">
        <v>76</v>
      </c>
      <c r="M105" s="82">
        <v>71.5</v>
      </c>
      <c r="N105" s="82">
        <v>75</v>
      </c>
      <c r="O105" s="82">
        <v>78</v>
      </c>
      <c r="P105" s="82">
        <v>59.1</v>
      </c>
      <c r="Q105" s="82"/>
      <c r="R105" s="82">
        <v>43</v>
      </c>
      <c r="S105" s="82">
        <v>73</v>
      </c>
      <c r="T105" s="82">
        <v>77</v>
      </c>
      <c r="U105" s="82">
        <v>69</v>
      </c>
      <c r="V105" s="82">
        <v>93</v>
      </c>
      <c r="W105" s="82">
        <v>90</v>
      </c>
      <c r="X105" s="82">
        <v>86</v>
      </c>
      <c r="Y105" s="82">
        <v>84</v>
      </c>
      <c r="Z105" s="82">
        <v>75</v>
      </c>
      <c r="AA105" s="82">
        <v>47</v>
      </c>
      <c r="AB105" s="82">
        <v>76.8</v>
      </c>
      <c r="AC105" s="82">
        <v>78.400000000000006</v>
      </c>
      <c r="AD105" s="82">
        <v>78.5</v>
      </c>
      <c r="AE105" s="82">
        <v>83.3</v>
      </c>
      <c r="AF105" s="82">
        <v>91.4</v>
      </c>
      <c r="AG105" s="153"/>
      <c r="AH105" s="54">
        <f t="shared" si="25"/>
        <v>93</v>
      </c>
      <c r="AI105" s="89">
        <f t="shared" si="26"/>
        <v>0.70833333333333304</v>
      </c>
    </row>
    <row r="106" spans="1:37" ht="15.75" thickBot="1" x14ac:dyDescent="0.3">
      <c r="A106" s="92" t="s">
        <v>79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154"/>
      <c r="AH106" s="94"/>
      <c r="AI106" s="55"/>
      <c r="AK106" s="56"/>
    </row>
    <row r="107" spans="1:37" x14ac:dyDescent="0.25">
      <c r="A107" s="162" t="s">
        <v>133</v>
      </c>
      <c r="B107" s="95"/>
      <c r="C107" s="53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6">
        <v>9.94</v>
      </c>
      <c r="AH107" s="54"/>
      <c r="AI107" s="55"/>
      <c r="AK107" s="56"/>
    </row>
    <row r="108" spans="1:37" x14ac:dyDescent="0.25">
      <c r="A108" s="163" t="s">
        <v>134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/>
      <c r="AH108" s="54"/>
      <c r="AI108" s="55"/>
      <c r="AK108" s="56"/>
    </row>
    <row r="109" spans="1:37" x14ac:dyDescent="0.25">
      <c r="A109" s="163" t="s">
        <v>135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136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137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138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139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140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141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142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143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144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145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146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147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148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149</v>
      </c>
      <c r="B123" s="97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9">
        <v>9.9</v>
      </c>
      <c r="AH123" s="54"/>
      <c r="AI123" s="55"/>
      <c r="AK123" s="56"/>
    </row>
    <row r="124" spans="1:37" x14ac:dyDescent="0.25">
      <c r="A124" s="164" t="s">
        <v>80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100">
        <v>9.6579999999999995</v>
      </c>
      <c r="AH124" s="54"/>
      <c r="AI124" s="55"/>
      <c r="AK124" s="56"/>
    </row>
    <row r="125" spans="1:37" x14ac:dyDescent="0.25">
      <c r="A125" s="164" t="s">
        <v>150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</v>
      </c>
      <c r="AH125" s="54"/>
      <c r="AI125" s="55"/>
      <c r="AK125" s="56"/>
    </row>
    <row r="126" spans="1:37" x14ac:dyDescent="0.25">
      <c r="A126" s="164" t="s">
        <v>151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9.51</v>
      </c>
      <c r="AH126" s="54"/>
      <c r="AI126" s="55"/>
      <c r="AK126" s="56"/>
    </row>
    <row r="127" spans="1:37" x14ac:dyDescent="0.25">
      <c r="A127" s="164" t="s">
        <v>152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9.4</v>
      </c>
      <c r="AH127" s="54"/>
      <c r="AI127" s="55"/>
      <c r="AK127" s="56"/>
    </row>
    <row r="128" spans="1:37" x14ac:dyDescent="0.25">
      <c r="A128" s="164" t="s">
        <v>153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8.8000000000000007</v>
      </c>
      <c r="AH128" s="54"/>
      <c r="AI128" s="55"/>
      <c r="AK128" s="56"/>
    </row>
    <row r="129" spans="1:37" x14ac:dyDescent="0.25">
      <c r="A129" s="164" t="s">
        <v>154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8.5</v>
      </c>
      <c r="AH129" s="54"/>
      <c r="AI129" s="55"/>
      <c r="AK129" s="56"/>
    </row>
    <row r="130" spans="1:37" x14ac:dyDescent="0.25">
      <c r="A130" s="164" t="s">
        <v>155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156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8.4</v>
      </c>
      <c r="AH131" s="54"/>
      <c r="AI131" s="55"/>
      <c r="AK131" s="56"/>
    </row>
    <row r="132" spans="1:37" ht="13.5" customHeight="1" x14ac:dyDescent="0.25">
      <c r="A132" s="164" t="s">
        <v>157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</v>
      </c>
      <c r="AH132" s="54"/>
      <c r="AI132" s="55"/>
      <c r="AK132" s="56"/>
    </row>
    <row r="133" spans="1:37" x14ac:dyDescent="0.25">
      <c r="A133" s="164" t="s">
        <v>158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159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160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7.8</v>
      </c>
      <c r="AH135" s="54"/>
      <c r="AI135" s="55"/>
      <c r="AK135" s="56"/>
    </row>
    <row r="136" spans="1:37" x14ac:dyDescent="0.25">
      <c r="A136" s="164" t="s">
        <v>161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7.6</v>
      </c>
      <c r="AH136" s="54"/>
      <c r="AI136" s="55"/>
      <c r="AK136" s="56"/>
    </row>
    <row r="137" spans="1:37" x14ac:dyDescent="0.25">
      <c r="A137" s="164" t="s">
        <v>162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7.5</v>
      </c>
      <c r="AH137" s="54"/>
      <c r="AI137" s="55"/>
      <c r="AK137" s="56"/>
    </row>
    <row r="138" spans="1:37" x14ac:dyDescent="0.25">
      <c r="A138" s="164" t="s">
        <v>163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164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</v>
      </c>
      <c r="AH139" s="54"/>
      <c r="AI139" s="55"/>
      <c r="AK139" s="56"/>
    </row>
    <row r="140" spans="1:37" x14ac:dyDescent="0.25">
      <c r="A140" s="164" t="s">
        <v>165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166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167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168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6.6</v>
      </c>
      <c r="AH143" s="54"/>
      <c r="AI143" s="55"/>
      <c r="AK143" s="56"/>
    </row>
    <row r="144" spans="1:37" x14ac:dyDescent="0.25">
      <c r="A144" s="164" t="s">
        <v>169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170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6.4</v>
      </c>
      <c r="AH145" s="54"/>
      <c r="AI145" s="55"/>
      <c r="AK145" s="56"/>
    </row>
    <row r="146" spans="1:37" x14ac:dyDescent="0.25">
      <c r="A146" s="164" t="s">
        <v>171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</v>
      </c>
      <c r="AH146" s="54"/>
      <c r="AI146" s="55"/>
      <c r="AK146" s="56"/>
    </row>
    <row r="147" spans="1:37" x14ac:dyDescent="0.25">
      <c r="A147" s="164" t="s">
        <v>172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5.0999999999999996</v>
      </c>
      <c r="AH147" s="54"/>
      <c r="AI147" s="55"/>
      <c r="AK147" s="56"/>
    </row>
    <row r="148" spans="1:37" x14ac:dyDescent="0.25">
      <c r="A148" s="164" t="s">
        <v>173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</v>
      </c>
      <c r="AH148" s="54"/>
      <c r="AI148" s="55"/>
      <c r="AK148" s="56"/>
    </row>
    <row r="149" spans="1:37" x14ac:dyDescent="0.25">
      <c r="A149" s="163" t="s">
        <v>174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9">
        <v>5</v>
      </c>
      <c r="AH149" s="54"/>
      <c r="AI149" s="55"/>
      <c r="AK149" s="56"/>
    </row>
    <row r="150" spans="1:37" x14ac:dyDescent="0.25">
      <c r="A150" s="164" t="s">
        <v>175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100">
        <v>5</v>
      </c>
      <c r="AH150" s="54"/>
      <c r="AI150" s="55"/>
      <c r="AK150" s="56"/>
    </row>
    <row r="151" spans="1:37" x14ac:dyDescent="0.25">
      <c r="A151" s="164" t="s">
        <v>176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177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178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179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180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4.9930000000000003</v>
      </c>
      <c r="AH155" s="54"/>
      <c r="AI155" s="55"/>
      <c r="AK155" s="56"/>
    </row>
    <row r="156" spans="1:37" x14ac:dyDescent="0.25">
      <c r="A156" s="164" t="s">
        <v>181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4.9800000000000004</v>
      </c>
      <c r="AH156" s="54"/>
      <c r="AI156" s="55"/>
      <c r="AK156" s="56"/>
    </row>
    <row r="157" spans="1:37" x14ac:dyDescent="0.25">
      <c r="A157" s="164" t="s">
        <v>182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4.95</v>
      </c>
      <c r="AH157" s="54"/>
      <c r="AI157" s="55"/>
      <c r="AK157" s="56"/>
    </row>
    <row r="158" spans="1:37" x14ac:dyDescent="0.25">
      <c r="A158" s="164" t="s">
        <v>81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183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4.8</v>
      </c>
      <c r="AH159" s="54"/>
      <c r="AI159" s="55"/>
      <c r="AK159" s="56"/>
    </row>
    <row r="160" spans="1:37" x14ac:dyDescent="0.25">
      <c r="A160" s="164" t="s">
        <v>184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185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186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4.5</v>
      </c>
      <c r="AH162" s="54"/>
      <c r="AI162" s="55"/>
      <c r="AK162" s="56"/>
    </row>
    <row r="163" spans="1:37" x14ac:dyDescent="0.25">
      <c r="A163" s="164" t="s">
        <v>187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188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4.4550000000000001</v>
      </c>
      <c r="AH164" s="54"/>
      <c r="AI164" s="55"/>
      <c r="AK164" s="56"/>
    </row>
    <row r="165" spans="1:37" x14ac:dyDescent="0.25">
      <c r="A165" s="164" t="s">
        <v>189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4.41</v>
      </c>
      <c r="AH165" s="54"/>
      <c r="AI165" s="55"/>
      <c r="AK165" s="56"/>
    </row>
    <row r="166" spans="1:37" x14ac:dyDescent="0.25">
      <c r="A166" s="164" t="s">
        <v>190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4.4000000000000004</v>
      </c>
      <c r="AH166" s="54"/>
      <c r="AI166" s="55"/>
      <c r="AK166" s="56"/>
    </row>
    <row r="167" spans="1:37" x14ac:dyDescent="0.25">
      <c r="A167" s="164" t="s">
        <v>191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4.3600000000000003</v>
      </c>
      <c r="AH167" s="54"/>
      <c r="AI167" s="55"/>
      <c r="AK167" s="56"/>
    </row>
    <row r="168" spans="1:37" x14ac:dyDescent="0.25">
      <c r="A168" s="164" t="s">
        <v>192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4.2</v>
      </c>
      <c r="AH168" s="54"/>
      <c r="AI168" s="55"/>
      <c r="AK168" s="56"/>
    </row>
    <row r="169" spans="1:37" x14ac:dyDescent="0.25">
      <c r="A169" s="164" t="s">
        <v>193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</v>
      </c>
      <c r="AH169" s="54"/>
      <c r="AI169" s="55"/>
      <c r="AK169" s="56"/>
    </row>
    <row r="170" spans="1:37" x14ac:dyDescent="0.25">
      <c r="A170" s="164" t="s">
        <v>194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195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196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197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198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199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200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201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3.75</v>
      </c>
      <c r="AH177" s="54"/>
      <c r="AI177" s="55"/>
      <c r="AK177" s="56"/>
    </row>
    <row r="178" spans="1:37" x14ac:dyDescent="0.25">
      <c r="A178" s="164" t="s">
        <v>202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3.52</v>
      </c>
      <c r="AH178" s="54"/>
      <c r="AI178" s="55"/>
      <c r="AK178" s="56"/>
    </row>
    <row r="179" spans="1:37" x14ac:dyDescent="0.25">
      <c r="A179" s="164" t="s">
        <v>203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3.33</v>
      </c>
      <c r="AH179" s="54"/>
      <c r="AI179" s="55"/>
      <c r="AK179" s="56"/>
    </row>
    <row r="180" spans="1:37" x14ac:dyDescent="0.25">
      <c r="A180" s="164" t="s">
        <v>204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3.2</v>
      </c>
      <c r="AH180" s="54"/>
      <c r="AI180" s="55"/>
      <c r="AK180" s="56"/>
    </row>
    <row r="181" spans="1:37" x14ac:dyDescent="0.25">
      <c r="A181" s="164" t="s">
        <v>205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</v>
      </c>
      <c r="AH181" s="54"/>
      <c r="AI181" s="55"/>
      <c r="AK181" s="56"/>
    </row>
    <row r="182" spans="1:37" x14ac:dyDescent="0.25">
      <c r="A182" s="164" t="s">
        <v>206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207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208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209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210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211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212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213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2.83</v>
      </c>
      <c r="AH189" s="54"/>
      <c r="AI189" s="55"/>
      <c r="AK189" s="56"/>
    </row>
    <row r="190" spans="1:37" x14ac:dyDescent="0.25">
      <c r="A190" s="164" t="s">
        <v>214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2.5</v>
      </c>
      <c r="AH190" s="54"/>
      <c r="AI190" s="55"/>
      <c r="AK190" s="56"/>
    </row>
    <row r="191" spans="1:37" x14ac:dyDescent="0.25">
      <c r="A191" s="164" t="s">
        <v>215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216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2.4</v>
      </c>
      <c r="AH192" s="54"/>
      <c r="AI192" s="55"/>
      <c r="AK192" s="56"/>
    </row>
    <row r="193" spans="1:37" x14ac:dyDescent="0.25">
      <c r="A193" s="164" t="s">
        <v>217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218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2.2000000000000002</v>
      </c>
      <c r="AH194" s="54"/>
      <c r="AI194" s="55"/>
      <c r="AK194" s="56"/>
    </row>
    <row r="195" spans="1:37" x14ac:dyDescent="0.25">
      <c r="A195" s="164" t="s">
        <v>219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</v>
      </c>
      <c r="AH195" s="54"/>
      <c r="AI195" s="55"/>
      <c r="AK195" s="56"/>
    </row>
    <row r="196" spans="1:37" x14ac:dyDescent="0.25">
      <c r="A196" s="164" t="s">
        <v>220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221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222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1.8</v>
      </c>
      <c r="AH198" s="54"/>
      <c r="AI198" s="55"/>
      <c r="AK198" s="56"/>
    </row>
    <row r="199" spans="1:37" x14ac:dyDescent="0.25">
      <c r="A199" s="164" t="s">
        <v>223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224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1.65</v>
      </c>
      <c r="AH200" s="54"/>
      <c r="AI200" s="55"/>
      <c r="AK200" s="56"/>
    </row>
    <row r="201" spans="1:37" x14ac:dyDescent="0.25">
      <c r="A201" s="164" t="s">
        <v>225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1.5</v>
      </c>
      <c r="AH201" s="54"/>
      <c r="AI201" s="55"/>
      <c r="AK201" s="56"/>
    </row>
    <row r="202" spans="1:37" x14ac:dyDescent="0.25">
      <c r="A202" s="164" t="s">
        <v>226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0.998</v>
      </c>
      <c r="AH202" s="54"/>
      <c r="AI202" s="55"/>
      <c r="AK202" s="56"/>
    </row>
    <row r="203" spans="1:37" x14ac:dyDescent="0.25">
      <c r="A203" s="164" t="s">
        <v>227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0.997</v>
      </c>
      <c r="AH203" s="54"/>
      <c r="AI203" s="55"/>
      <c r="AK203" s="56"/>
    </row>
    <row r="204" spans="1:37" x14ac:dyDescent="0.25">
      <c r="A204" s="164" t="s">
        <v>228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229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0.996</v>
      </c>
      <c r="AH205" s="54"/>
      <c r="AI205" s="55"/>
      <c r="AK205" s="56"/>
    </row>
    <row r="206" spans="1:37" x14ac:dyDescent="0.25">
      <c r="A206" s="164" t="s">
        <v>230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231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232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0.995</v>
      </c>
      <c r="AH208" s="54"/>
      <c r="AI208" s="55"/>
      <c r="AK208" s="56"/>
    </row>
    <row r="209" spans="1:37" x14ac:dyDescent="0.25">
      <c r="A209" s="164" t="s">
        <v>233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0.99299999999999999</v>
      </c>
      <c r="AH209" s="54"/>
      <c r="AI209" s="55"/>
      <c r="AK209" s="56"/>
    </row>
    <row r="210" spans="1:37" x14ac:dyDescent="0.25">
      <c r="A210" s="164" t="s">
        <v>234</v>
      </c>
      <c r="B210" s="97"/>
      <c r="C210" s="53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</v>
      </c>
      <c r="AH210" s="54"/>
      <c r="AI210" s="55"/>
      <c r="AK210" s="56"/>
    </row>
    <row r="211" spans="1:37" ht="15.75" thickBot="1" x14ac:dyDescent="0.3">
      <c r="A211" s="164" t="s">
        <v>235</v>
      </c>
      <c r="B211" s="102"/>
      <c r="C211" s="166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0">
        <v>0.97899999999999998</v>
      </c>
      <c r="AH211" s="54"/>
      <c r="AI211" s="55"/>
      <c r="AK211" s="56"/>
    </row>
    <row r="212" spans="1:37" ht="15.75" thickBot="1" x14ac:dyDescent="0.3">
      <c r="A212" s="165" t="s">
        <v>82</v>
      </c>
      <c r="B212" s="167">
        <f>SUM(B107:B211)</f>
        <v>0</v>
      </c>
      <c r="C212" s="103">
        <f t="shared" ref="C212:AG212" si="27">SUM(C107:C211)</f>
        <v>0</v>
      </c>
      <c r="D212" s="103">
        <f t="shared" si="27"/>
        <v>0</v>
      </c>
      <c r="E212" s="103">
        <f t="shared" si="27"/>
        <v>0</v>
      </c>
      <c r="F212" s="103">
        <f t="shared" si="27"/>
        <v>0</v>
      </c>
      <c r="G212" s="103">
        <f t="shared" si="27"/>
        <v>0</v>
      </c>
      <c r="H212" s="103">
        <f t="shared" si="27"/>
        <v>0</v>
      </c>
      <c r="I212" s="103">
        <f t="shared" si="27"/>
        <v>0</v>
      </c>
      <c r="J212" s="103">
        <f t="shared" si="27"/>
        <v>0</v>
      </c>
      <c r="K212" s="103">
        <f t="shared" si="27"/>
        <v>0</v>
      </c>
      <c r="L212" s="103">
        <f t="shared" si="27"/>
        <v>0</v>
      </c>
      <c r="M212" s="103">
        <f t="shared" si="27"/>
        <v>0</v>
      </c>
      <c r="N212" s="103">
        <f t="shared" si="27"/>
        <v>0</v>
      </c>
      <c r="O212" s="103">
        <f t="shared" si="27"/>
        <v>0</v>
      </c>
      <c r="P212" s="103">
        <f t="shared" si="27"/>
        <v>0</v>
      </c>
      <c r="Q212" s="103">
        <f t="shared" si="27"/>
        <v>0</v>
      </c>
      <c r="R212" s="103">
        <f t="shared" si="27"/>
        <v>0</v>
      </c>
      <c r="S212" s="103">
        <f t="shared" si="27"/>
        <v>0</v>
      </c>
      <c r="T212" s="103">
        <f t="shared" si="27"/>
        <v>0</v>
      </c>
      <c r="U212" s="103">
        <f t="shared" si="27"/>
        <v>0</v>
      </c>
      <c r="V212" s="103">
        <f t="shared" si="27"/>
        <v>0</v>
      </c>
      <c r="W212" s="103">
        <f t="shared" si="27"/>
        <v>0</v>
      </c>
      <c r="X212" s="103">
        <f t="shared" si="27"/>
        <v>0</v>
      </c>
      <c r="Y212" s="103">
        <f t="shared" si="27"/>
        <v>0</v>
      </c>
      <c r="Z212" s="103">
        <f t="shared" si="27"/>
        <v>0</v>
      </c>
      <c r="AA212" s="103">
        <f t="shared" si="27"/>
        <v>0</v>
      </c>
      <c r="AB212" s="103">
        <f t="shared" si="27"/>
        <v>0</v>
      </c>
      <c r="AC212" s="103">
        <f t="shared" si="27"/>
        <v>0</v>
      </c>
      <c r="AD212" s="103">
        <f t="shared" si="27"/>
        <v>0</v>
      </c>
      <c r="AE212" s="103">
        <f t="shared" si="27"/>
        <v>0</v>
      </c>
      <c r="AF212" s="168">
        <f t="shared" si="27"/>
        <v>0</v>
      </c>
      <c r="AG212" s="169">
        <f t="shared" si="27"/>
        <v>412.72299999999984</v>
      </c>
      <c r="AH212" s="54"/>
      <c r="AI212" s="55"/>
      <c r="AK212" s="56"/>
    </row>
    <row r="213" spans="1:37" ht="15.75" thickBot="1" x14ac:dyDescent="0.3">
      <c r="A213" s="28" t="s">
        <v>35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149"/>
      <c r="AH213" s="54"/>
      <c r="AI213" s="55"/>
      <c r="AK213" s="56"/>
    </row>
    <row r="214" spans="1:37" x14ac:dyDescent="0.25">
      <c r="A214" s="170" t="s">
        <v>83</v>
      </c>
      <c r="B214" s="101">
        <f t="shared" ref="B214:B219" si="28">AF214</f>
        <v>0</v>
      </c>
      <c r="C214" s="101">
        <v>0.3</v>
      </c>
      <c r="D214" s="101">
        <f t="shared" ref="D214:P219" si="29">C214</f>
        <v>0.3</v>
      </c>
      <c r="E214" s="101">
        <f t="shared" si="29"/>
        <v>0.3</v>
      </c>
      <c r="F214" s="101">
        <f t="shared" si="29"/>
        <v>0.3</v>
      </c>
      <c r="G214" s="101">
        <f t="shared" si="29"/>
        <v>0.3</v>
      </c>
      <c r="H214" s="101">
        <f t="shared" si="29"/>
        <v>0.3</v>
      </c>
      <c r="I214" s="101">
        <f t="shared" si="29"/>
        <v>0.3</v>
      </c>
      <c r="J214" s="101">
        <f t="shared" si="29"/>
        <v>0.3</v>
      </c>
      <c r="K214" s="101">
        <f t="shared" si="29"/>
        <v>0.3</v>
      </c>
      <c r="L214" s="101">
        <f t="shared" si="29"/>
        <v>0.3</v>
      </c>
      <c r="M214" s="101">
        <f t="shared" si="29"/>
        <v>0.3</v>
      </c>
      <c r="N214" s="101">
        <f t="shared" si="29"/>
        <v>0.3</v>
      </c>
      <c r="O214" s="101">
        <f t="shared" si="29"/>
        <v>0.3</v>
      </c>
      <c r="P214" s="101">
        <f t="shared" si="29"/>
        <v>0.3</v>
      </c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55">
        <v>2.4</v>
      </c>
      <c r="AH214" s="54"/>
      <c r="AI214" s="55"/>
      <c r="AK214" s="56"/>
    </row>
    <row r="215" spans="1:37" x14ac:dyDescent="0.25">
      <c r="A215" s="163" t="s">
        <v>84</v>
      </c>
      <c r="B215" s="97">
        <f t="shared" si="28"/>
        <v>0</v>
      </c>
      <c r="C215" s="97">
        <v>0.4</v>
      </c>
      <c r="D215" s="97">
        <f t="shared" si="29"/>
        <v>0.4</v>
      </c>
      <c r="E215" s="97">
        <f t="shared" si="29"/>
        <v>0.4</v>
      </c>
      <c r="F215" s="97">
        <f t="shared" si="29"/>
        <v>0.4</v>
      </c>
      <c r="G215" s="97">
        <f t="shared" si="29"/>
        <v>0.4</v>
      </c>
      <c r="H215" s="97">
        <f t="shared" si="29"/>
        <v>0.4</v>
      </c>
      <c r="I215" s="97">
        <f t="shared" si="29"/>
        <v>0.4</v>
      </c>
      <c r="J215" s="97">
        <f t="shared" si="29"/>
        <v>0.4</v>
      </c>
      <c r="K215" s="97">
        <f t="shared" si="29"/>
        <v>0.4</v>
      </c>
      <c r="L215" s="97">
        <f t="shared" si="29"/>
        <v>0.4</v>
      </c>
      <c r="M215" s="97">
        <f t="shared" si="29"/>
        <v>0.4</v>
      </c>
      <c r="N215" s="97">
        <f t="shared" si="29"/>
        <v>0.4</v>
      </c>
      <c r="O215" s="97">
        <f t="shared" si="29"/>
        <v>0.4</v>
      </c>
      <c r="P215" s="97">
        <f t="shared" si="29"/>
        <v>0.4</v>
      </c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56">
        <v>2</v>
      </c>
      <c r="AH215" s="54"/>
      <c r="AI215" s="55"/>
      <c r="AK215" s="56"/>
    </row>
    <row r="216" spans="1:37" x14ac:dyDescent="0.25">
      <c r="A216" s="163" t="s">
        <v>85</v>
      </c>
      <c r="B216" s="97">
        <f t="shared" si="28"/>
        <v>0</v>
      </c>
      <c r="C216" s="97">
        <v>1.5</v>
      </c>
      <c r="D216" s="97">
        <f t="shared" si="29"/>
        <v>1.5</v>
      </c>
      <c r="E216" s="97">
        <f t="shared" si="29"/>
        <v>1.5</v>
      </c>
      <c r="F216" s="97">
        <f t="shared" si="29"/>
        <v>1.5</v>
      </c>
      <c r="G216" s="97">
        <f t="shared" si="29"/>
        <v>1.5</v>
      </c>
      <c r="H216" s="97">
        <f t="shared" si="29"/>
        <v>1.5</v>
      </c>
      <c r="I216" s="97">
        <f t="shared" si="29"/>
        <v>1.5</v>
      </c>
      <c r="J216" s="97">
        <f t="shared" si="29"/>
        <v>1.5</v>
      </c>
      <c r="K216" s="97">
        <f t="shared" si="29"/>
        <v>1.5</v>
      </c>
      <c r="L216" s="97">
        <f t="shared" si="29"/>
        <v>1.5</v>
      </c>
      <c r="M216" s="97">
        <f t="shared" si="29"/>
        <v>1.5</v>
      </c>
      <c r="N216" s="97">
        <f t="shared" si="29"/>
        <v>1.5</v>
      </c>
      <c r="O216" s="97">
        <f t="shared" si="29"/>
        <v>1.5</v>
      </c>
      <c r="P216" s="97">
        <f t="shared" si="29"/>
        <v>1.5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1.5</v>
      </c>
      <c r="AH216" s="54"/>
      <c r="AI216" s="55"/>
      <c r="AK216" s="56"/>
    </row>
    <row r="217" spans="1:37" x14ac:dyDescent="0.25">
      <c r="A217" s="163" t="s">
        <v>86</v>
      </c>
      <c r="B217" s="97">
        <f t="shared" si="28"/>
        <v>0</v>
      </c>
      <c r="C217" s="97">
        <v>0.3</v>
      </c>
      <c r="D217" s="97">
        <f t="shared" si="29"/>
        <v>0.3</v>
      </c>
      <c r="E217" s="97">
        <f t="shared" si="29"/>
        <v>0.3</v>
      </c>
      <c r="F217" s="97">
        <f t="shared" si="29"/>
        <v>0.3</v>
      </c>
      <c r="G217" s="97">
        <f t="shared" si="29"/>
        <v>0.3</v>
      </c>
      <c r="H217" s="97">
        <f t="shared" si="29"/>
        <v>0.3</v>
      </c>
      <c r="I217" s="97">
        <f t="shared" si="29"/>
        <v>0.3</v>
      </c>
      <c r="J217" s="97">
        <f t="shared" si="29"/>
        <v>0.3</v>
      </c>
      <c r="K217" s="97">
        <f t="shared" si="29"/>
        <v>0.3</v>
      </c>
      <c r="L217" s="97">
        <f t="shared" si="29"/>
        <v>0.3</v>
      </c>
      <c r="M217" s="97">
        <f t="shared" si="29"/>
        <v>0.3</v>
      </c>
      <c r="N217" s="97">
        <f t="shared" si="29"/>
        <v>0.3</v>
      </c>
      <c r="O217" s="97">
        <f t="shared" si="29"/>
        <v>0.3</v>
      </c>
      <c r="P217" s="97">
        <f t="shared" si="29"/>
        <v>0.3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</v>
      </c>
      <c r="AH217" s="54"/>
      <c r="AI217" s="55"/>
      <c r="AK217" s="56"/>
    </row>
    <row r="218" spans="1:37" x14ac:dyDescent="0.25">
      <c r="A218" s="163" t="s">
        <v>87</v>
      </c>
      <c r="B218" s="97">
        <f t="shared" si="28"/>
        <v>0</v>
      </c>
      <c r="C218" s="97">
        <v>0.4</v>
      </c>
      <c r="D218" s="97">
        <f t="shared" si="29"/>
        <v>0.4</v>
      </c>
      <c r="E218" s="97">
        <f t="shared" si="29"/>
        <v>0.4</v>
      </c>
      <c r="F218" s="97">
        <f t="shared" si="29"/>
        <v>0.4</v>
      </c>
      <c r="G218" s="97">
        <f t="shared" si="29"/>
        <v>0.4</v>
      </c>
      <c r="H218" s="97">
        <f t="shared" si="29"/>
        <v>0.4</v>
      </c>
      <c r="I218" s="97">
        <f t="shared" si="29"/>
        <v>0.4</v>
      </c>
      <c r="J218" s="97">
        <f t="shared" si="29"/>
        <v>0.4</v>
      </c>
      <c r="K218" s="97">
        <f t="shared" si="29"/>
        <v>0.4</v>
      </c>
      <c r="L218" s="97">
        <f t="shared" si="29"/>
        <v>0.4</v>
      </c>
      <c r="M218" s="97">
        <f t="shared" si="29"/>
        <v>0.4</v>
      </c>
      <c r="N218" s="97">
        <f t="shared" si="29"/>
        <v>0.4</v>
      </c>
      <c r="O218" s="97">
        <f t="shared" si="29"/>
        <v>0.4</v>
      </c>
      <c r="P218" s="97">
        <f t="shared" si="29"/>
        <v>0.4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ht="15.75" thickBot="1" x14ac:dyDescent="0.3">
      <c r="A219" s="164" t="s">
        <v>88</v>
      </c>
      <c r="B219" s="102">
        <f t="shared" si="28"/>
        <v>0</v>
      </c>
      <c r="C219" s="102">
        <v>0.64</v>
      </c>
      <c r="D219" s="102">
        <f t="shared" si="29"/>
        <v>0.64</v>
      </c>
      <c r="E219" s="102">
        <f t="shared" si="29"/>
        <v>0.64</v>
      </c>
      <c r="F219" s="102">
        <f t="shared" si="29"/>
        <v>0.64</v>
      </c>
      <c r="G219" s="102">
        <f t="shared" si="29"/>
        <v>0.64</v>
      </c>
      <c r="H219" s="102">
        <f t="shared" si="29"/>
        <v>0.64</v>
      </c>
      <c r="I219" s="102">
        <f t="shared" si="29"/>
        <v>0.64</v>
      </c>
      <c r="J219" s="102">
        <f t="shared" si="29"/>
        <v>0.64</v>
      </c>
      <c r="K219" s="102">
        <f t="shared" si="29"/>
        <v>0.64</v>
      </c>
      <c r="L219" s="102">
        <f t="shared" si="29"/>
        <v>0.64</v>
      </c>
      <c r="M219" s="102">
        <f t="shared" si="29"/>
        <v>0.64</v>
      </c>
      <c r="N219" s="102">
        <f t="shared" si="29"/>
        <v>0.64</v>
      </c>
      <c r="O219" s="102">
        <f t="shared" si="29"/>
        <v>0.64</v>
      </c>
      <c r="P219" s="102">
        <f t="shared" si="29"/>
        <v>0.64</v>
      </c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57">
        <v>0.66</v>
      </c>
      <c r="AH219" s="54"/>
      <c r="AI219" s="55"/>
    </row>
    <row r="220" spans="1:37" ht="15.75" thickBot="1" x14ac:dyDescent="0.3">
      <c r="A220" s="173" t="s">
        <v>35</v>
      </c>
      <c r="B220" s="103">
        <f>SUM(B214:B219)</f>
        <v>0</v>
      </c>
      <c r="C220" s="103">
        <f>SUM(C214:C219)</f>
        <v>3.54</v>
      </c>
      <c r="D220" s="103">
        <f t="shared" ref="D220:L220" si="30">SUM(D214:D219)</f>
        <v>3.54</v>
      </c>
      <c r="E220" s="103">
        <f t="shared" si="30"/>
        <v>3.54</v>
      </c>
      <c r="F220" s="103">
        <f t="shared" si="30"/>
        <v>3.54</v>
      </c>
      <c r="G220" s="103">
        <f t="shared" si="30"/>
        <v>3.54</v>
      </c>
      <c r="H220" s="103">
        <f t="shared" si="30"/>
        <v>3.54</v>
      </c>
      <c r="I220" s="103">
        <f t="shared" si="30"/>
        <v>3.54</v>
      </c>
      <c r="J220" s="103">
        <f t="shared" si="30"/>
        <v>3.54</v>
      </c>
      <c r="K220" s="103">
        <f t="shared" si="30"/>
        <v>3.54</v>
      </c>
      <c r="L220" s="103">
        <f t="shared" si="30"/>
        <v>3.54</v>
      </c>
      <c r="M220" s="103">
        <f>SUM(M214:M219)</f>
        <v>3.54</v>
      </c>
      <c r="N220" s="103">
        <f t="shared" ref="N220:S220" si="31">SUM(N214:N219)</f>
        <v>3.54</v>
      </c>
      <c r="O220" s="103">
        <f t="shared" si="31"/>
        <v>3.54</v>
      </c>
      <c r="P220" s="103">
        <f t="shared" si="31"/>
        <v>3.54</v>
      </c>
      <c r="Q220" s="103">
        <f t="shared" si="31"/>
        <v>0</v>
      </c>
      <c r="R220" s="103">
        <f t="shared" si="31"/>
        <v>0</v>
      </c>
      <c r="S220" s="103">
        <f t="shared" si="31"/>
        <v>0</v>
      </c>
      <c r="T220" s="103">
        <f>SUM(T214:T219)</f>
        <v>0</v>
      </c>
      <c r="U220" s="103">
        <f t="shared" ref="U220:AG220" si="32">SUM(U214:U219)</f>
        <v>0</v>
      </c>
      <c r="V220" s="103">
        <f t="shared" si="32"/>
        <v>0</v>
      </c>
      <c r="W220" s="103">
        <f t="shared" si="32"/>
        <v>0</v>
      </c>
      <c r="X220" s="103">
        <f t="shared" si="32"/>
        <v>0</v>
      </c>
      <c r="Y220" s="103">
        <f t="shared" si="32"/>
        <v>0</v>
      </c>
      <c r="Z220" s="103">
        <f t="shared" si="32"/>
        <v>0</v>
      </c>
      <c r="AA220" s="103">
        <f t="shared" si="32"/>
        <v>0</v>
      </c>
      <c r="AB220" s="103">
        <f t="shared" si="32"/>
        <v>0</v>
      </c>
      <c r="AC220" s="103">
        <f t="shared" si="32"/>
        <v>0</v>
      </c>
      <c r="AD220" s="103">
        <f t="shared" si="32"/>
        <v>0</v>
      </c>
      <c r="AE220" s="103">
        <f t="shared" si="32"/>
        <v>0</v>
      </c>
      <c r="AF220" s="103">
        <f t="shared" si="32"/>
        <v>0</v>
      </c>
      <c r="AG220" s="158">
        <f t="shared" si="32"/>
        <v>8.56</v>
      </c>
      <c r="AH220" s="54"/>
      <c r="AI220" s="55"/>
    </row>
    <row r="221" spans="1:37" ht="15.75" thickBot="1" x14ac:dyDescent="0.3"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  <c r="AC221" s="179"/>
      <c r="AD221" s="179"/>
      <c r="AE221" s="179"/>
      <c r="AF221" s="179"/>
      <c r="AG221" s="84"/>
      <c r="AH221" s="179"/>
    </row>
    <row r="222" spans="1:37" x14ac:dyDescent="0.25">
      <c r="A222" s="79" t="s">
        <v>89</v>
      </c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5"/>
      <c r="AG222" s="179"/>
      <c r="AH222" s="54"/>
      <c r="AI222" s="55"/>
    </row>
    <row r="223" spans="1:37" x14ac:dyDescent="0.25">
      <c r="A223" s="106" t="s">
        <v>90</v>
      </c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8"/>
      <c r="AG223" s="109"/>
      <c r="AH223" s="54"/>
      <c r="AI223" s="55"/>
    </row>
    <row r="224" spans="1:37" x14ac:dyDescent="0.25">
      <c r="A224" s="81" t="s">
        <v>91</v>
      </c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1"/>
      <c r="AG224" s="109"/>
      <c r="AH224" s="54"/>
      <c r="AI224" s="55"/>
    </row>
    <row r="225" spans="1:50" x14ac:dyDescent="0.25">
      <c r="A225" s="81" t="s">
        <v>92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ht="15.75" thickBot="1" x14ac:dyDescent="0.3">
      <c r="A226" s="112" t="s">
        <v>93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4"/>
      <c r="AG226" s="109"/>
      <c r="AH226" s="54"/>
      <c r="AI226" s="55"/>
    </row>
    <row r="227" spans="1:50" x14ac:dyDescent="0.25"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  <c r="AC227" s="179"/>
      <c r="AD227" s="179"/>
      <c r="AE227" s="179"/>
      <c r="AF227" s="179"/>
      <c r="AG227" s="179"/>
      <c r="AH227" s="179"/>
    </row>
    <row r="228" spans="1:50" x14ac:dyDescent="0.25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  <c r="AC228" s="179"/>
      <c r="AD228" s="179"/>
      <c r="AE228" s="179"/>
      <c r="AF228" s="179"/>
      <c r="AG228" s="179"/>
      <c r="AH228" s="179"/>
    </row>
    <row r="229" spans="1:50" x14ac:dyDescent="0.25">
      <c r="A229" s="115" t="s">
        <v>94</v>
      </c>
      <c r="B229" s="116">
        <f>MAX(G79:N79)</f>
        <v>1661.54</v>
      </c>
      <c r="C229" s="117">
        <f>INDEX(G9:N9,1,MATCH(MAX(G79:N79),G79:N79,0))</f>
        <v>0.33333333333333331</v>
      </c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  <c r="AC229" s="179"/>
      <c r="AD229" s="179"/>
      <c r="AE229" s="179"/>
      <c r="AF229" s="179"/>
      <c r="AG229" s="179"/>
      <c r="AH229" s="179"/>
    </row>
    <row r="230" spans="1:50" x14ac:dyDescent="0.25"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18" t="str">
        <f ca="1">MID(CELL("filename",C7),FIND("]",CELL("filename",C7))+1,600)</f>
        <v>21</v>
      </c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79"/>
      <c r="AH230" s="179"/>
    </row>
    <row r="231" spans="1:50" x14ac:dyDescent="0.25">
      <c r="A231" s="208" t="s">
        <v>95</v>
      </c>
      <c r="B231" s="208"/>
      <c r="C231" s="179"/>
      <c r="D231" s="118" t="str">
        <f ca="1">"Pie Chart of Daily Peak Demand(Inclusive of Export) of Nepal ("&amp;A4&amp;" "&amp;B4&amp;")"</f>
        <v>Pie Chart of Daily Peak Demand(Inclusive of Export) of Nepal (Nepali Date: 2079/02/21)</v>
      </c>
      <c r="E231" s="179"/>
      <c r="F231" s="179"/>
      <c r="G231" s="118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18" t="str">
        <f ca="1">"Daily Load Curve(Excluding of Export) of Nepal ("&amp;A4&amp;" "&amp;B4&amp;")"</f>
        <v>Daily Load Curve(Excluding of Export) of Nepal (Nepali Date: 2079/02/21)</v>
      </c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  <c r="AE231" s="179"/>
      <c r="AF231" s="179"/>
      <c r="AG231" s="179"/>
      <c r="AH231" s="179"/>
    </row>
    <row r="232" spans="1:50" ht="12.75" customHeight="1" thickBot="1" x14ac:dyDescent="0.3">
      <c r="A232" s="119" t="s">
        <v>7</v>
      </c>
      <c r="B232" s="120"/>
      <c r="C232" s="179"/>
      <c r="D232" s="121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  <c r="AC232" s="179"/>
      <c r="AD232" s="179"/>
      <c r="AE232" s="179"/>
      <c r="AF232" s="179"/>
      <c r="AG232" s="179"/>
      <c r="AH232" s="179"/>
    </row>
    <row r="233" spans="1:50" ht="15.75" thickTop="1" x14ac:dyDescent="0.25">
      <c r="A233" s="119" t="s">
        <v>96</v>
      </c>
      <c r="B233" s="120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22" t="s">
        <v>97</v>
      </c>
      <c r="T233" s="123">
        <v>0</v>
      </c>
      <c r="U233" s="124">
        <v>4.1666666666666664E-2</v>
      </c>
      <c r="V233" s="125">
        <v>8.3333333333333301E-2</v>
      </c>
      <c r="W233" s="125">
        <v>0.125</v>
      </c>
      <c r="X233" s="125">
        <v>0.16666666666666699</v>
      </c>
      <c r="Y233" s="125">
        <v>0.20833333333333301</v>
      </c>
      <c r="Z233" s="125">
        <v>0.22916666666666666</v>
      </c>
      <c r="AA233" s="125">
        <v>0.25</v>
      </c>
      <c r="AB233" s="125">
        <v>0.27083333333333331</v>
      </c>
      <c r="AC233" s="125">
        <v>0.29166666666666669</v>
      </c>
      <c r="AD233" s="125">
        <v>0.3125</v>
      </c>
      <c r="AE233" s="126">
        <v>0.33333333333333331</v>
      </c>
      <c r="AF233" s="126">
        <v>0.375</v>
      </c>
      <c r="AG233" s="126">
        <v>0.41666666666666702</v>
      </c>
      <c r="AH233" s="126">
        <v>0.45833333333333298</v>
      </c>
      <c r="AI233" s="126">
        <v>0.5</v>
      </c>
      <c r="AJ233" s="126">
        <v>0.54166666666666696</v>
      </c>
      <c r="AK233" s="126">
        <v>0.58333333333333304</v>
      </c>
      <c r="AL233" s="126">
        <v>0.625</v>
      </c>
      <c r="AM233" s="126">
        <v>0.66666666666666696</v>
      </c>
      <c r="AN233" s="126">
        <v>0.70833333333333304</v>
      </c>
      <c r="AO233" s="126">
        <v>0.72916666666666663</v>
      </c>
      <c r="AP233" s="126">
        <v>0.75</v>
      </c>
      <c r="AQ233" s="126">
        <v>0.77083333333333337</v>
      </c>
      <c r="AR233" s="126">
        <v>0.79166666666666663</v>
      </c>
      <c r="AS233" s="126">
        <v>0.8125</v>
      </c>
      <c r="AT233" s="125">
        <v>0.83333333333333337</v>
      </c>
      <c r="AU233" s="125">
        <v>0.85416666666666663</v>
      </c>
      <c r="AV233" s="125">
        <v>0.875</v>
      </c>
      <c r="AW233" s="125">
        <v>0.91666666666666696</v>
      </c>
      <c r="AX233" s="125">
        <v>0.95833333333333304</v>
      </c>
    </row>
    <row r="234" spans="1:50" x14ac:dyDescent="0.25">
      <c r="A234" s="119" t="s">
        <v>98</v>
      </c>
      <c r="B234" s="120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 t="s">
        <v>99</v>
      </c>
      <c r="T234" s="127">
        <f t="shared" ref="T234:AX234" si="33">B79</f>
        <v>1787.34</v>
      </c>
      <c r="U234" s="127">
        <f t="shared" si="33"/>
        <v>1678.74</v>
      </c>
      <c r="V234" s="127">
        <f t="shared" si="33"/>
        <v>1696.8400000000001</v>
      </c>
      <c r="W234" s="127">
        <f t="shared" si="33"/>
        <v>1662.1399999999999</v>
      </c>
      <c r="X234" s="127">
        <f t="shared" si="33"/>
        <v>1636.1399999999999</v>
      </c>
      <c r="Y234" s="127">
        <f t="shared" si="33"/>
        <v>1634.6399999999999</v>
      </c>
      <c r="Z234" s="127">
        <f t="shared" si="33"/>
        <v>1619.1399999999996</v>
      </c>
      <c r="AA234" s="127">
        <f t="shared" si="33"/>
        <v>1631.54</v>
      </c>
      <c r="AB234" s="127">
        <f t="shared" si="33"/>
        <v>1609.0399999999997</v>
      </c>
      <c r="AC234" s="127">
        <f t="shared" si="33"/>
        <v>1655.14</v>
      </c>
      <c r="AD234" s="127">
        <f t="shared" si="33"/>
        <v>1654.74</v>
      </c>
      <c r="AE234" s="127">
        <f t="shared" si="33"/>
        <v>1661.54</v>
      </c>
      <c r="AF234" s="127">
        <f t="shared" si="33"/>
        <v>1617.64</v>
      </c>
      <c r="AG234" s="127">
        <f t="shared" si="33"/>
        <v>1673.44</v>
      </c>
      <c r="AH234" s="127">
        <f t="shared" si="33"/>
        <v>1704.3400000000001</v>
      </c>
      <c r="AI234" s="127">
        <f t="shared" si="33"/>
        <v>1759.5400000000002</v>
      </c>
      <c r="AJ234" s="127">
        <f t="shared" si="33"/>
        <v>1703.24</v>
      </c>
      <c r="AK234" s="127">
        <f t="shared" si="33"/>
        <v>1696.34</v>
      </c>
      <c r="AL234" s="127">
        <f t="shared" si="33"/>
        <v>1716.34</v>
      </c>
      <c r="AM234" s="127">
        <f t="shared" si="33"/>
        <v>1687.34</v>
      </c>
      <c r="AN234" s="127">
        <f t="shared" si="33"/>
        <v>1710.6399999999999</v>
      </c>
      <c r="AO234" s="127">
        <f t="shared" si="33"/>
        <v>1739.84</v>
      </c>
      <c r="AP234" s="127">
        <f t="shared" si="33"/>
        <v>1659.6399999999999</v>
      </c>
      <c r="AQ234" s="127">
        <f t="shared" si="33"/>
        <v>1765.04</v>
      </c>
      <c r="AR234" s="127">
        <f t="shared" si="33"/>
        <v>1771.04</v>
      </c>
      <c r="AS234" s="127">
        <f t="shared" si="33"/>
        <v>1880.5400000000002</v>
      </c>
      <c r="AT234" s="127">
        <f t="shared" si="33"/>
        <v>1891.74</v>
      </c>
      <c r="AU234" s="127">
        <f t="shared" si="33"/>
        <v>1892.54</v>
      </c>
      <c r="AV234" s="127">
        <f t="shared" si="33"/>
        <v>1876.64</v>
      </c>
      <c r="AW234" s="127">
        <f t="shared" si="33"/>
        <v>1814.9399999999998</v>
      </c>
      <c r="AX234" s="127">
        <f t="shared" si="33"/>
        <v>1743.34</v>
      </c>
    </row>
    <row r="235" spans="1:50" x14ac:dyDescent="0.25">
      <c r="A235" s="119" t="s">
        <v>100</v>
      </c>
      <c r="B235" s="120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  <c r="AC235" s="179"/>
      <c r="AD235" s="179"/>
      <c r="AE235" s="179"/>
      <c r="AF235" s="179"/>
      <c r="AG235" s="179"/>
      <c r="AH235" s="179"/>
    </row>
    <row r="236" spans="1:50" x14ac:dyDescent="0.25">
      <c r="A236" s="119" t="s">
        <v>101</v>
      </c>
      <c r="B236" s="120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79"/>
      <c r="AE236" s="179"/>
      <c r="AF236" s="179"/>
      <c r="AG236" s="179"/>
      <c r="AH236" s="179"/>
    </row>
    <row r="237" spans="1:50" x14ac:dyDescent="0.25">
      <c r="A237" s="119" t="s">
        <v>102</v>
      </c>
      <c r="B237" s="120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  <c r="AE237" s="179"/>
      <c r="AF237" s="179"/>
      <c r="AG237" s="179"/>
      <c r="AH237" s="179"/>
    </row>
    <row r="238" spans="1:50" x14ac:dyDescent="0.25">
      <c r="A238" s="119" t="s">
        <v>103</v>
      </c>
      <c r="B238" s="128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  <c r="AE238" s="179"/>
      <c r="AF238" s="179"/>
      <c r="AG238" s="179"/>
      <c r="AH238" s="179"/>
    </row>
    <row r="239" spans="1:50" x14ac:dyDescent="0.25">
      <c r="A239" s="119" t="s">
        <v>104</v>
      </c>
      <c r="B239" s="120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</row>
    <row r="240" spans="1:50" x14ac:dyDescent="0.25"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  <c r="AD240" s="179"/>
      <c r="AE240" s="179"/>
      <c r="AF240" s="179"/>
      <c r="AG240" s="179"/>
      <c r="AH240" s="179"/>
    </row>
    <row r="241" spans="1:36" x14ac:dyDescent="0.25"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  <c r="AC241" s="179"/>
      <c r="AD241" s="179"/>
      <c r="AE241" s="179"/>
      <c r="AF241" s="179"/>
      <c r="AG241" s="179"/>
      <c r="AH241" s="179"/>
    </row>
    <row r="242" spans="1:36" x14ac:dyDescent="0.25"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  <c r="AC242" s="179"/>
      <c r="AD242" s="179"/>
      <c r="AE242" s="179"/>
      <c r="AF242" s="179"/>
      <c r="AG242" s="179"/>
      <c r="AH242" s="179"/>
    </row>
    <row r="243" spans="1:36" x14ac:dyDescent="0.25"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  <c r="AC243" s="179"/>
      <c r="AD243" s="179"/>
      <c r="AE243" s="179"/>
      <c r="AF243" s="179"/>
      <c r="AG243" s="179"/>
      <c r="AH243" s="179"/>
    </row>
    <row r="244" spans="1:36" x14ac:dyDescent="0.25"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  <c r="AC244" s="179"/>
      <c r="AD244" s="179"/>
      <c r="AE244" s="179"/>
      <c r="AF244" s="179"/>
      <c r="AG244" s="179"/>
      <c r="AH244" s="179"/>
    </row>
    <row r="245" spans="1:36" x14ac:dyDescent="0.25"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  <c r="AG245" s="179"/>
      <c r="AH245" s="179"/>
    </row>
    <row r="246" spans="1:36" x14ac:dyDescent="0.25"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  <c r="AC246" s="179"/>
      <c r="AD246" s="179"/>
      <c r="AE246" s="179"/>
      <c r="AF246" s="179"/>
      <c r="AG246" s="179"/>
      <c r="AH246" s="179"/>
      <c r="AJ246"/>
    </row>
    <row r="247" spans="1:36" x14ac:dyDescent="0.25"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  <c r="AC247" s="179"/>
      <c r="AD247" s="179"/>
      <c r="AE247" s="179"/>
      <c r="AF247" s="179"/>
      <c r="AG247" s="179"/>
      <c r="AH247" s="179"/>
      <c r="AJ247"/>
    </row>
    <row r="248" spans="1:36" x14ac:dyDescent="0.25"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  <c r="AC248" s="179"/>
      <c r="AD248" s="179"/>
      <c r="AE248" s="179"/>
      <c r="AF248" s="179"/>
      <c r="AG248" s="179"/>
      <c r="AH248" s="179"/>
      <c r="AJ248"/>
    </row>
    <row r="249" spans="1:36" x14ac:dyDescent="0.25"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  <c r="AC249" s="179"/>
      <c r="AD249" s="179"/>
      <c r="AE249" s="179"/>
      <c r="AF249" s="179"/>
      <c r="AG249" s="179"/>
      <c r="AH249" s="179"/>
      <c r="AJ249"/>
    </row>
    <row r="250" spans="1:36" x14ac:dyDescent="0.25"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  <c r="AC250" s="179"/>
      <c r="AD250" s="179"/>
      <c r="AE250" s="179"/>
      <c r="AF250" s="179"/>
      <c r="AG250" s="179"/>
      <c r="AH250" s="179"/>
      <c r="AJ250"/>
    </row>
    <row r="251" spans="1:36" x14ac:dyDescent="0.25"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  <c r="AE251" s="179"/>
      <c r="AF251" s="179"/>
      <c r="AG251" s="179"/>
      <c r="AH251" s="179"/>
      <c r="AJ251"/>
    </row>
    <row r="252" spans="1:36" x14ac:dyDescent="0.25"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  <c r="AC252" s="179"/>
      <c r="AD252" s="179"/>
      <c r="AE252" s="179"/>
      <c r="AF252" s="179"/>
      <c r="AG252" s="179"/>
      <c r="AH252" s="179"/>
      <c r="AJ252"/>
    </row>
    <row r="253" spans="1:36" x14ac:dyDescent="0.25"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J253"/>
    </row>
    <row r="254" spans="1:36" x14ac:dyDescent="0.25"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  <c r="AE254" s="179"/>
      <c r="AF254" s="179"/>
      <c r="AG254" s="179"/>
      <c r="AH254" s="179"/>
      <c r="AJ254"/>
    </row>
    <row r="255" spans="1:36" x14ac:dyDescent="0.25">
      <c r="A255" s="129" t="s">
        <v>89</v>
      </c>
      <c r="B255" s="130">
        <f t="shared" ref="B255:AE255" si="34">C219</f>
        <v>0.64</v>
      </c>
      <c r="C255" s="130">
        <f t="shared" si="34"/>
        <v>0.64</v>
      </c>
      <c r="D255" s="130">
        <f t="shared" si="34"/>
        <v>0.64</v>
      </c>
      <c r="E255" s="130">
        <f t="shared" si="34"/>
        <v>0.64</v>
      </c>
      <c r="F255" s="130">
        <f t="shared" si="34"/>
        <v>0.64</v>
      </c>
      <c r="G255" s="130">
        <f t="shared" si="34"/>
        <v>0.64</v>
      </c>
      <c r="H255" s="130">
        <f t="shared" si="34"/>
        <v>0.64</v>
      </c>
      <c r="I255" s="130">
        <f t="shared" si="34"/>
        <v>0.64</v>
      </c>
      <c r="J255" s="130">
        <f t="shared" si="34"/>
        <v>0.64</v>
      </c>
      <c r="K255" s="130">
        <f t="shared" si="34"/>
        <v>0.64</v>
      </c>
      <c r="L255" s="130">
        <f t="shared" si="34"/>
        <v>0.64</v>
      </c>
      <c r="M255" s="130">
        <f t="shared" si="34"/>
        <v>0.64</v>
      </c>
      <c r="N255" s="130">
        <f t="shared" si="34"/>
        <v>0.64</v>
      </c>
      <c r="O255" s="130">
        <f t="shared" si="34"/>
        <v>0.64</v>
      </c>
      <c r="P255" s="130">
        <f t="shared" si="34"/>
        <v>0</v>
      </c>
      <c r="Q255" s="130">
        <f t="shared" si="34"/>
        <v>0</v>
      </c>
      <c r="R255" s="130">
        <f t="shared" si="34"/>
        <v>0</v>
      </c>
      <c r="S255" s="130">
        <f t="shared" si="34"/>
        <v>0</v>
      </c>
      <c r="T255" s="130">
        <f t="shared" si="34"/>
        <v>0</v>
      </c>
      <c r="U255" s="130">
        <f t="shared" si="34"/>
        <v>0</v>
      </c>
      <c r="V255" s="130">
        <f t="shared" si="34"/>
        <v>0</v>
      </c>
      <c r="W255" s="130">
        <f t="shared" si="34"/>
        <v>0</v>
      </c>
      <c r="X255" s="130">
        <f t="shared" si="34"/>
        <v>0</v>
      </c>
      <c r="Y255" s="130">
        <f t="shared" si="34"/>
        <v>0</v>
      </c>
      <c r="Z255" s="130">
        <f t="shared" si="34"/>
        <v>0</v>
      </c>
      <c r="AA255" s="130">
        <f t="shared" si="34"/>
        <v>0</v>
      </c>
      <c r="AB255" s="130">
        <f t="shared" si="34"/>
        <v>0</v>
      </c>
      <c r="AC255" s="130">
        <f t="shared" si="34"/>
        <v>0</v>
      </c>
      <c r="AD255" s="130">
        <f t="shared" si="34"/>
        <v>0</v>
      </c>
      <c r="AE255" s="130">
        <f t="shared" si="34"/>
        <v>0</v>
      </c>
      <c r="AF255" s="130">
        <f>B219</f>
        <v>0</v>
      </c>
      <c r="AG255" s="179"/>
      <c r="AH255" s="179"/>
      <c r="AJ255"/>
    </row>
    <row r="256" spans="1:36" x14ac:dyDescent="0.25">
      <c r="A256" s="88" t="str">
        <f>A223</f>
        <v>KGA</v>
      </c>
      <c r="B256" s="88" t="str">
        <f>IF(B223&lt;100,"",B223-520)</f>
        <v/>
      </c>
      <c r="C256" s="88" t="str">
        <f t="shared" ref="C256:AF256" si="35">IF(C223&lt;100,"",C223-520)</f>
        <v/>
      </c>
      <c r="D256" s="88" t="str">
        <f t="shared" si="35"/>
        <v/>
      </c>
      <c r="E256" s="88" t="str">
        <f t="shared" si="35"/>
        <v/>
      </c>
      <c r="F256" s="88" t="str">
        <f t="shared" si="35"/>
        <v/>
      </c>
      <c r="G256" s="88" t="str">
        <f t="shared" si="35"/>
        <v/>
      </c>
      <c r="H256" s="88" t="str">
        <f t="shared" si="35"/>
        <v/>
      </c>
      <c r="I256" s="88" t="str">
        <f t="shared" si="35"/>
        <v/>
      </c>
      <c r="J256" s="88" t="str">
        <f t="shared" si="35"/>
        <v/>
      </c>
      <c r="K256" s="88" t="str">
        <f t="shared" si="35"/>
        <v/>
      </c>
      <c r="L256" s="88" t="str">
        <f t="shared" si="35"/>
        <v/>
      </c>
      <c r="M256" s="88" t="str">
        <f t="shared" si="35"/>
        <v/>
      </c>
      <c r="N256" s="88" t="str">
        <f t="shared" si="35"/>
        <v/>
      </c>
      <c r="O256" s="88" t="str">
        <f t="shared" si="35"/>
        <v/>
      </c>
      <c r="P256" s="88" t="str">
        <f t="shared" si="35"/>
        <v/>
      </c>
      <c r="Q256" s="88" t="str">
        <f t="shared" si="35"/>
        <v/>
      </c>
      <c r="R256" s="88" t="str">
        <f t="shared" si="35"/>
        <v/>
      </c>
      <c r="S256" s="88" t="str">
        <f t="shared" si="35"/>
        <v/>
      </c>
      <c r="T256" s="88" t="str">
        <f t="shared" si="35"/>
        <v/>
      </c>
      <c r="U256" s="88" t="str">
        <f t="shared" si="35"/>
        <v/>
      </c>
      <c r="V256" s="88" t="str">
        <f t="shared" si="35"/>
        <v/>
      </c>
      <c r="W256" s="88" t="str">
        <f t="shared" si="35"/>
        <v/>
      </c>
      <c r="X256" s="88" t="str">
        <f t="shared" si="35"/>
        <v/>
      </c>
      <c r="Y256" s="88" t="str">
        <f t="shared" si="35"/>
        <v/>
      </c>
      <c r="Z256" s="88" t="str">
        <f t="shared" si="35"/>
        <v/>
      </c>
      <c r="AA256" s="88" t="str">
        <f t="shared" si="35"/>
        <v/>
      </c>
      <c r="AB256" s="88" t="str">
        <f t="shared" si="35"/>
        <v/>
      </c>
      <c r="AC256" s="88" t="str">
        <f t="shared" si="35"/>
        <v/>
      </c>
      <c r="AD256" s="88" t="str">
        <f t="shared" si="35"/>
        <v/>
      </c>
      <c r="AE256" s="88" t="str">
        <f t="shared" si="35"/>
        <v/>
      </c>
      <c r="AF256" s="88" t="str">
        <f t="shared" si="35"/>
        <v/>
      </c>
      <c r="AG256" s="179"/>
      <c r="AH256" s="179"/>
      <c r="AJ256"/>
    </row>
    <row r="257" spans="1:36" x14ac:dyDescent="0.25">
      <c r="A257" s="88" t="str">
        <f>A224</f>
        <v>MMRS</v>
      </c>
      <c r="B257" s="88" t="str">
        <f t="shared" ref="B257:AF257" si="36">IF(B224&lt;100,"",B224-620)</f>
        <v/>
      </c>
      <c r="C257" s="88" t="str">
        <f t="shared" si="36"/>
        <v/>
      </c>
      <c r="D257" s="88" t="str">
        <f t="shared" si="36"/>
        <v/>
      </c>
      <c r="E257" s="88" t="str">
        <f t="shared" si="36"/>
        <v/>
      </c>
      <c r="F257" s="88" t="str">
        <f t="shared" si="36"/>
        <v/>
      </c>
      <c r="G257" s="88" t="str">
        <f t="shared" si="36"/>
        <v/>
      </c>
      <c r="H257" s="88" t="str">
        <f t="shared" si="36"/>
        <v/>
      </c>
      <c r="I257" s="88" t="str">
        <f t="shared" si="36"/>
        <v/>
      </c>
      <c r="J257" s="88" t="str">
        <f t="shared" si="36"/>
        <v/>
      </c>
      <c r="K257" s="88" t="str">
        <f t="shared" si="36"/>
        <v/>
      </c>
      <c r="L257" s="88" t="str">
        <f t="shared" si="36"/>
        <v/>
      </c>
      <c r="M257" s="88" t="str">
        <f t="shared" si="36"/>
        <v/>
      </c>
      <c r="N257" s="88" t="str">
        <f t="shared" si="36"/>
        <v/>
      </c>
      <c r="O257" s="88" t="str">
        <f t="shared" si="36"/>
        <v/>
      </c>
      <c r="P257" s="88" t="str">
        <f t="shared" si="36"/>
        <v/>
      </c>
      <c r="Q257" s="88" t="str">
        <f t="shared" si="36"/>
        <v/>
      </c>
      <c r="R257" s="88" t="str">
        <f t="shared" si="36"/>
        <v/>
      </c>
      <c r="S257" s="88" t="str">
        <f t="shared" si="36"/>
        <v/>
      </c>
      <c r="T257" s="88" t="str">
        <f t="shared" si="36"/>
        <v/>
      </c>
      <c r="U257" s="88" t="str">
        <f t="shared" si="36"/>
        <v/>
      </c>
      <c r="V257" s="88" t="str">
        <f t="shared" si="36"/>
        <v/>
      </c>
      <c r="W257" s="88" t="str">
        <f t="shared" si="36"/>
        <v/>
      </c>
      <c r="X257" s="88" t="str">
        <f t="shared" si="36"/>
        <v/>
      </c>
      <c r="Y257" s="88" t="str">
        <f t="shared" si="36"/>
        <v/>
      </c>
      <c r="Z257" s="88" t="str">
        <f t="shared" si="36"/>
        <v/>
      </c>
      <c r="AA257" s="88" t="str">
        <f t="shared" si="36"/>
        <v/>
      </c>
      <c r="AB257" s="88" t="str">
        <f t="shared" si="36"/>
        <v/>
      </c>
      <c r="AC257" s="88" t="str">
        <f t="shared" si="36"/>
        <v/>
      </c>
      <c r="AD257" s="88" t="str">
        <f t="shared" si="36"/>
        <v/>
      </c>
      <c r="AE257" s="88" t="str">
        <f t="shared" si="36"/>
        <v/>
      </c>
      <c r="AF257" s="88" t="str">
        <f t="shared" si="36"/>
        <v/>
      </c>
      <c r="AG257" s="179"/>
      <c r="AH257" s="179"/>
      <c r="AJ257"/>
    </row>
    <row r="258" spans="1:36" x14ac:dyDescent="0.25">
      <c r="A258" s="88" t="str">
        <f>A225</f>
        <v>MRS</v>
      </c>
      <c r="B258" s="88" t="str">
        <f t="shared" ref="B258:AF258" si="37">IF(B225&lt;100,"",B225-330)</f>
        <v/>
      </c>
      <c r="C258" s="88" t="str">
        <f t="shared" si="37"/>
        <v/>
      </c>
      <c r="D258" s="88" t="str">
        <f t="shared" si="37"/>
        <v/>
      </c>
      <c r="E258" s="88" t="str">
        <f t="shared" si="37"/>
        <v/>
      </c>
      <c r="F258" s="88" t="str">
        <f t="shared" si="37"/>
        <v/>
      </c>
      <c r="G258" s="88" t="str">
        <f t="shared" si="37"/>
        <v/>
      </c>
      <c r="H258" s="88" t="str">
        <f t="shared" si="37"/>
        <v/>
      </c>
      <c r="I258" s="88" t="str">
        <f t="shared" si="37"/>
        <v/>
      </c>
      <c r="J258" s="88" t="str">
        <f t="shared" si="37"/>
        <v/>
      </c>
      <c r="K258" s="88" t="str">
        <f t="shared" si="37"/>
        <v/>
      </c>
      <c r="L258" s="88" t="str">
        <f t="shared" si="37"/>
        <v/>
      </c>
      <c r="M258" s="88" t="str">
        <f t="shared" si="37"/>
        <v/>
      </c>
      <c r="N258" s="88" t="str">
        <f t="shared" si="37"/>
        <v/>
      </c>
      <c r="O258" s="88" t="str">
        <f t="shared" si="37"/>
        <v/>
      </c>
      <c r="P258" s="88" t="str">
        <f t="shared" si="37"/>
        <v/>
      </c>
      <c r="Q258" s="88" t="str">
        <f t="shared" si="37"/>
        <v/>
      </c>
      <c r="R258" s="88" t="str">
        <f t="shared" si="37"/>
        <v/>
      </c>
      <c r="S258" s="88" t="str">
        <f t="shared" si="37"/>
        <v/>
      </c>
      <c r="T258" s="88" t="str">
        <f t="shared" si="37"/>
        <v/>
      </c>
      <c r="U258" s="88" t="str">
        <f t="shared" si="37"/>
        <v/>
      </c>
      <c r="V258" s="88" t="str">
        <f t="shared" si="37"/>
        <v/>
      </c>
      <c r="W258" s="88" t="str">
        <f t="shared" si="37"/>
        <v/>
      </c>
      <c r="X258" s="88" t="str">
        <f t="shared" si="37"/>
        <v/>
      </c>
      <c r="Y258" s="88" t="str">
        <f t="shared" si="37"/>
        <v/>
      </c>
      <c r="Z258" s="88" t="str">
        <f t="shared" si="37"/>
        <v/>
      </c>
      <c r="AA258" s="88" t="str">
        <f t="shared" si="37"/>
        <v/>
      </c>
      <c r="AB258" s="88" t="str">
        <f t="shared" si="37"/>
        <v/>
      </c>
      <c r="AC258" s="88" t="str">
        <f t="shared" si="37"/>
        <v/>
      </c>
      <c r="AD258" s="88" t="str">
        <f t="shared" si="37"/>
        <v/>
      </c>
      <c r="AE258" s="88" t="str">
        <f t="shared" si="37"/>
        <v/>
      </c>
      <c r="AF258" s="88" t="str">
        <f t="shared" si="37"/>
        <v/>
      </c>
      <c r="AG258" s="179"/>
      <c r="AH258" s="179"/>
      <c r="AJ258"/>
    </row>
    <row r="259" spans="1:36" x14ac:dyDescent="0.25">
      <c r="A259" s="88" t="str">
        <f>A226</f>
        <v>KL 1</v>
      </c>
      <c r="B259" s="88" t="str">
        <f>IF(B226&lt;100,"",B226-1500)</f>
        <v/>
      </c>
      <c r="C259" s="88" t="str">
        <f t="shared" ref="C259:AF259" si="38">IF(C226&lt;100,"",C226-1500)</f>
        <v/>
      </c>
      <c r="D259" s="88" t="str">
        <f t="shared" si="38"/>
        <v/>
      </c>
      <c r="E259" s="88" t="str">
        <f t="shared" si="38"/>
        <v/>
      </c>
      <c r="F259" s="88" t="str">
        <f t="shared" si="38"/>
        <v/>
      </c>
      <c r="G259" s="88" t="str">
        <f t="shared" si="38"/>
        <v/>
      </c>
      <c r="H259" s="88" t="str">
        <f t="shared" si="38"/>
        <v/>
      </c>
      <c r="I259" s="88" t="str">
        <f t="shared" si="38"/>
        <v/>
      </c>
      <c r="J259" s="88" t="str">
        <f t="shared" si="38"/>
        <v/>
      </c>
      <c r="K259" s="88" t="str">
        <f t="shared" si="38"/>
        <v/>
      </c>
      <c r="L259" s="88" t="str">
        <f t="shared" si="38"/>
        <v/>
      </c>
      <c r="M259" s="88" t="str">
        <f t="shared" si="38"/>
        <v/>
      </c>
      <c r="N259" s="88" t="str">
        <f t="shared" si="38"/>
        <v/>
      </c>
      <c r="O259" s="88" t="str">
        <f t="shared" si="38"/>
        <v/>
      </c>
      <c r="P259" s="88" t="str">
        <f t="shared" si="38"/>
        <v/>
      </c>
      <c r="Q259" s="88" t="str">
        <f t="shared" si="38"/>
        <v/>
      </c>
      <c r="R259" s="88" t="str">
        <f t="shared" si="38"/>
        <v/>
      </c>
      <c r="S259" s="88" t="str">
        <f t="shared" si="38"/>
        <v/>
      </c>
      <c r="T259" s="88" t="str">
        <f t="shared" si="38"/>
        <v/>
      </c>
      <c r="U259" s="88" t="str">
        <f t="shared" si="38"/>
        <v/>
      </c>
      <c r="V259" s="88" t="str">
        <f t="shared" si="38"/>
        <v/>
      </c>
      <c r="W259" s="88" t="str">
        <f t="shared" si="38"/>
        <v/>
      </c>
      <c r="X259" s="88" t="str">
        <f t="shared" si="38"/>
        <v/>
      </c>
      <c r="Y259" s="88" t="str">
        <f t="shared" si="38"/>
        <v/>
      </c>
      <c r="Z259" s="88" t="str">
        <f t="shared" si="38"/>
        <v/>
      </c>
      <c r="AA259" s="88" t="str">
        <f t="shared" si="38"/>
        <v/>
      </c>
      <c r="AB259" s="88" t="str">
        <f t="shared" si="38"/>
        <v/>
      </c>
      <c r="AC259" s="88" t="str">
        <f t="shared" si="38"/>
        <v/>
      </c>
      <c r="AD259" s="88" t="str">
        <f t="shared" si="38"/>
        <v/>
      </c>
      <c r="AE259" s="88" t="str">
        <f t="shared" si="38"/>
        <v/>
      </c>
      <c r="AF259" s="88" t="str">
        <f t="shared" si="38"/>
        <v/>
      </c>
      <c r="AG259" s="179"/>
      <c r="AH259" s="179"/>
      <c r="AJ259"/>
    </row>
    <row r="260" spans="1:36" x14ac:dyDescent="0.25"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  <c r="AC260" s="179"/>
      <c r="AD260" s="179"/>
      <c r="AE260" s="179"/>
      <c r="AF260" s="179"/>
      <c r="AG260" s="179"/>
      <c r="AH260" s="179"/>
      <c r="AJ260"/>
    </row>
    <row r="261" spans="1:36" x14ac:dyDescent="0.25"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  <c r="AJ261"/>
    </row>
    <row r="262" spans="1:36" x14ac:dyDescent="0.25"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  <c r="AE262" s="179"/>
      <c r="AF262" s="179"/>
      <c r="AG262" s="179"/>
      <c r="AH262" s="179"/>
      <c r="AJ262"/>
    </row>
    <row r="263" spans="1:36" x14ac:dyDescent="0.25"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  <c r="AC263" s="179"/>
      <c r="AD263" s="179"/>
      <c r="AE263" s="179"/>
      <c r="AF263" s="179"/>
      <c r="AG263" s="179"/>
      <c r="AH263" s="179"/>
      <c r="AJ263"/>
    </row>
    <row r="264" spans="1:36" x14ac:dyDescent="0.25"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  <c r="AC264" s="179"/>
      <c r="AD264" s="179"/>
      <c r="AE264" s="179"/>
      <c r="AF264" s="179"/>
      <c r="AG264" s="179"/>
      <c r="AH264" s="179"/>
      <c r="AJ264"/>
    </row>
    <row r="265" spans="1:36" x14ac:dyDescent="0.25"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  <c r="AC265" s="179"/>
      <c r="AD265" s="179"/>
      <c r="AE265" s="179"/>
      <c r="AF265" s="179"/>
      <c r="AG265" s="179"/>
      <c r="AH265" s="179"/>
      <c r="AJ265"/>
    </row>
    <row r="266" spans="1:36" x14ac:dyDescent="0.25"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  <c r="AC266" s="179"/>
      <c r="AD266" s="179"/>
      <c r="AE266" s="179"/>
      <c r="AF266" s="179"/>
      <c r="AJ266"/>
    </row>
    <row r="490" spans="36:38" x14ac:dyDescent="0.25">
      <c r="AK490" s="1"/>
    </row>
    <row r="491" spans="36:38" x14ac:dyDescent="0.25">
      <c r="AK491" s="1"/>
      <c r="AL491" s="1"/>
    </row>
    <row r="492" spans="36:38" x14ac:dyDescent="0.25">
      <c r="AJ49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1:B23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28">
      <iconSet iconSet="3TrafficLights2" reverse="1">
        <cfvo type="percent" val="0"/>
        <cfvo type="num" val="1"/>
        <cfvo type="num" val="1"/>
      </iconSet>
    </cfRule>
  </conditionalFormatting>
  <conditionalFormatting sqref="D214:AF220 B214:B220 B212:AF212 U233:AF233 AA11:AF11 B9:AF10 C99:AF105">
    <cfRule type="expression" dxfId="2689" priority="224">
      <formula>B$9&gt;=20/24</formula>
    </cfRule>
    <cfRule type="expression" dxfId="2688" priority="225">
      <formula>AND(B$9&gt;=14/24,B$9&lt;20/24)</formula>
    </cfRule>
    <cfRule type="expression" dxfId="2687" priority="226">
      <formula>AND(B$9&gt;=8/24,B$9&lt;14/24)</formula>
    </cfRule>
    <cfRule type="expression" dxfId="2686" priority="227">
      <formula>B$9&lt;8/24</formula>
    </cfRule>
  </conditionalFormatting>
  <conditionalFormatting sqref="AL4:AL6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AA37:AF37">
    <cfRule type="expression" dxfId="2685" priority="219">
      <formula>AA$9&gt;=20/24</formula>
    </cfRule>
    <cfRule type="expression" dxfId="2684" priority="220">
      <formula>AND(AA$9&gt;=14/24,AA$9&lt;20/24)</formula>
    </cfRule>
    <cfRule type="expression" dxfId="2683" priority="221">
      <formula>AND(AA$9&gt;=8/24,AA$9&lt;14/24)</formula>
    </cfRule>
    <cfRule type="expression" dxfId="2682" priority="222">
      <formula>AA$9&lt;8/24</formula>
    </cfRule>
  </conditionalFormatting>
  <conditionalFormatting sqref="AG55 B12:D16 M11:Z11 E16:Z16 AA37:AF37 B35:AF35 AA11:AF16">
    <cfRule type="expression" dxfId="2681" priority="218">
      <formula>B11&gt;$AG11</formula>
    </cfRule>
  </conditionalFormatting>
  <conditionalFormatting sqref="A89:A102 A11:A14 A49:A76 A85:A87 A190:A220 A16:A30 A36:A47 A106:A177 A32:A33 A81:A83 A78:A79">
    <cfRule type="expression" dxfId="2680" priority="217">
      <formula>$AH11=0</formula>
    </cfRule>
  </conditionalFormatting>
  <conditionalFormatting sqref="A103">
    <cfRule type="expression" dxfId="2679" priority="216">
      <formula>$AH103=0</formula>
    </cfRule>
  </conditionalFormatting>
  <conditionalFormatting sqref="AL3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2678" priority="214">
      <formula>$AH35=0</formula>
    </cfRule>
  </conditionalFormatting>
  <conditionalFormatting sqref="A88">
    <cfRule type="expression" dxfId="2677" priority="213">
      <formula>$AH88=0</formula>
    </cfRule>
  </conditionalFormatting>
  <conditionalFormatting sqref="A15">
    <cfRule type="expression" dxfId="2676" priority="212">
      <formula>$AH15=0</formula>
    </cfRule>
  </conditionalFormatting>
  <conditionalFormatting sqref="A184:A189">
    <cfRule type="expression" dxfId="2675" priority="211">
      <formula>$AH184=0</formula>
    </cfRule>
  </conditionalFormatting>
  <conditionalFormatting sqref="A178:A183">
    <cfRule type="expression" dxfId="2674" priority="210">
      <formula>$AH178=0</formula>
    </cfRule>
  </conditionalFormatting>
  <conditionalFormatting sqref="A48">
    <cfRule type="expression" dxfId="2673" priority="209">
      <formula>$AH48=0</formula>
    </cfRule>
  </conditionalFormatting>
  <conditionalFormatting sqref="A84">
    <cfRule type="expression" dxfId="2672" priority="208">
      <formula>$AH84=0</formula>
    </cfRule>
  </conditionalFormatting>
  <conditionalFormatting sqref="C89:AF89">
    <cfRule type="expression" dxfId="2671" priority="204">
      <formula>C$9&gt;=20/24</formula>
    </cfRule>
    <cfRule type="expression" dxfId="2670" priority="205">
      <formula>AND(C$9&gt;=14/24,C$9&lt;20/24)</formula>
    </cfRule>
    <cfRule type="expression" dxfId="2669" priority="206">
      <formula>AND(C$9&gt;=8/24,C$9&lt;14/24)</formula>
    </cfRule>
    <cfRule type="expression" dxfId="2668" priority="207">
      <formula>C$9&lt;8/24</formula>
    </cfRule>
  </conditionalFormatting>
  <conditionalFormatting sqref="AL34">
    <cfRule type="iconSet" priority="20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667" priority="230">
      <formula>C$9&gt;=20/24</formula>
    </cfRule>
    <cfRule type="expression" dxfId="2666" priority="231">
      <formula>AND(C$9&gt;=14/24,C$9&lt;20/24)</formula>
    </cfRule>
    <cfRule type="expression" dxfId="2665" priority="232">
      <formula>AND(C$9&gt;=8/24,C$9&lt;14/24)</formula>
    </cfRule>
    <cfRule type="expression" dxfId="2664" priority="233">
      <formula>C$9&lt;8/24</formula>
    </cfRule>
  </conditionalFormatting>
  <conditionalFormatting sqref="A221">
    <cfRule type="expression" dxfId="2663" priority="234">
      <formula>$AH221=0</formula>
    </cfRule>
  </conditionalFormatting>
  <conditionalFormatting sqref="AG233">
    <cfRule type="expression" dxfId="2662" priority="235">
      <formula>B$9&gt;=20/24</formula>
    </cfRule>
    <cfRule type="expression" dxfId="2661" priority="236">
      <formula>AND(B$9&gt;=14/24,B$9&lt;20/24)</formula>
    </cfRule>
    <cfRule type="expression" dxfId="2660" priority="237">
      <formula>AND(B$9&gt;=8/24,B$9&lt;14/24)</formula>
    </cfRule>
    <cfRule type="expression" dxfId="2659" priority="238">
      <formula>B$9&lt;8/24</formula>
    </cfRule>
  </conditionalFormatting>
  <conditionalFormatting sqref="S8">
    <cfRule type="expression" dxfId="2658" priority="199">
      <formula>U$9&gt;=20/24</formula>
    </cfRule>
    <cfRule type="expression" dxfId="2657" priority="200">
      <formula>AND(U$9&gt;=14/24,U$9&lt;20/24)</formula>
    </cfRule>
    <cfRule type="expression" dxfId="2656" priority="201">
      <formula>AND(U$9&gt;=8/24,U$9&lt;14/24)</formula>
    </cfRule>
    <cfRule type="expression" dxfId="2655" priority="202">
      <formula>U$9&lt;8/24</formula>
    </cfRule>
  </conditionalFormatting>
  <conditionalFormatting sqref="AB8">
    <cfRule type="expression" dxfId="2654" priority="195">
      <formula>AD$9&gt;=20/24</formula>
    </cfRule>
    <cfRule type="expression" dxfId="2653" priority="196">
      <formula>AND(AD$9&gt;=14/24,AD$9&lt;20/24)</formula>
    </cfRule>
    <cfRule type="expression" dxfId="2652" priority="197">
      <formula>AND(AD$9&gt;=8/24,AD$9&lt;14/24)</formula>
    </cfRule>
    <cfRule type="expression" dxfId="2651" priority="198">
      <formula>AD$9&lt;8/24</formula>
    </cfRule>
  </conditionalFormatting>
  <conditionalFormatting sqref="AH233:AX233">
    <cfRule type="expression" dxfId="2650" priority="239">
      <formula>AG$9&gt;=20/24</formula>
    </cfRule>
    <cfRule type="expression" dxfId="2649" priority="240">
      <formula>AND(AG$9&gt;=14/24,AG$9&lt;20/24)</formula>
    </cfRule>
    <cfRule type="expression" dxfId="2648" priority="241">
      <formula>AND(AG$9&gt;=8/24,AG$9&lt;14/24)</formula>
    </cfRule>
    <cfRule type="expression" dxfId="2647" priority="242">
      <formula>AG$9&lt;8/24</formula>
    </cfRule>
  </conditionalFormatting>
  <conditionalFormatting sqref="T233">
    <cfRule type="expression" dxfId="2646" priority="243">
      <formula>AX$9&gt;=20/24</formula>
    </cfRule>
    <cfRule type="expression" dxfId="2645" priority="244">
      <formula>AND(AX$9&gt;=14/24,AX$9&lt;20/24)</formula>
    </cfRule>
    <cfRule type="expression" dxfId="2644" priority="245">
      <formula>AND(AX$9&gt;=8/24,AX$9&lt;14/24)</formula>
    </cfRule>
    <cfRule type="expression" dxfId="2643" priority="246">
      <formula>AX$9&lt;8/24</formula>
    </cfRule>
  </conditionalFormatting>
  <conditionalFormatting sqref="A104:A105">
    <cfRule type="expression" dxfId="2642" priority="194">
      <formula>$AH104=0</formula>
    </cfRule>
  </conditionalFormatting>
  <conditionalFormatting sqref="E11:L11 E44:M45 D61:AF61 Y44:AF45 AA36:AF36">
    <cfRule type="expression" dxfId="2641" priority="190">
      <formula>D$9&gt;=20/24</formula>
    </cfRule>
    <cfRule type="expression" dxfId="2640" priority="191">
      <formula>AND(D$9&gt;=14/24,D$9&lt;20/24)</formula>
    </cfRule>
    <cfRule type="expression" dxfId="2639" priority="192">
      <formula>AND(D$9&gt;=8/24,D$9&lt;14/24)</formula>
    </cfRule>
    <cfRule type="expression" dxfId="2638" priority="193">
      <formula>D$9&lt;8/24</formula>
    </cfRule>
  </conditionalFormatting>
  <conditionalFormatting sqref="E43:M43 Y43:AF43">
    <cfRule type="expression" dxfId="2637" priority="186">
      <formula>E$9&gt;=20/24</formula>
    </cfRule>
    <cfRule type="expression" dxfId="2636" priority="187">
      <formula>AND(E$9&gt;=14/24,E$9&lt;20/24)</formula>
    </cfRule>
    <cfRule type="expression" dxfId="2635" priority="188">
      <formula>AND(E$9&gt;=8/24,E$9&lt;14/24)</formula>
    </cfRule>
    <cfRule type="expression" dxfId="2634" priority="189">
      <formula>E$9&lt;8/24</formula>
    </cfRule>
  </conditionalFormatting>
  <conditionalFormatting sqref="E11:L11 E43:M45 Y43:AF45 AA36:AF36">
    <cfRule type="expression" dxfId="2633" priority="185">
      <formula>E11&gt;$AG11</formula>
    </cfRule>
  </conditionalFormatting>
  <conditionalFormatting sqref="M11 C86:AF86 D65:F66 D62:L64 E67:F67 C73:AF76 G65:L67 E12:M14 M62:P67 E71:P71 M28:Z29 M37:Z37 N11:Z14 C90:AF96 M16:AF16 AA28:AF30 M24:AF26 M18:AF22 AA32:AF32 AA12:AF14 D57:AF59 Q62:AF71">
    <cfRule type="expression" dxfId="2632" priority="181">
      <formula>C$9&gt;=20/24</formula>
    </cfRule>
    <cfRule type="expression" dxfId="2631" priority="182">
      <formula>AND(C$9&gt;=14/24,C$9&lt;20/24)</formula>
    </cfRule>
    <cfRule type="expression" dxfId="2630" priority="183">
      <formula>AND(C$9&gt;=8/24,C$9&lt;14/24)</formula>
    </cfRule>
    <cfRule type="expression" dxfId="2629" priority="184">
      <formula>C$9&lt;8/24</formula>
    </cfRule>
  </conditionalFormatting>
  <conditionalFormatting sqref="AA33:AF33">
    <cfRule type="expression" dxfId="2628" priority="177">
      <formula>AA$9&gt;=20/24</formula>
    </cfRule>
    <cfRule type="expression" dxfId="2627" priority="178">
      <formula>AND(AA$9&gt;=14/24,AA$9&lt;20/24)</formula>
    </cfRule>
    <cfRule type="expression" dxfId="2626" priority="179">
      <formula>AND(AA$9&gt;=8/24,AA$9&lt;14/24)</formula>
    </cfRule>
    <cfRule type="expression" dxfId="2625" priority="180">
      <formula>AA$9&lt;8/24</formula>
    </cfRule>
  </conditionalFormatting>
  <conditionalFormatting sqref="M11 AB46:AF47 C55:AF55 E47:F47 E46:L46 E12:M15 G47:L48 M46:M48 B27:L27 N47:P48 E37:Z37 N11:Z15 M24:Z29 AA24:AF30 M18:AF22 AA32:AF33 D57:AF59">
    <cfRule type="expression" dxfId="2624" priority="176">
      <formula>B11&gt;$AG11</formula>
    </cfRule>
  </conditionalFormatting>
  <conditionalFormatting sqref="AA35:AF35">
    <cfRule type="expression" dxfId="2623" priority="172">
      <formula>AA$9&gt;=20/24</formula>
    </cfRule>
    <cfRule type="expression" dxfId="2622" priority="173">
      <formula>AND(AA$9&gt;=14/24,AA$9&lt;20/24)</formula>
    </cfRule>
    <cfRule type="expression" dxfId="2621" priority="174">
      <formula>AND(AA$9&gt;=8/24,AA$9&lt;14/24)</formula>
    </cfRule>
    <cfRule type="expression" dxfId="2620" priority="175">
      <formula>AA$9&lt;8/24</formula>
    </cfRule>
  </conditionalFormatting>
  <conditionalFormatting sqref="E15:AF15">
    <cfRule type="expression" dxfId="2619" priority="168">
      <formula>E$9&gt;=20/24</formula>
    </cfRule>
    <cfRule type="expression" dxfId="2618" priority="169">
      <formula>AND(E$9&gt;=14/24,E$9&lt;20/24)</formula>
    </cfRule>
    <cfRule type="expression" dxfId="2617" priority="170">
      <formula>AND(E$9&gt;=8/24,E$9&lt;14/24)</formula>
    </cfRule>
    <cfRule type="expression" dxfId="2616" priority="171">
      <formula>E$9&lt;8/24</formula>
    </cfRule>
  </conditionalFormatting>
  <conditionalFormatting sqref="AA34:AF34">
    <cfRule type="expression" dxfId="2615" priority="164">
      <formula>AA$9&gt;=20/24</formula>
    </cfRule>
    <cfRule type="expression" dxfId="2614" priority="165">
      <formula>AND(AA$9&gt;=14/24,AA$9&lt;20/24)</formula>
    </cfRule>
    <cfRule type="expression" dxfId="2613" priority="166">
      <formula>AND(AA$9&gt;=8/24,AA$9&lt;14/24)</formula>
    </cfRule>
    <cfRule type="expression" dxfId="2612" priority="167">
      <formula>AA$9&lt;8/24</formula>
    </cfRule>
  </conditionalFormatting>
  <conditionalFormatting sqref="AA34:AF34">
    <cfRule type="expression" dxfId="2611" priority="163">
      <formula>AA34&gt;$AG34</formula>
    </cfRule>
  </conditionalFormatting>
  <conditionalFormatting sqref="AA46:AA47 AB48:AF54">
    <cfRule type="expression" dxfId="2610" priority="155">
      <formula>AA$9&gt;=20/24</formula>
    </cfRule>
    <cfRule type="expression" dxfId="2609" priority="156">
      <formula>AND(AA$9&gt;=14/24,AA$9&lt;20/24)</formula>
    </cfRule>
    <cfRule type="expression" dxfId="2608" priority="157">
      <formula>AND(AA$9&gt;=8/24,AA$9&lt;14/24)</formula>
    </cfRule>
    <cfRule type="expression" dxfId="2607" priority="158">
      <formula>AA$9&lt;8/24</formula>
    </cfRule>
  </conditionalFormatting>
  <conditionalFormatting sqref="AA46:AA47 AB48:AF54">
    <cfRule type="expression" dxfId="2606" priority="154">
      <formula>AA46&gt;$AG46</formula>
    </cfRule>
  </conditionalFormatting>
  <conditionalFormatting sqref="AA48:AA54 Q43:R49 N43:P46 Q51:R54 R50 S43:X54 Y46:Z54">
    <cfRule type="expression" dxfId="2605" priority="150">
      <formula>N$9&gt;=20/24</formula>
    </cfRule>
    <cfRule type="expression" dxfId="2604" priority="151">
      <formula>AND(N$9&gt;=14/24,N$9&lt;20/24)</formula>
    </cfRule>
    <cfRule type="expression" dxfId="2603" priority="152">
      <formula>AND(N$9&gt;=8/24,N$9&lt;14/24)</formula>
    </cfRule>
    <cfRule type="expression" dxfId="2602" priority="153">
      <formula>N$9&lt;8/24</formula>
    </cfRule>
  </conditionalFormatting>
  <conditionalFormatting sqref="AA48:AA54 Q43:R49 N43:P46 Q51:R54 R50 S43:X54 Y46:Z54">
    <cfRule type="expression" dxfId="2601" priority="149">
      <formula>N43&gt;$AG43</formula>
    </cfRule>
  </conditionalFormatting>
  <conditionalFormatting sqref="B27:AF27">
    <cfRule type="expression" dxfId="2600" priority="145">
      <formula>B$9&gt;=20/24</formula>
    </cfRule>
    <cfRule type="expression" dxfId="2599" priority="146">
      <formula>AND(B$9&gt;=14/24,B$9&lt;20/24)</formula>
    </cfRule>
    <cfRule type="expression" dxfId="2598" priority="147">
      <formula>AND(B$9&gt;=8/24,B$9&lt;14/24)</formula>
    </cfRule>
    <cfRule type="expression" dxfId="2597" priority="148">
      <formula>B$9&lt;8/24</formula>
    </cfRule>
  </conditionalFormatting>
  <conditionalFormatting sqref="B28:D28 E16:L26 E28:L30 M30:Z30 E32:Z32 M17:AF17 M23:AF23">
    <cfRule type="expression" dxfId="2596" priority="141">
      <formula>B$9&gt;=20/24</formula>
    </cfRule>
    <cfRule type="expression" dxfId="2595" priority="142">
      <formula>AND(B$9&gt;=14/24,B$9&lt;20/24)</formula>
    </cfRule>
    <cfRule type="expression" dxfId="2594" priority="143">
      <formula>AND(B$9&gt;=8/24,B$9&lt;14/24)</formula>
    </cfRule>
    <cfRule type="expression" dxfId="2593" priority="144">
      <formula>B$9&lt;8/24</formula>
    </cfRule>
  </conditionalFormatting>
  <conditionalFormatting sqref="E33:Z33">
    <cfRule type="expression" dxfId="2592" priority="137">
      <formula>E$9&gt;=20/24</formula>
    </cfRule>
    <cfRule type="expression" dxfId="2591" priority="138">
      <formula>AND(E$9&gt;=14/24,E$9&lt;20/24)</formula>
    </cfRule>
    <cfRule type="expression" dxfId="2590" priority="139">
      <formula>AND(E$9&gt;=8/24,E$9&lt;14/24)</formula>
    </cfRule>
    <cfRule type="expression" dxfId="2589" priority="140">
      <formula>E$9&lt;8/24</formula>
    </cfRule>
  </conditionalFormatting>
  <conditionalFormatting sqref="B28:D28 E17:L26 E28:L30 M30:Z30 E32:Z33 M17:AF17 M23:AF23">
    <cfRule type="expression" dxfId="2588" priority="136">
      <formula>B17&gt;$AG17</formula>
    </cfRule>
  </conditionalFormatting>
  <conditionalFormatting sqref="E35:Z35">
    <cfRule type="expression" dxfId="2587" priority="132">
      <formula>E$9&gt;=20/24</formula>
    </cfRule>
    <cfRule type="expression" dxfId="2586" priority="133">
      <formula>AND(E$9&gt;=14/24,E$9&lt;20/24)</formula>
    </cfRule>
    <cfRule type="expression" dxfId="2585" priority="134">
      <formula>AND(E$9&gt;=8/24,E$9&lt;14/24)</formula>
    </cfRule>
    <cfRule type="expression" dxfId="2584" priority="135">
      <formula>E$9&lt;8/24</formula>
    </cfRule>
  </conditionalFormatting>
  <conditionalFormatting sqref="E34:Z34">
    <cfRule type="expression" dxfId="2583" priority="124">
      <formula>E$9&gt;=20/24</formula>
    </cfRule>
    <cfRule type="expression" dxfId="2582" priority="125">
      <formula>AND(E$9&gt;=14/24,E$9&lt;20/24)</formula>
    </cfRule>
    <cfRule type="expression" dxfId="2581" priority="126">
      <formula>AND(E$9&gt;=8/24,E$9&lt;14/24)</formula>
    </cfRule>
    <cfRule type="expression" dxfId="2580" priority="127">
      <formula>E$9&lt;8/24</formula>
    </cfRule>
  </conditionalFormatting>
  <conditionalFormatting sqref="E34:Z34">
    <cfRule type="expression" dxfId="2579" priority="123">
      <formula>E34&gt;$AG34</formula>
    </cfRule>
  </conditionalFormatting>
  <conditionalFormatting sqref="E68:P70">
    <cfRule type="expression" dxfId="2578" priority="110">
      <formula>E$9&gt;=20/24</formula>
    </cfRule>
    <cfRule type="expression" dxfId="2577" priority="111">
      <formula>AND(E$9&gt;=14/24,E$9&lt;20/24)</formula>
    </cfRule>
    <cfRule type="expression" dxfId="2576" priority="112">
      <formula>AND(E$9&gt;=8/24,E$9&lt;14/24)</formula>
    </cfRule>
    <cfRule type="expression" dxfId="2575" priority="113">
      <formula>E$9&lt;8/24</formula>
    </cfRule>
  </conditionalFormatting>
  <conditionalFormatting sqref="E48:F54 G49:P49 G51:P54 G50:Q50">
    <cfRule type="expression" dxfId="2574" priority="105">
      <formula>E$9&gt;=20/24</formula>
    </cfRule>
    <cfRule type="expression" dxfId="2573" priority="106">
      <formula>AND(E$9&gt;=14/24,E$9&lt;20/24)</formula>
    </cfRule>
    <cfRule type="expression" dxfId="2572" priority="107">
      <formula>AND(E$9&gt;=8/24,E$9&lt;14/24)</formula>
    </cfRule>
    <cfRule type="expression" dxfId="2571" priority="108">
      <formula>E$9&lt;8/24</formula>
    </cfRule>
  </conditionalFormatting>
  <conditionalFormatting sqref="E48:F54 G49:P49 G51:P54 G50:Q50">
    <cfRule type="expression" dxfId="2570" priority="104">
      <formula>E48&gt;$AG48</formula>
    </cfRule>
  </conditionalFormatting>
  <conditionalFormatting sqref="B99:B105 B78:AF78 B87:AF87 B11:D11">
    <cfRule type="expression" dxfId="2569" priority="91">
      <formula>B$9&gt;=20/24</formula>
    </cfRule>
    <cfRule type="expression" dxfId="2568" priority="92">
      <formula>AND(B$9&gt;=14/24,B$9&lt;20/24)</formula>
    </cfRule>
    <cfRule type="expression" dxfId="2567" priority="93">
      <formula>AND(B$9&gt;=8/24,B$9&lt;14/24)</formula>
    </cfRule>
    <cfRule type="expression" dxfId="2566" priority="94">
      <formula>B$9&lt;8/24</formula>
    </cfRule>
  </conditionalFormatting>
  <conditionalFormatting sqref="B37:D37">
    <cfRule type="expression" dxfId="2565" priority="87">
      <formula>B$9&gt;=20/24</formula>
    </cfRule>
    <cfRule type="expression" dxfId="2564" priority="88">
      <formula>AND(B$9&gt;=14/24,B$9&lt;20/24)</formula>
    </cfRule>
    <cfRule type="expression" dxfId="2563" priority="89">
      <formula>AND(B$9&gt;=8/24,B$9&lt;14/24)</formula>
    </cfRule>
    <cfRule type="expression" dxfId="2562" priority="90">
      <formula>B$9&lt;8/24</formula>
    </cfRule>
  </conditionalFormatting>
  <conditionalFormatting sqref="B37:D37 B11:D11">
    <cfRule type="expression" dxfId="2561" priority="86">
      <formula>B11&gt;$AG11</formula>
    </cfRule>
  </conditionalFormatting>
  <conditionalFormatting sqref="B89">
    <cfRule type="expression" dxfId="2560" priority="82">
      <formula>B$9&gt;=20/24</formula>
    </cfRule>
    <cfRule type="expression" dxfId="2559" priority="83">
      <formula>AND(B$9&gt;=14/24,B$9&lt;20/24)</formula>
    </cfRule>
    <cfRule type="expression" dxfId="2558" priority="84">
      <formula>AND(B$9&gt;=8/24,B$9&lt;14/24)</formula>
    </cfRule>
    <cfRule type="expression" dxfId="2557" priority="85">
      <formula>B$9&lt;8/24</formula>
    </cfRule>
  </conditionalFormatting>
  <conditionalFormatting sqref="B61:C61 B44:D45 B36:Z36">
    <cfRule type="expression" dxfId="2556" priority="78">
      <formula>B$9&gt;=20/24</formula>
    </cfRule>
    <cfRule type="expression" dxfId="2555" priority="79">
      <formula>AND(B$9&gt;=14/24,B$9&lt;20/24)</formula>
    </cfRule>
    <cfRule type="expression" dxfId="2554" priority="80">
      <formula>AND(B$9&gt;=8/24,B$9&lt;14/24)</formula>
    </cfRule>
    <cfRule type="expression" dxfId="2553" priority="81">
      <formula>B$9&lt;8/24</formula>
    </cfRule>
  </conditionalFormatting>
  <conditionalFormatting sqref="B43:D43">
    <cfRule type="expression" dxfId="2552" priority="74">
      <formula>B$9&gt;=20/24</formula>
    </cfRule>
    <cfRule type="expression" dxfId="2551" priority="75">
      <formula>AND(B$9&gt;=14/24,B$9&lt;20/24)</formula>
    </cfRule>
    <cfRule type="expression" dxfId="2550" priority="76">
      <formula>AND(B$9&gt;=8/24,B$9&lt;14/24)</formula>
    </cfRule>
    <cfRule type="expression" dxfId="2549" priority="77">
      <formula>B$9&lt;8/24</formula>
    </cfRule>
  </conditionalFormatting>
  <conditionalFormatting sqref="B43:D45 B36:Z36">
    <cfRule type="expression" dxfId="2548" priority="73">
      <formula>B36&gt;$AG36</formula>
    </cfRule>
  </conditionalFormatting>
  <conditionalFormatting sqref="B90:B96 B57:B60 B73:B77 B79:AF79 B86 C60:AG60 C77:AG77 B88:AF88 C57:C59 B62:C71 B12:D14 B16:D16 B29:D30 B18:D22 B24:D26 D67:D71 B32:D32">
    <cfRule type="expression" dxfId="2547" priority="69">
      <formula>B$9&gt;=20/24</formula>
    </cfRule>
    <cfRule type="expression" dxfId="2546" priority="70">
      <formula>AND(B$9&gt;=14/24,B$9&lt;20/24)</formula>
    </cfRule>
    <cfRule type="expression" dxfId="2545" priority="71">
      <formula>AND(B$9&gt;=8/24,B$9&lt;14/24)</formula>
    </cfRule>
    <cfRule type="expression" dxfId="2544" priority="72">
      <formula>B$9&lt;8/24</formula>
    </cfRule>
  </conditionalFormatting>
  <conditionalFormatting sqref="B33:D33">
    <cfRule type="expression" dxfId="2543" priority="65">
      <formula>B$9&gt;=20/24</formula>
    </cfRule>
    <cfRule type="expression" dxfId="2542" priority="66">
      <formula>AND(B$9&gt;=14/24,B$9&lt;20/24)</formula>
    </cfRule>
    <cfRule type="expression" dxfId="2541" priority="67">
      <formula>AND(B$9&gt;=8/24,B$9&lt;14/24)</formula>
    </cfRule>
    <cfRule type="expression" dxfId="2540" priority="68">
      <formula>B$9&lt;8/24</formula>
    </cfRule>
  </conditionalFormatting>
  <conditionalFormatting sqref="B55:B60 B38:AG38 C56:AG56 C60:AG60 C57:C59 B18:D22 B24:D26 B46:D47 B32:D33 B29:D30">
    <cfRule type="expression" dxfId="2539" priority="64">
      <formula>B18&gt;$AG18</formula>
    </cfRule>
  </conditionalFormatting>
  <conditionalFormatting sqref="B35:D35">
    <cfRule type="expression" dxfId="2538" priority="60">
      <formula>B$9&gt;=20/24</formula>
    </cfRule>
    <cfRule type="expression" dxfId="2537" priority="61">
      <formula>AND(B$9&gt;=14/24,B$9&lt;20/24)</formula>
    </cfRule>
    <cfRule type="expression" dxfId="2536" priority="62">
      <formula>AND(B$9&gt;=8/24,B$9&lt;14/24)</formula>
    </cfRule>
    <cfRule type="expression" dxfId="2535" priority="63">
      <formula>B$9&lt;8/24</formula>
    </cfRule>
  </conditionalFormatting>
  <conditionalFormatting sqref="B15:D15">
    <cfRule type="expression" dxfId="2534" priority="56">
      <formula>B$9&gt;=20/24</formula>
    </cfRule>
    <cfRule type="expression" dxfId="2533" priority="57">
      <formula>AND(B$9&gt;=14/24,B$9&lt;20/24)</formula>
    </cfRule>
    <cfRule type="expression" dxfId="2532" priority="58">
      <formula>AND(B$9&gt;=8/24,B$9&lt;14/24)</formula>
    </cfRule>
    <cfRule type="expression" dxfId="2531" priority="59">
      <formula>B$9&lt;8/24</formula>
    </cfRule>
  </conditionalFormatting>
  <conditionalFormatting sqref="B34:D34">
    <cfRule type="expression" dxfId="2530" priority="52">
      <formula>B$9&gt;=20/24</formula>
    </cfRule>
    <cfRule type="expression" dxfId="2529" priority="53">
      <formula>AND(B$9&gt;=14/24,B$9&lt;20/24)</formula>
    </cfRule>
    <cfRule type="expression" dxfId="2528" priority="54">
      <formula>AND(B$9&gt;=8/24,B$9&lt;14/24)</formula>
    </cfRule>
    <cfRule type="expression" dxfId="2527" priority="55">
      <formula>B$9&lt;8/24</formula>
    </cfRule>
  </conditionalFormatting>
  <conditionalFormatting sqref="B34:D34">
    <cfRule type="expression" dxfId="2526" priority="51">
      <formula>B34&gt;$AG34</formula>
    </cfRule>
  </conditionalFormatting>
  <conditionalFormatting sqref="B48:D54">
    <cfRule type="expression" dxfId="2525" priority="47">
      <formula>B$9&gt;=20/24</formula>
    </cfRule>
    <cfRule type="expression" dxfId="2524" priority="48">
      <formula>AND(B$9&gt;=14/24,B$9&lt;20/24)</formula>
    </cfRule>
    <cfRule type="expression" dxfId="2523" priority="49">
      <formula>AND(B$9&gt;=8/24,B$9&lt;14/24)</formula>
    </cfRule>
    <cfRule type="expression" dxfId="2522" priority="50">
      <formula>B$9&lt;8/24</formula>
    </cfRule>
  </conditionalFormatting>
  <conditionalFormatting sqref="B48:D54">
    <cfRule type="expression" dxfId="2521" priority="46">
      <formula>B48&gt;$AG48</formula>
    </cfRule>
  </conditionalFormatting>
  <conditionalFormatting sqref="B17:D17 B23:D23">
    <cfRule type="expression" dxfId="2520" priority="38">
      <formula>B$9&gt;=20/24</formula>
    </cfRule>
    <cfRule type="expression" dxfId="2519" priority="39">
      <formula>AND(B$9&gt;=14/24,B$9&lt;20/24)</formula>
    </cfRule>
    <cfRule type="expression" dxfId="2518" priority="40">
      <formula>AND(B$9&gt;=8/24,B$9&lt;14/24)</formula>
    </cfRule>
    <cfRule type="expression" dxfId="2517" priority="41">
      <formula>B$9&lt;8/24</formula>
    </cfRule>
  </conditionalFormatting>
  <conditionalFormatting sqref="B17:D17 B23:D23">
    <cfRule type="expression" dxfId="2516" priority="37">
      <formula>B17&gt;$AG17</formula>
    </cfRule>
  </conditionalFormatting>
  <conditionalFormatting sqref="A34">
    <cfRule type="expression" dxfId="2515" priority="36">
      <formula>$AH34=0</formula>
    </cfRule>
  </conditionalFormatting>
  <conditionalFormatting sqref="B72:AF72">
    <cfRule type="expression" dxfId="2514" priority="32">
      <formula>B$9&gt;=20/24</formula>
    </cfRule>
    <cfRule type="expression" dxfId="2513" priority="33">
      <formula>AND(B$9&gt;=14/24,B$9&lt;20/24)</formula>
    </cfRule>
    <cfRule type="expression" dxfId="2512" priority="34">
      <formula>AND(B$9&gt;=8/24,B$9&lt;14/24)</formula>
    </cfRule>
    <cfRule type="expression" dxfId="2511" priority="35">
      <formula>B$9&lt;8/24</formula>
    </cfRule>
  </conditionalFormatting>
  <conditionalFormatting sqref="B81:AF85">
    <cfRule type="expression" dxfId="2510" priority="28">
      <formula>B$9&gt;=20/24</formula>
    </cfRule>
    <cfRule type="expression" dxfId="2509" priority="29">
      <formula>AND(B$9&gt;=14/24,B$9&lt;20/24)</formula>
    </cfRule>
    <cfRule type="expression" dxfId="2508" priority="30">
      <formula>AND(B$9&gt;=8/24,B$9&lt;14/24)</formula>
    </cfRule>
    <cfRule type="expression" dxfId="2507" priority="31">
      <formula>B$9&lt;8/24</formula>
    </cfRule>
  </conditionalFormatting>
  <conditionalFormatting sqref="AL35 AL7:AL30 AL32">
    <cfRule type="iconSet" priority="247">
      <iconSet iconSet="3TrafficLights2" reverse="1">
        <cfvo type="percent" val="0"/>
        <cfvo type="num" val="1"/>
        <cfvo type="num" val="1"/>
      </iconSet>
    </cfRule>
  </conditionalFormatting>
  <conditionalFormatting sqref="E39:AF41">
    <cfRule type="expression" dxfId="2506" priority="24">
      <formula>E$9&gt;=20/24</formula>
    </cfRule>
    <cfRule type="expression" dxfId="2505" priority="25">
      <formula>AND(E$9&gt;=14/24,E$9&lt;20/24)</formula>
    </cfRule>
    <cfRule type="expression" dxfId="2504" priority="26">
      <formula>AND(E$9&gt;=8/24,E$9&lt;14/24)</formula>
    </cfRule>
    <cfRule type="expression" dxfId="2503" priority="27">
      <formula>E$9&lt;8/24</formula>
    </cfRule>
  </conditionalFormatting>
  <conditionalFormatting sqref="E39:AF41">
    <cfRule type="expression" dxfId="2502" priority="23">
      <formula>E39&gt;$AG39</formula>
    </cfRule>
  </conditionalFormatting>
  <conditionalFormatting sqref="B39:B42 C42:AG42 C39:D41">
    <cfRule type="expression" dxfId="2501" priority="19">
      <formula>B$9&gt;=20/24</formula>
    </cfRule>
    <cfRule type="expression" dxfId="2500" priority="20">
      <formula>AND(B$9&gt;=14/24,B$9&lt;20/24)</formula>
    </cfRule>
    <cfRule type="expression" dxfId="2499" priority="21">
      <formula>AND(B$9&gt;=8/24,B$9&lt;14/24)</formula>
    </cfRule>
    <cfRule type="expression" dxfId="2498" priority="22">
      <formula>B$9&lt;8/24</formula>
    </cfRule>
  </conditionalFormatting>
  <conditionalFormatting sqref="B39:B42 C42:AG42 C39:D41">
    <cfRule type="expression" dxfId="2497" priority="18">
      <formula>B39&gt;$AG39</formula>
    </cfRule>
  </conditionalFormatting>
  <conditionalFormatting sqref="C97:AF97">
    <cfRule type="expression" dxfId="2496" priority="14">
      <formula>C$9&gt;=20/24</formula>
    </cfRule>
    <cfRule type="expression" dxfId="2495" priority="15">
      <formula>AND(C$9&gt;=14/24,C$9&lt;20/24)</formula>
    </cfRule>
    <cfRule type="expression" dxfId="2494" priority="16">
      <formula>AND(C$9&gt;=8/24,C$9&lt;14/24)</formula>
    </cfRule>
    <cfRule type="expression" dxfId="2493" priority="17">
      <formula>C$9&lt;8/24</formula>
    </cfRule>
  </conditionalFormatting>
  <conditionalFormatting sqref="B97">
    <cfRule type="expression" dxfId="2492" priority="10">
      <formula>B$9&gt;=20/24</formula>
    </cfRule>
    <cfRule type="expression" dxfId="2491" priority="11">
      <formula>AND(B$9&gt;=14/24,B$9&lt;20/24)</formula>
    </cfRule>
    <cfRule type="expression" dxfId="2490" priority="12">
      <formula>AND(B$9&gt;=8/24,B$9&lt;14/24)</formula>
    </cfRule>
    <cfRule type="expression" dxfId="2489" priority="13">
      <formula>B$9&lt;8/24</formula>
    </cfRule>
  </conditionalFormatting>
  <conditionalFormatting sqref="AL31">
    <cfRule type="iconSet" priority="9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2488" priority="3">
      <formula>$AH31=0</formula>
    </cfRule>
  </conditionalFormatting>
  <conditionalFormatting sqref="A80">
    <cfRule type="expression" dxfId="2487" priority="1">
      <formula>$AH80=0</formula>
    </cfRule>
  </conditionalFormatting>
  <conditionalFormatting sqref="A77">
    <cfRule type="expression" dxfId="2486" priority="2">
      <formula>$AH77=0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AB1AECE6-93E9-4750-B073-5FD662F02591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" id="{C4510912-4F0C-417B-AD47-22954679EC52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" id="{5CE87ADC-463A-47F2-B4ED-F3DB2634E3A9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" id="{CE09649B-8083-4F99-BE57-A87A456D418A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4" id="{25558A37-A9D4-46F4-99C7-258A457FC5AD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B63" sqref="B63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2079/02/22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("&amp;ROUND(B237,0)&amp;" MW)"&amp;"    IPP   = "&amp;ROUND(B232,0)&amp;" MW     NEA RoR = "&amp;ROUND(B233,0)&amp;" MWImport   = "&amp;ROUND(B235,0)&amp;" MW      KL1+KL2+K3 = "&amp;ROUND(B234,0) &amp;" MW    EXPORT = "&amp;ROUND(B236,0)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4</v>
      </c>
      <c r="C5" s="32">
        <f t="shared" si="0"/>
        <v>4</v>
      </c>
      <c r="D5" s="32">
        <f t="shared" si="0"/>
        <v>4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7</v>
      </c>
      <c r="K5" s="32">
        <f t="shared" si="0"/>
        <v>7.8</v>
      </c>
      <c r="L5" s="32">
        <f t="shared" si="0"/>
        <v>8</v>
      </c>
      <c r="M5" s="32">
        <f t="shared" si="0"/>
        <v>15</v>
      </c>
      <c r="N5" s="32">
        <f t="shared" si="0"/>
        <v>39</v>
      </c>
      <c r="O5" s="32">
        <f t="shared" si="0"/>
        <v>44</v>
      </c>
      <c r="P5" s="32">
        <f t="shared" si="0"/>
        <v>45</v>
      </c>
      <c r="Q5" s="32">
        <f t="shared" si="0"/>
        <v>47</v>
      </c>
      <c r="R5" s="32">
        <f t="shared" si="0"/>
        <v>60.3</v>
      </c>
      <c r="S5" s="32">
        <f t="shared" si="0"/>
        <v>58.4</v>
      </c>
      <c r="T5" s="32">
        <f t="shared" si="0"/>
        <v>56.4</v>
      </c>
      <c r="U5" s="32">
        <f t="shared" si="0"/>
        <v>23.4</v>
      </c>
      <c r="V5" s="32">
        <f t="shared" si="0"/>
        <v>22.8</v>
      </c>
      <c r="W5" s="32">
        <f t="shared" si="0"/>
        <v>14.2</v>
      </c>
      <c r="X5" s="32">
        <f t="shared" si="0"/>
        <v>19.899999999999999</v>
      </c>
      <c r="Y5" s="32">
        <f t="shared" si="0"/>
        <v>22.8</v>
      </c>
      <c r="Z5" s="32">
        <f t="shared" si="0"/>
        <v>42</v>
      </c>
      <c r="AA5" s="32">
        <f t="shared" si="0"/>
        <v>73</v>
      </c>
      <c r="AB5" s="32">
        <f t="shared" si="0"/>
        <v>73</v>
      </c>
      <c r="AC5" s="32">
        <f t="shared" si="0"/>
        <v>76</v>
      </c>
      <c r="AD5" s="32">
        <f t="shared" si="0"/>
        <v>71</v>
      </c>
      <c r="AE5" s="32">
        <f t="shared" si="0"/>
        <v>41</v>
      </c>
      <c r="AF5" s="32">
        <f>B72</f>
        <v>4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"&amp;ROUND(B237,0)&amp;"MW at "&amp;TRUNC(B238*24,0)&amp;":"&amp;ROUND((B238*24-TRUNC(B238*24,0))*60,0)&amp;"hr at "&amp;ROUND(B239,1)&amp;"Hz     "&amp;A229&amp;" "&amp;ROUND(B229,0)&amp;"MW at "&amp;TRUNC(C229*24,0)&amp;":"&amp;ROUND((C229*24-TRUNC(C229*24,0))*6,0)&amp;"0hr"</f>
        <v>Evening Peak 0MW at 0:0hr at 0Hz     Morning Peak 1794MW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Load=1630</v>
      </c>
      <c r="B7" s="37">
        <f>B79</f>
        <v>1761.54</v>
      </c>
      <c r="C7" s="37">
        <f t="shared" ref="C7:AF7" si="1">C79</f>
        <v>1677.8400000000001</v>
      </c>
      <c r="D7" s="37">
        <f t="shared" si="1"/>
        <v>1735.44</v>
      </c>
      <c r="E7" s="37">
        <f t="shared" si="1"/>
        <v>1700.5400000000002</v>
      </c>
      <c r="F7" s="37">
        <f t="shared" si="1"/>
        <v>1645.04</v>
      </c>
      <c r="G7" s="37">
        <f t="shared" si="1"/>
        <v>1659.54</v>
      </c>
      <c r="H7" s="37">
        <f t="shared" si="1"/>
        <v>1630.44</v>
      </c>
      <c r="I7" s="37">
        <f t="shared" si="1"/>
        <v>1630.44</v>
      </c>
      <c r="J7" s="37">
        <f t="shared" si="1"/>
        <v>1651.54</v>
      </c>
      <c r="K7" s="37">
        <f t="shared" si="1"/>
        <v>1701.2400000000002</v>
      </c>
      <c r="L7" s="37">
        <f t="shared" si="1"/>
        <v>1758.44</v>
      </c>
      <c r="M7" s="37">
        <f t="shared" si="1"/>
        <v>1793.64</v>
      </c>
      <c r="N7" s="37">
        <f t="shared" si="1"/>
        <v>1781.8400000000001</v>
      </c>
      <c r="O7" s="37">
        <f t="shared" si="1"/>
        <v>1826.64</v>
      </c>
      <c r="P7" s="37">
        <f t="shared" si="1"/>
        <v>1833.2400000000002</v>
      </c>
      <c r="Q7" s="37">
        <f t="shared" si="1"/>
        <v>1797.2400000000002</v>
      </c>
      <c r="R7" s="37">
        <f t="shared" si="1"/>
        <v>1844.7400000000002</v>
      </c>
      <c r="S7" s="37">
        <f t="shared" si="1"/>
        <v>1864.0400000000002</v>
      </c>
      <c r="T7" s="37">
        <f t="shared" si="1"/>
        <v>1844.8400000000001</v>
      </c>
      <c r="U7" s="37">
        <f t="shared" si="1"/>
        <v>1833.2400000000002</v>
      </c>
      <c r="V7" s="37">
        <f t="shared" si="1"/>
        <v>1831.5400000000002</v>
      </c>
      <c r="W7" s="37">
        <f t="shared" si="1"/>
        <v>1839.74</v>
      </c>
      <c r="X7" s="37">
        <f t="shared" si="1"/>
        <v>1795.84</v>
      </c>
      <c r="Y7" s="37">
        <f t="shared" si="1"/>
        <v>1804.94</v>
      </c>
      <c r="Z7" s="37">
        <f t="shared" si="1"/>
        <v>1893.04</v>
      </c>
      <c r="AA7" s="37">
        <f t="shared" si="1"/>
        <v>1868.04</v>
      </c>
      <c r="AB7" s="37">
        <f t="shared" si="1"/>
        <v>1945.5400000000002</v>
      </c>
      <c r="AC7" s="37">
        <f t="shared" si="1"/>
        <v>1945.5400000000002</v>
      </c>
      <c r="AD7" s="37">
        <f t="shared" si="1"/>
        <v>1888.14</v>
      </c>
      <c r="AE7" s="37">
        <f t="shared" si="1"/>
        <v>1882.8400000000001</v>
      </c>
      <c r="AF7" s="37">
        <f t="shared" si="1"/>
        <v>1880.8400000000001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179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0">
        <v>54</v>
      </c>
      <c r="C11" s="49">
        <v>54.1</v>
      </c>
      <c r="D11" s="49">
        <v>54.1</v>
      </c>
      <c r="E11" s="49">
        <v>54.1</v>
      </c>
      <c r="F11" s="49">
        <v>54.1</v>
      </c>
      <c r="G11" s="49">
        <v>54.1</v>
      </c>
      <c r="H11" s="49">
        <v>54.1</v>
      </c>
      <c r="I11" s="49">
        <v>54.1</v>
      </c>
      <c r="J11" s="49">
        <v>54.1</v>
      </c>
      <c r="K11" s="49">
        <v>54.1</v>
      </c>
      <c r="L11" s="49">
        <v>54.1</v>
      </c>
      <c r="M11" s="49">
        <v>54.1</v>
      </c>
      <c r="N11" s="49">
        <v>54.1</v>
      </c>
      <c r="O11" s="49">
        <v>54.1</v>
      </c>
      <c r="P11" s="49">
        <v>54.1</v>
      </c>
      <c r="Q11" s="49">
        <v>54.1</v>
      </c>
      <c r="R11" s="49">
        <v>54.1</v>
      </c>
      <c r="S11" s="49">
        <v>54.1</v>
      </c>
      <c r="T11" s="52">
        <v>54.2</v>
      </c>
      <c r="U11" s="52">
        <v>54.2</v>
      </c>
      <c r="V11" s="52">
        <v>54.2</v>
      </c>
      <c r="W11" s="52">
        <v>54.3</v>
      </c>
      <c r="X11" s="52">
        <v>54.2</v>
      </c>
      <c r="Y11" s="52">
        <v>54.2</v>
      </c>
      <c r="Z11" s="52">
        <v>54.2</v>
      </c>
      <c r="AA11" s="52">
        <v>54.2</v>
      </c>
      <c r="AB11" s="52">
        <v>54.2</v>
      </c>
      <c r="AC11" s="52">
        <v>54.2</v>
      </c>
      <c r="AD11" s="52">
        <v>54.2</v>
      </c>
      <c r="AE11" s="52">
        <v>54.2</v>
      </c>
      <c r="AF11" s="52">
        <v>54.2</v>
      </c>
      <c r="AG11" s="133">
        <v>52.4</v>
      </c>
      <c r="AH11" s="54">
        <f>MAX(B11:AF11)</f>
        <v>54.3</v>
      </c>
      <c r="AI11" s="55">
        <f>MIN(B11:AF11)</f>
        <v>54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50.6</v>
      </c>
      <c r="C12" s="50">
        <v>50.6</v>
      </c>
      <c r="D12" s="50">
        <v>50.4</v>
      </c>
      <c r="E12" s="50">
        <v>50.4</v>
      </c>
      <c r="F12" s="50">
        <v>50.4</v>
      </c>
      <c r="G12" s="50">
        <v>50.4</v>
      </c>
      <c r="H12" s="50">
        <v>50.4</v>
      </c>
      <c r="I12" s="50">
        <v>50.4</v>
      </c>
      <c r="J12" s="50">
        <v>50.4</v>
      </c>
      <c r="K12" s="50">
        <v>50.4</v>
      </c>
      <c r="L12" s="50">
        <v>50.4</v>
      </c>
      <c r="M12" s="50">
        <v>50.4</v>
      </c>
      <c r="N12" s="50">
        <v>50.4</v>
      </c>
      <c r="O12" s="50">
        <v>50.4</v>
      </c>
      <c r="P12" s="50">
        <v>50.4</v>
      </c>
      <c r="Q12" s="50">
        <v>50.4</v>
      </c>
      <c r="R12" s="50">
        <v>50.4</v>
      </c>
      <c r="S12" s="50">
        <v>50.4</v>
      </c>
      <c r="T12" s="50">
        <v>50.3</v>
      </c>
      <c r="U12" s="50">
        <v>50.5</v>
      </c>
      <c r="V12" s="50">
        <v>50.4</v>
      </c>
      <c r="W12" s="50">
        <v>50.3</v>
      </c>
      <c r="X12" s="50">
        <v>50.4</v>
      </c>
      <c r="Y12" s="50">
        <v>50.3</v>
      </c>
      <c r="Z12" s="50">
        <v>50.3</v>
      </c>
      <c r="AA12" s="50">
        <v>50.3</v>
      </c>
      <c r="AB12" s="50">
        <v>50.3</v>
      </c>
      <c r="AC12" s="50">
        <v>50.3</v>
      </c>
      <c r="AD12" s="50">
        <v>50.3</v>
      </c>
      <c r="AE12" s="50">
        <v>50.3</v>
      </c>
      <c r="AF12" s="50">
        <v>50.3</v>
      </c>
      <c r="AG12" s="134">
        <v>50</v>
      </c>
      <c r="AH12" s="54">
        <f t="shared" ref="AH12:AH79" si="2">MAX(B12:AF12)</f>
        <v>50.6</v>
      </c>
      <c r="AI12" s="55">
        <f t="shared" ref="AI12:AI79" si="3">MIN(B12:AF12)</f>
        <v>50.3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45.8</v>
      </c>
      <c r="C13" s="50">
        <v>45.9</v>
      </c>
      <c r="D13" s="50">
        <v>45.9</v>
      </c>
      <c r="E13" s="50">
        <v>45.9</v>
      </c>
      <c r="F13" s="50">
        <v>45.9</v>
      </c>
      <c r="G13" s="50">
        <v>45.9</v>
      </c>
      <c r="H13" s="50">
        <v>45.9</v>
      </c>
      <c r="I13" s="50">
        <v>45.9</v>
      </c>
      <c r="J13" s="50">
        <v>45.9</v>
      </c>
      <c r="K13" s="50">
        <v>45.9</v>
      </c>
      <c r="L13" s="50">
        <v>45.9</v>
      </c>
      <c r="M13" s="50">
        <v>45.9</v>
      </c>
      <c r="N13" s="50">
        <v>45.9</v>
      </c>
      <c r="O13" s="50">
        <v>45.9</v>
      </c>
      <c r="P13" s="50">
        <v>45.9</v>
      </c>
      <c r="Q13" s="50">
        <v>45.9</v>
      </c>
      <c r="R13" s="50">
        <v>45.9</v>
      </c>
      <c r="S13" s="50">
        <v>45.9</v>
      </c>
      <c r="T13" s="50">
        <v>45.8</v>
      </c>
      <c r="U13" s="50">
        <v>45.8</v>
      </c>
      <c r="V13" s="50">
        <v>45.9</v>
      </c>
      <c r="W13" s="50">
        <v>45.8</v>
      </c>
      <c r="X13" s="50">
        <v>45.9</v>
      </c>
      <c r="Y13" s="50">
        <v>45.8</v>
      </c>
      <c r="Z13" s="50">
        <v>45.8</v>
      </c>
      <c r="AA13" s="50">
        <v>45.8</v>
      </c>
      <c r="AB13" s="50">
        <v>45.8</v>
      </c>
      <c r="AC13" s="50">
        <v>45.8</v>
      </c>
      <c r="AD13" s="50">
        <v>45.8</v>
      </c>
      <c r="AE13" s="50">
        <v>45.8</v>
      </c>
      <c r="AF13" s="50">
        <v>45.8</v>
      </c>
      <c r="AG13" s="134">
        <v>45</v>
      </c>
      <c r="AH13" s="54">
        <f t="shared" si="2"/>
        <v>45.9</v>
      </c>
      <c r="AI13" s="55">
        <f t="shared" si="3"/>
        <v>45.8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28</v>
      </c>
      <c r="C14" s="50">
        <v>30</v>
      </c>
      <c r="D14" s="50">
        <v>26</v>
      </c>
      <c r="E14" s="50">
        <v>26</v>
      </c>
      <c r="F14" s="50">
        <v>20</v>
      </c>
      <c r="G14" s="50">
        <v>20</v>
      </c>
      <c r="H14" s="50">
        <v>20</v>
      </c>
      <c r="I14" s="50">
        <v>20</v>
      </c>
      <c r="J14" s="50">
        <v>28</v>
      </c>
      <c r="K14" s="50">
        <v>32</v>
      </c>
      <c r="L14" s="50">
        <v>32</v>
      </c>
      <c r="M14" s="50">
        <v>36</v>
      </c>
      <c r="N14" s="50">
        <v>36</v>
      </c>
      <c r="O14" s="50">
        <v>36</v>
      </c>
      <c r="P14" s="50">
        <v>36</v>
      </c>
      <c r="Q14" s="50">
        <v>36</v>
      </c>
      <c r="R14" s="50">
        <v>36</v>
      </c>
      <c r="S14" s="50">
        <v>36</v>
      </c>
      <c r="T14" s="50">
        <v>36</v>
      </c>
      <c r="U14" s="50">
        <v>36</v>
      </c>
      <c r="V14" s="50">
        <v>36</v>
      </c>
      <c r="W14" s="50">
        <v>30</v>
      </c>
      <c r="X14" s="50">
        <v>30</v>
      </c>
      <c r="Y14" s="50">
        <v>30</v>
      </c>
      <c r="Z14" s="50">
        <v>30</v>
      </c>
      <c r="AA14" s="50">
        <v>30</v>
      </c>
      <c r="AB14" s="50">
        <v>30</v>
      </c>
      <c r="AC14" s="50">
        <v>30</v>
      </c>
      <c r="AD14" s="50">
        <v>30</v>
      </c>
      <c r="AE14" s="50">
        <v>30</v>
      </c>
      <c r="AF14" s="50">
        <v>28</v>
      </c>
      <c r="AG14" s="134">
        <v>42</v>
      </c>
      <c r="AH14" s="54">
        <f t="shared" si="2"/>
        <v>36</v>
      </c>
      <c r="AI14" s="55">
        <f t="shared" si="3"/>
        <v>20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20</v>
      </c>
      <c r="C15" s="50">
        <v>30</v>
      </c>
      <c r="D15" s="50">
        <v>10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15</v>
      </c>
      <c r="L15" s="50">
        <v>30</v>
      </c>
      <c r="M15" s="50">
        <v>30</v>
      </c>
      <c r="N15" s="50">
        <v>30</v>
      </c>
      <c r="O15" s="50">
        <v>30</v>
      </c>
      <c r="P15" s="50">
        <v>30</v>
      </c>
      <c r="Q15" s="50">
        <v>30</v>
      </c>
      <c r="R15" s="50">
        <v>30</v>
      </c>
      <c r="S15" s="50">
        <v>30</v>
      </c>
      <c r="T15" s="50">
        <v>30</v>
      </c>
      <c r="U15" s="50">
        <v>30</v>
      </c>
      <c r="V15" s="50">
        <v>30</v>
      </c>
      <c r="W15" s="50">
        <v>30</v>
      </c>
      <c r="X15" s="50">
        <v>30</v>
      </c>
      <c r="Y15" s="50">
        <v>30</v>
      </c>
      <c r="Z15" s="50">
        <v>30</v>
      </c>
      <c r="AA15" s="50">
        <v>30</v>
      </c>
      <c r="AB15" s="50">
        <v>30</v>
      </c>
      <c r="AC15" s="50">
        <v>30</v>
      </c>
      <c r="AD15" s="50">
        <v>30</v>
      </c>
      <c r="AE15" s="50">
        <v>30</v>
      </c>
      <c r="AF15" s="50">
        <v>30</v>
      </c>
      <c r="AG15" s="135">
        <v>30</v>
      </c>
      <c r="AH15" s="54">
        <f t="shared" si="2"/>
        <v>30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26.2</v>
      </c>
      <c r="C16" s="50">
        <v>26.2</v>
      </c>
      <c r="D16" s="50">
        <v>25.1</v>
      </c>
      <c r="E16" s="50">
        <v>25.1</v>
      </c>
      <c r="F16" s="50">
        <v>22.4</v>
      </c>
      <c r="G16" s="50">
        <v>22.4</v>
      </c>
      <c r="H16" s="50">
        <v>22.4</v>
      </c>
      <c r="I16" s="50">
        <v>22.4</v>
      </c>
      <c r="J16" s="50">
        <v>22.4</v>
      </c>
      <c r="K16" s="50">
        <v>26.1</v>
      </c>
      <c r="L16" s="50">
        <v>26.1</v>
      </c>
      <c r="M16" s="50">
        <v>26.1</v>
      </c>
      <c r="N16" s="50">
        <v>26.1</v>
      </c>
      <c r="O16" s="50">
        <v>26.1</v>
      </c>
      <c r="P16" s="50">
        <v>26.1</v>
      </c>
      <c r="Q16" s="50">
        <v>26.1</v>
      </c>
      <c r="R16" s="50">
        <v>26.1</v>
      </c>
      <c r="S16" s="50">
        <v>26.1</v>
      </c>
      <c r="T16" s="50">
        <v>26.2</v>
      </c>
      <c r="U16" s="50">
        <v>19.600000000000001</v>
      </c>
      <c r="V16" s="50">
        <v>26.4</v>
      </c>
      <c r="W16" s="50">
        <v>26.5</v>
      </c>
      <c r="X16" s="50">
        <v>26.3</v>
      </c>
      <c r="Y16" s="50">
        <v>26.1</v>
      </c>
      <c r="Z16" s="50">
        <v>26.1</v>
      </c>
      <c r="AA16" s="50">
        <v>26.1</v>
      </c>
      <c r="AB16" s="50">
        <v>26.1</v>
      </c>
      <c r="AC16" s="50">
        <v>26.1</v>
      </c>
      <c r="AD16" s="50">
        <v>26.1</v>
      </c>
      <c r="AE16" s="50">
        <v>26.1</v>
      </c>
      <c r="AF16" s="50">
        <v>26.1</v>
      </c>
      <c r="AG16" s="134">
        <v>25</v>
      </c>
      <c r="AH16" s="54">
        <f t="shared" si="2"/>
        <v>26.5</v>
      </c>
      <c r="AI16" s="55">
        <f t="shared" si="3"/>
        <v>19.600000000000001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12.5</v>
      </c>
      <c r="O17" s="50">
        <v>12.5</v>
      </c>
      <c r="P17" s="50">
        <v>12.5</v>
      </c>
      <c r="Q17" s="50">
        <v>12.5</v>
      </c>
      <c r="R17" s="50">
        <v>12.5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12.5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25</v>
      </c>
      <c r="D18" s="50">
        <v>25</v>
      </c>
      <c r="E18" s="50">
        <v>25</v>
      </c>
      <c r="F18" s="50">
        <v>25</v>
      </c>
      <c r="G18" s="50">
        <v>25</v>
      </c>
      <c r="H18" s="50">
        <v>25</v>
      </c>
      <c r="I18" s="50">
        <v>25</v>
      </c>
      <c r="J18" s="50">
        <v>25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25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33.1</v>
      </c>
      <c r="C19" s="50">
        <v>33.1</v>
      </c>
      <c r="D19" s="50">
        <v>33.1</v>
      </c>
      <c r="E19" s="50">
        <v>33.1</v>
      </c>
      <c r="F19" s="50">
        <v>25.2</v>
      </c>
      <c r="G19" s="50">
        <v>25.2</v>
      </c>
      <c r="H19" s="50">
        <v>25.2</v>
      </c>
      <c r="I19" s="50">
        <v>25.2</v>
      </c>
      <c r="J19" s="50">
        <v>25.2</v>
      </c>
      <c r="K19" s="50">
        <v>33.200000000000003</v>
      </c>
      <c r="L19" s="50">
        <v>33.200000000000003</v>
      </c>
      <c r="M19" s="50">
        <v>33.200000000000003</v>
      </c>
      <c r="N19" s="50">
        <v>33.200000000000003</v>
      </c>
      <c r="O19" s="50">
        <v>33.200000000000003</v>
      </c>
      <c r="P19" s="50">
        <v>33.200000000000003</v>
      </c>
      <c r="Q19" s="50">
        <v>33.200000000000003</v>
      </c>
      <c r="R19" s="50">
        <v>33.200000000000003</v>
      </c>
      <c r="S19" s="50">
        <v>33.200000000000003</v>
      </c>
      <c r="T19" s="50">
        <v>33.200000000000003</v>
      </c>
      <c r="U19" s="50">
        <v>33.200000000000003</v>
      </c>
      <c r="V19" s="50">
        <v>33.299999999999997</v>
      </c>
      <c r="W19" s="50">
        <v>33.299999999999997</v>
      </c>
      <c r="X19" s="50">
        <v>33.299999999999997</v>
      </c>
      <c r="Y19" s="50">
        <v>33.299999999999997</v>
      </c>
      <c r="Z19" s="50">
        <v>33.299999999999997</v>
      </c>
      <c r="AA19" s="50">
        <v>33.299999999999997</v>
      </c>
      <c r="AB19" s="50">
        <v>33.299999999999997</v>
      </c>
      <c r="AC19" s="50">
        <v>33.299999999999997</v>
      </c>
      <c r="AD19" s="50">
        <v>33.299999999999997</v>
      </c>
      <c r="AE19" s="50">
        <v>33.299999999999997</v>
      </c>
      <c r="AF19" s="50">
        <v>33.299999999999997</v>
      </c>
      <c r="AG19" s="134">
        <v>24.2</v>
      </c>
      <c r="AH19" s="54">
        <f t="shared" si="2"/>
        <v>33.299999999999997</v>
      </c>
      <c r="AI19" s="55">
        <f t="shared" si="3"/>
        <v>25.2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20.3</v>
      </c>
      <c r="C20" s="50">
        <v>20.3</v>
      </c>
      <c r="D20" s="50">
        <v>23.6</v>
      </c>
      <c r="E20" s="50">
        <v>23.6</v>
      </c>
      <c r="F20" s="50">
        <v>23.6</v>
      </c>
      <c r="G20" s="50">
        <v>23.6</v>
      </c>
      <c r="H20" s="50">
        <v>23.6</v>
      </c>
      <c r="I20" s="50">
        <v>23.6</v>
      </c>
      <c r="J20" s="50">
        <v>23.6</v>
      </c>
      <c r="K20" s="50">
        <v>23.6</v>
      </c>
      <c r="L20" s="50">
        <v>23.6</v>
      </c>
      <c r="M20" s="50">
        <v>23.6</v>
      </c>
      <c r="N20" s="50">
        <v>23.6</v>
      </c>
      <c r="O20" s="50">
        <v>23.6</v>
      </c>
      <c r="P20" s="50">
        <v>23.6</v>
      </c>
      <c r="Q20" s="50">
        <v>23.6</v>
      </c>
      <c r="R20" s="50">
        <v>23.6</v>
      </c>
      <c r="S20" s="50">
        <v>23.6</v>
      </c>
      <c r="T20" s="50">
        <v>23.6</v>
      </c>
      <c r="U20" s="50">
        <v>23.6</v>
      </c>
      <c r="V20" s="50">
        <v>24.1</v>
      </c>
      <c r="W20" s="50">
        <v>24.1</v>
      </c>
      <c r="X20" s="50">
        <v>24.1</v>
      </c>
      <c r="Y20" s="50">
        <v>24.1</v>
      </c>
      <c r="Z20" s="50">
        <v>24.1</v>
      </c>
      <c r="AA20" s="50">
        <v>24.1</v>
      </c>
      <c r="AB20" s="50">
        <v>24.1</v>
      </c>
      <c r="AC20" s="50">
        <v>24.1</v>
      </c>
      <c r="AD20" s="50">
        <v>24.1</v>
      </c>
      <c r="AE20" s="50">
        <v>24.1</v>
      </c>
      <c r="AF20" s="50">
        <v>24.1</v>
      </c>
      <c r="AG20" s="134">
        <v>23.5</v>
      </c>
      <c r="AH20" s="54">
        <f t="shared" si="2"/>
        <v>24.1</v>
      </c>
      <c r="AI20" s="55">
        <f t="shared" si="3"/>
        <v>20.3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16</v>
      </c>
      <c r="C21" s="50">
        <v>16</v>
      </c>
      <c r="D21" s="50">
        <v>16</v>
      </c>
      <c r="E21" s="50">
        <v>16</v>
      </c>
      <c r="F21" s="50">
        <v>16</v>
      </c>
      <c r="G21" s="50">
        <v>16</v>
      </c>
      <c r="H21" s="50">
        <v>16</v>
      </c>
      <c r="I21" s="50">
        <v>16</v>
      </c>
      <c r="J21" s="50">
        <v>16</v>
      </c>
      <c r="K21" s="50">
        <v>16</v>
      </c>
      <c r="L21" s="50">
        <v>16</v>
      </c>
      <c r="M21" s="50">
        <v>16</v>
      </c>
      <c r="N21" s="50">
        <v>16</v>
      </c>
      <c r="O21" s="50">
        <v>16</v>
      </c>
      <c r="P21" s="50">
        <v>16</v>
      </c>
      <c r="Q21" s="50">
        <v>16</v>
      </c>
      <c r="R21" s="50">
        <v>16</v>
      </c>
      <c r="S21" s="50">
        <v>16</v>
      </c>
      <c r="T21" s="50">
        <v>16</v>
      </c>
      <c r="U21" s="50">
        <v>16</v>
      </c>
      <c r="V21" s="50">
        <v>16</v>
      </c>
      <c r="W21" s="50">
        <v>16</v>
      </c>
      <c r="X21" s="50">
        <v>16</v>
      </c>
      <c r="Y21" s="50">
        <v>16</v>
      </c>
      <c r="Z21" s="50">
        <v>16</v>
      </c>
      <c r="AA21" s="50">
        <v>16</v>
      </c>
      <c r="AB21" s="50">
        <v>16</v>
      </c>
      <c r="AC21" s="50">
        <v>16</v>
      </c>
      <c r="AD21" s="50">
        <v>16</v>
      </c>
      <c r="AE21" s="50">
        <v>16</v>
      </c>
      <c r="AF21" s="50">
        <v>16</v>
      </c>
      <c r="AG21" s="134">
        <v>22.2</v>
      </c>
      <c r="AH21" s="54">
        <f t="shared" si="2"/>
        <v>16</v>
      </c>
      <c r="AI21" s="55">
        <f t="shared" si="3"/>
        <v>16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134">
        <v>22.1</v>
      </c>
      <c r="AH22" s="54">
        <f t="shared" si="2"/>
        <v>22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22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22</v>
      </c>
      <c r="AI24" s="55">
        <f t="shared" si="3"/>
        <v>22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15</v>
      </c>
      <c r="C25" s="50">
        <v>10</v>
      </c>
      <c r="D25" s="50">
        <v>10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10</v>
      </c>
      <c r="L25" s="50">
        <v>10</v>
      </c>
      <c r="M25" s="50">
        <v>10</v>
      </c>
      <c r="N25" s="50">
        <v>10</v>
      </c>
      <c r="O25" s="50">
        <v>10</v>
      </c>
      <c r="P25" s="50">
        <v>10</v>
      </c>
      <c r="Q25" s="50">
        <v>15</v>
      </c>
      <c r="R25" s="50">
        <v>15</v>
      </c>
      <c r="S25" s="50">
        <v>14</v>
      </c>
      <c r="T25" s="50">
        <v>14</v>
      </c>
      <c r="U25" s="50">
        <v>14</v>
      </c>
      <c r="V25" s="50">
        <v>14</v>
      </c>
      <c r="W25" s="50">
        <v>20</v>
      </c>
      <c r="X25" s="50">
        <v>13</v>
      </c>
      <c r="Y25" s="50">
        <v>13</v>
      </c>
      <c r="Z25" s="50">
        <v>15</v>
      </c>
      <c r="AA25" s="50">
        <v>15</v>
      </c>
      <c r="AB25" s="50">
        <v>15</v>
      </c>
      <c r="AC25" s="50">
        <v>15</v>
      </c>
      <c r="AD25" s="50">
        <v>15</v>
      </c>
      <c r="AE25" s="50">
        <v>13</v>
      </c>
      <c r="AF25" s="50">
        <v>13</v>
      </c>
      <c r="AG25" s="134">
        <v>20</v>
      </c>
      <c r="AH25" s="54">
        <f t="shared" si="2"/>
        <v>20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7.8</v>
      </c>
      <c r="C26" s="50">
        <v>7.8</v>
      </c>
      <c r="D26" s="50">
        <v>7.8</v>
      </c>
      <c r="E26" s="50">
        <v>7.8</v>
      </c>
      <c r="F26" s="50">
        <v>7.8</v>
      </c>
      <c r="G26" s="50">
        <v>7.8</v>
      </c>
      <c r="H26" s="50">
        <v>7.8</v>
      </c>
      <c r="I26" s="50">
        <v>7.8</v>
      </c>
      <c r="J26" s="50">
        <v>7.8</v>
      </c>
      <c r="K26" s="50">
        <v>7.8</v>
      </c>
      <c r="L26" s="50">
        <v>7.8</v>
      </c>
      <c r="M26" s="50">
        <v>7.8</v>
      </c>
      <c r="N26" s="50">
        <v>7.8</v>
      </c>
      <c r="O26" s="50">
        <v>7.8</v>
      </c>
      <c r="P26" s="50">
        <v>7.8</v>
      </c>
      <c r="Q26" s="50">
        <v>7.8</v>
      </c>
      <c r="R26" s="50">
        <v>7.8</v>
      </c>
      <c r="S26" s="50">
        <v>7.8</v>
      </c>
      <c r="T26" s="50">
        <v>7.8</v>
      </c>
      <c r="U26" s="50">
        <v>7.8</v>
      </c>
      <c r="V26" s="50">
        <v>7.8</v>
      </c>
      <c r="W26" s="50">
        <v>7.8</v>
      </c>
      <c r="X26" s="50">
        <v>7.8</v>
      </c>
      <c r="Y26" s="50">
        <v>7.8</v>
      </c>
      <c r="Z26" s="50">
        <v>7.8</v>
      </c>
      <c r="AA26" s="50">
        <v>7.8</v>
      </c>
      <c r="AB26" s="50">
        <v>7.8</v>
      </c>
      <c r="AC26" s="50">
        <v>7.8</v>
      </c>
      <c r="AD26" s="50">
        <v>7.8</v>
      </c>
      <c r="AE26" s="50">
        <v>7.8</v>
      </c>
      <c r="AF26" s="50">
        <v>7.8</v>
      </c>
      <c r="AG26" s="134">
        <v>14.9</v>
      </c>
      <c r="AH26" s="54">
        <f t="shared" si="2"/>
        <v>7.8</v>
      </c>
      <c r="AI26" s="55">
        <f t="shared" si="3"/>
        <v>7.8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0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12</v>
      </c>
      <c r="N27" s="50">
        <v>12</v>
      </c>
      <c r="O27" s="50">
        <v>12</v>
      </c>
      <c r="P27" s="50">
        <v>12</v>
      </c>
      <c r="Q27" s="50">
        <v>12</v>
      </c>
      <c r="R27" s="50">
        <v>12</v>
      </c>
      <c r="S27" s="50">
        <v>12</v>
      </c>
      <c r="T27" s="50">
        <v>12</v>
      </c>
      <c r="U27" s="50">
        <v>12</v>
      </c>
      <c r="V27" s="50">
        <v>12</v>
      </c>
      <c r="W27" s="50">
        <v>12</v>
      </c>
      <c r="X27" s="50">
        <v>12</v>
      </c>
      <c r="Y27" s="50">
        <v>12</v>
      </c>
      <c r="Z27" s="50">
        <v>12</v>
      </c>
      <c r="AA27" s="50">
        <v>12</v>
      </c>
      <c r="AB27" s="50">
        <v>12</v>
      </c>
      <c r="AC27" s="50">
        <v>12</v>
      </c>
      <c r="AD27" s="50">
        <v>12</v>
      </c>
      <c r="AE27" s="50">
        <v>12</v>
      </c>
      <c r="AF27" s="50">
        <v>12</v>
      </c>
      <c r="AG27" s="134">
        <v>13.6</v>
      </c>
      <c r="AH27" s="54">
        <f t="shared" si="2"/>
        <v>12</v>
      </c>
      <c r="AI27" s="55">
        <f t="shared" si="3"/>
        <v>0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12</v>
      </c>
      <c r="C28" s="50">
        <v>12</v>
      </c>
      <c r="D28" s="50">
        <v>12</v>
      </c>
      <c r="E28" s="50">
        <v>12</v>
      </c>
      <c r="F28" s="50">
        <v>12</v>
      </c>
      <c r="G28" s="50">
        <v>12</v>
      </c>
      <c r="H28" s="50">
        <v>12</v>
      </c>
      <c r="I28" s="50">
        <v>12</v>
      </c>
      <c r="J28" s="50">
        <v>12</v>
      </c>
      <c r="K28" s="50">
        <v>12</v>
      </c>
      <c r="L28" s="50">
        <v>12</v>
      </c>
      <c r="M28" s="50">
        <v>12</v>
      </c>
      <c r="N28" s="50">
        <v>12</v>
      </c>
      <c r="O28" s="50">
        <v>12</v>
      </c>
      <c r="P28" s="50">
        <v>12</v>
      </c>
      <c r="Q28" s="50">
        <v>12</v>
      </c>
      <c r="R28" s="50">
        <v>12</v>
      </c>
      <c r="S28" s="50">
        <v>12</v>
      </c>
      <c r="T28" s="50">
        <v>12</v>
      </c>
      <c r="U28" s="50">
        <v>12</v>
      </c>
      <c r="V28" s="50">
        <v>12</v>
      </c>
      <c r="W28" s="50">
        <v>12</v>
      </c>
      <c r="X28" s="50">
        <v>12</v>
      </c>
      <c r="Y28" s="50">
        <v>12</v>
      </c>
      <c r="Z28" s="50">
        <v>12</v>
      </c>
      <c r="AA28" s="50">
        <v>12</v>
      </c>
      <c r="AB28" s="50">
        <v>12</v>
      </c>
      <c r="AC28" s="50">
        <v>12</v>
      </c>
      <c r="AD28" s="50">
        <v>12</v>
      </c>
      <c r="AE28" s="50">
        <v>12</v>
      </c>
      <c r="AF28" s="50">
        <v>12</v>
      </c>
      <c r="AG28" s="134">
        <v>13</v>
      </c>
      <c r="AH28" s="54">
        <f t="shared" si="2"/>
        <v>12</v>
      </c>
      <c r="AI28" s="55">
        <f t="shared" si="3"/>
        <v>12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12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4</v>
      </c>
      <c r="P29" s="50">
        <v>4</v>
      </c>
      <c r="Q29" s="50">
        <v>4</v>
      </c>
      <c r="R29" s="50">
        <v>8</v>
      </c>
      <c r="S29" s="50">
        <v>8</v>
      </c>
      <c r="T29" s="50">
        <v>8</v>
      </c>
      <c r="U29" s="50">
        <v>8</v>
      </c>
      <c r="V29" s="50">
        <v>8</v>
      </c>
      <c r="W29" s="50">
        <v>8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134">
        <v>12</v>
      </c>
      <c r="AH29" s="54">
        <f t="shared" si="2"/>
        <v>12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7</v>
      </c>
      <c r="C30" s="50">
        <v>7</v>
      </c>
      <c r="D30" s="50">
        <v>7</v>
      </c>
      <c r="E30" s="50">
        <v>7</v>
      </c>
      <c r="F30" s="50">
        <v>7</v>
      </c>
      <c r="G30" s="50">
        <v>7</v>
      </c>
      <c r="H30" s="50">
        <v>7</v>
      </c>
      <c r="I30" s="50">
        <v>7</v>
      </c>
      <c r="J30" s="50">
        <v>7</v>
      </c>
      <c r="K30" s="50">
        <v>7</v>
      </c>
      <c r="L30" s="50">
        <v>7</v>
      </c>
      <c r="M30" s="50">
        <v>7</v>
      </c>
      <c r="N30" s="50">
        <v>7</v>
      </c>
      <c r="O30" s="50">
        <v>7</v>
      </c>
      <c r="P30" s="50">
        <v>7</v>
      </c>
      <c r="Q30" s="50">
        <v>7</v>
      </c>
      <c r="R30" s="50">
        <v>7</v>
      </c>
      <c r="S30" s="50">
        <v>7</v>
      </c>
      <c r="T30" s="50">
        <v>7</v>
      </c>
      <c r="U30" s="50">
        <v>7</v>
      </c>
      <c r="V30" s="50">
        <v>7</v>
      </c>
      <c r="W30" s="50">
        <v>7</v>
      </c>
      <c r="X30" s="50">
        <v>7</v>
      </c>
      <c r="Y30" s="50">
        <v>7</v>
      </c>
      <c r="Z30" s="50">
        <v>7</v>
      </c>
      <c r="AA30" s="50">
        <v>7</v>
      </c>
      <c r="AB30" s="50">
        <v>7</v>
      </c>
      <c r="AC30" s="50">
        <v>7</v>
      </c>
      <c r="AD30" s="50">
        <v>7</v>
      </c>
      <c r="AE30" s="50">
        <v>7</v>
      </c>
      <c r="AF30" s="50">
        <v>7</v>
      </c>
      <c r="AG30" s="134">
        <v>12</v>
      </c>
      <c r="AH30" s="54">
        <f t="shared" si="2"/>
        <v>7</v>
      </c>
      <c r="AI30" s="55">
        <f t="shared" si="3"/>
        <v>7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5.5</v>
      </c>
      <c r="Z31" s="50">
        <v>5.5</v>
      </c>
      <c r="AA31" s="50">
        <v>12</v>
      </c>
      <c r="AB31" s="50">
        <v>12</v>
      </c>
      <c r="AC31" s="50">
        <v>12</v>
      </c>
      <c r="AD31" s="50">
        <v>12</v>
      </c>
      <c r="AE31" s="50">
        <v>12</v>
      </c>
      <c r="AF31" s="50">
        <v>12</v>
      </c>
      <c r="AG31" s="178">
        <v>22</v>
      </c>
      <c r="AH31" s="54">
        <f>MAX(B31:AF31)</f>
        <v>12</v>
      </c>
      <c r="AI31" s="55">
        <f>MIN(B31:AF31)</f>
        <v>0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11</v>
      </c>
      <c r="C32" s="50">
        <v>11</v>
      </c>
      <c r="D32" s="50">
        <v>11</v>
      </c>
      <c r="E32" s="50">
        <v>11</v>
      </c>
      <c r="F32" s="50">
        <v>11</v>
      </c>
      <c r="G32" s="50">
        <v>11</v>
      </c>
      <c r="H32" s="50">
        <v>11</v>
      </c>
      <c r="I32" s="50">
        <v>11</v>
      </c>
      <c r="J32" s="50">
        <v>11</v>
      </c>
      <c r="K32" s="50">
        <v>11</v>
      </c>
      <c r="L32" s="50">
        <v>11</v>
      </c>
      <c r="M32" s="50">
        <v>11</v>
      </c>
      <c r="N32" s="50">
        <v>11</v>
      </c>
      <c r="O32" s="50">
        <v>11</v>
      </c>
      <c r="P32" s="50">
        <v>11</v>
      </c>
      <c r="Q32" s="50">
        <v>11</v>
      </c>
      <c r="R32" s="50">
        <v>11</v>
      </c>
      <c r="S32" s="50">
        <v>11</v>
      </c>
      <c r="T32" s="50">
        <v>11</v>
      </c>
      <c r="U32" s="50">
        <v>11</v>
      </c>
      <c r="V32" s="50">
        <v>11</v>
      </c>
      <c r="W32" s="50">
        <v>11</v>
      </c>
      <c r="X32" s="50">
        <v>11</v>
      </c>
      <c r="Y32" s="50">
        <v>11</v>
      </c>
      <c r="Z32" s="50">
        <v>11</v>
      </c>
      <c r="AA32" s="50">
        <v>11</v>
      </c>
      <c r="AB32" s="50">
        <v>11</v>
      </c>
      <c r="AC32" s="50">
        <v>11</v>
      </c>
      <c r="AD32" s="50">
        <v>11</v>
      </c>
      <c r="AE32" s="50">
        <v>11</v>
      </c>
      <c r="AF32" s="50">
        <v>11</v>
      </c>
      <c r="AG32" s="135">
        <v>11.88</v>
      </c>
      <c r="AH32" s="54">
        <f t="shared" si="2"/>
        <v>11</v>
      </c>
      <c r="AI32" s="55">
        <f t="shared" si="3"/>
        <v>11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11</v>
      </c>
      <c r="D33" s="50">
        <v>11</v>
      </c>
      <c r="E33" s="50">
        <v>11</v>
      </c>
      <c r="F33" s="50">
        <v>11</v>
      </c>
      <c r="G33" s="50">
        <v>11</v>
      </c>
      <c r="H33" s="50">
        <v>11</v>
      </c>
      <c r="I33" s="50">
        <v>11</v>
      </c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11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8.3000000000000007</v>
      </c>
      <c r="C34" s="50">
        <v>8.3000000000000007</v>
      </c>
      <c r="D34" s="50">
        <v>8.3000000000000007</v>
      </c>
      <c r="E34" s="50">
        <v>8.3000000000000007</v>
      </c>
      <c r="F34" s="50">
        <v>8.3000000000000007</v>
      </c>
      <c r="G34" s="50">
        <v>8.3000000000000007</v>
      </c>
      <c r="H34" s="50">
        <v>8.3000000000000007</v>
      </c>
      <c r="I34" s="50">
        <v>8.3000000000000007</v>
      </c>
      <c r="J34" s="50">
        <v>8.3000000000000007</v>
      </c>
      <c r="K34" s="50">
        <v>8.3000000000000007</v>
      </c>
      <c r="L34" s="50">
        <v>8.3000000000000007</v>
      </c>
      <c r="M34" s="50">
        <v>8.3000000000000007</v>
      </c>
      <c r="N34" s="50">
        <v>8.3000000000000007</v>
      </c>
      <c r="O34" s="50">
        <v>8.3000000000000007</v>
      </c>
      <c r="P34" s="50">
        <v>8.3000000000000007</v>
      </c>
      <c r="Q34" s="50">
        <v>8.3000000000000007</v>
      </c>
      <c r="R34" s="50">
        <v>8.3000000000000007</v>
      </c>
      <c r="S34" s="50">
        <v>8.3000000000000007</v>
      </c>
      <c r="T34" s="50">
        <v>8.3000000000000007</v>
      </c>
      <c r="U34" s="50">
        <v>8.3000000000000007</v>
      </c>
      <c r="V34" s="50">
        <v>8.3000000000000007</v>
      </c>
      <c r="W34" s="50">
        <v>8.3000000000000007</v>
      </c>
      <c r="X34" s="50">
        <v>8.3000000000000007</v>
      </c>
      <c r="Y34" s="50">
        <v>8.3000000000000007</v>
      </c>
      <c r="Z34" s="50">
        <v>8.3000000000000007</v>
      </c>
      <c r="AA34" s="50">
        <v>8.3000000000000007</v>
      </c>
      <c r="AB34" s="50">
        <v>8.3000000000000007</v>
      </c>
      <c r="AC34" s="50">
        <v>8.3000000000000007</v>
      </c>
      <c r="AD34" s="50">
        <v>8.3000000000000007</v>
      </c>
      <c r="AE34" s="50">
        <v>8.3000000000000007</v>
      </c>
      <c r="AF34" s="50">
        <v>8.3000000000000007</v>
      </c>
      <c r="AG34" s="136">
        <v>10</v>
      </c>
      <c r="AH34" s="54">
        <f t="shared" si="2"/>
        <v>8.3000000000000007</v>
      </c>
      <c r="AI34" s="55">
        <f t="shared" si="3"/>
        <v>8.3000000000000007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136">
        <v>10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300</v>
      </c>
      <c r="C36" s="62">
        <v>300</v>
      </c>
      <c r="D36" s="62">
        <v>300</v>
      </c>
      <c r="E36" s="62">
        <v>300</v>
      </c>
      <c r="F36" s="62">
        <v>300</v>
      </c>
      <c r="G36" s="62">
        <v>300</v>
      </c>
      <c r="H36" s="62">
        <v>300</v>
      </c>
      <c r="I36" s="62">
        <v>300</v>
      </c>
      <c r="J36" s="62">
        <v>300</v>
      </c>
      <c r="K36" s="62">
        <v>300</v>
      </c>
      <c r="L36" s="62">
        <v>300</v>
      </c>
      <c r="M36" s="62">
        <v>300</v>
      </c>
      <c r="N36" s="62">
        <v>300</v>
      </c>
      <c r="O36" s="62">
        <v>300</v>
      </c>
      <c r="P36" s="62">
        <v>300</v>
      </c>
      <c r="Q36" s="62">
        <v>300</v>
      </c>
      <c r="R36" s="62">
        <v>300</v>
      </c>
      <c r="S36" s="62">
        <v>300</v>
      </c>
      <c r="T36" s="62">
        <v>300</v>
      </c>
      <c r="U36" s="62">
        <v>300</v>
      </c>
      <c r="V36" s="62">
        <v>300</v>
      </c>
      <c r="W36" s="62">
        <v>300</v>
      </c>
      <c r="X36" s="62">
        <v>300</v>
      </c>
      <c r="Y36" s="62">
        <v>300</v>
      </c>
      <c r="Z36" s="62">
        <v>300</v>
      </c>
      <c r="AA36" s="62">
        <v>300</v>
      </c>
      <c r="AB36" s="62">
        <v>300</v>
      </c>
      <c r="AC36" s="62">
        <v>300</v>
      </c>
      <c r="AD36" s="62">
        <v>300</v>
      </c>
      <c r="AE36" s="62">
        <v>300</v>
      </c>
      <c r="AF36" s="62">
        <v>300</v>
      </c>
      <c r="AG36" s="136">
        <v>85</v>
      </c>
      <c r="AH36" s="54">
        <f t="shared" si="2"/>
        <v>300</v>
      </c>
      <c r="AI36" s="55">
        <f t="shared" si="3"/>
        <v>300</v>
      </c>
      <c r="AK36" s="56"/>
    </row>
    <row r="37" spans="1:88" ht="15.75" thickBot="1" x14ac:dyDescent="0.3">
      <c r="A37" s="63" t="s">
        <v>21</v>
      </c>
      <c r="B37" s="64">
        <f>85.2+73.5</f>
        <v>158.69999999999999</v>
      </c>
      <c r="C37" s="62">
        <f>86.1+73.8</f>
        <v>159.89999999999998</v>
      </c>
      <c r="D37" s="62">
        <f>86.4+73.7</f>
        <v>160.10000000000002</v>
      </c>
      <c r="E37" s="62">
        <f>80.9+72</f>
        <v>152.9</v>
      </c>
      <c r="F37" s="62">
        <f>84.2+72.3</f>
        <v>156.5</v>
      </c>
      <c r="G37" s="62">
        <f>85+73.8</f>
        <v>158.80000000000001</v>
      </c>
      <c r="H37" s="62">
        <f>85.4+73.4</f>
        <v>158.80000000000001</v>
      </c>
      <c r="I37" s="62">
        <f>85.7+70.3</f>
        <v>156</v>
      </c>
      <c r="J37" s="62">
        <f>84.7+73</f>
        <v>157.69999999999999</v>
      </c>
      <c r="K37" s="62">
        <f>84.6+72.8</f>
        <v>157.39999999999998</v>
      </c>
      <c r="L37" s="62">
        <f t="shared" ref="L37:R37" si="4">84.5+72</f>
        <v>156.5</v>
      </c>
      <c r="M37" s="62">
        <f t="shared" si="4"/>
        <v>156.5</v>
      </c>
      <c r="N37" s="62">
        <f t="shared" si="4"/>
        <v>156.5</v>
      </c>
      <c r="O37" s="62">
        <f t="shared" si="4"/>
        <v>156.5</v>
      </c>
      <c r="P37" s="62">
        <f t="shared" si="4"/>
        <v>156.5</v>
      </c>
      <c r="Q37" s="62">
        <f t="shared" si="4"/>
        <v>156.5</v>
      </c>
      <c r="R37" s="62">
        <f t="shared" si="4"/>
        <v>156.5</v>
      </c>
      <c r="S37" s="64">
        <f>72.6+79.8</f>
        <v>152.39999999999998</v>
      </c>
      <c r="T37" s="64">
        <f>80.5+68.8</f>
        <v>149.30000000000001</v>
      </c>
      <c r="U37" s="64">
        <f>82.8+68.8</f>
        <v>151.6</v>
      </c>
      <c r="V37" s="64">
        <f>87+52</f>
        <v>139</v>
      </c>
      <c r="W37" s="64">
        <v>151.6</v>
      </c>
      <c r="X37" s="64">
        <v>152.6</v>
      </c>
      <c r="Y37" s="64">
        <f>89.2+67.5</f>
        <v>156.69999999999999</v>
      </c>
      <c r="Z37" s="64">
        <v>156.69999999999999</v>
      </c>
      <c r="AA37" s="64">
        <v>161.55000000000001</v>
      </c>
      <c r="AB37" s="64">
        <v>161.55000000000001</v>
      </c>
      <c r="AC37" s="64">
        <v>161.55000000000001</v>
      </c>
      <c r="AD37" s="64">
        <v>161.55000000000001</v>
      </c>
      <c r="AE37" s="64">
        <v>161.55000000000001</v>
      </c>
      <c r="AF37" s="64">
        <v>161.55000000000001</v>
      </c>
      <c r="AG37" s="136">
        <v>240</v>
      </c>
      <c r="AH37" s="54">
        <f t="shared" si="2"/>
        <v>161.55000000000001</v>
      </c>
      <c r="AI37" s="55">
        <f t="shared" si="3"/>
        <v>139</v>
      </c>
      <c r="AK37" s="56"/>
    </row>
    <row r="38" spans="1:88" ht="15.75" thickBot="1" x14ac:dyDescent="0.3">
      <c r="A38" s="131" t="s">
        <v>22</v>
      </c>
      <c r="B38" s="66">
        <f t="shared" ref="B38" si="5">SUM(B11:B36)</f>
        <v>794.1</v>
      </c>
      <c r="C38" s="66">
        <f t="shared" ref="C38:AG38" si="6">SUM(C11:C36)</f>
        <v>789.3</v>
      </c>
      <c r="D38" s="66">
        <f t="shared" si="6"/>
        <v>767.30000000000007</v>
      </c>
      <c r="E38" s="66">
        <f t="shared" si="6"/>
        <v>747.30000000000007</v>
      </c>
      <c r="F38" s="66">
        <f t="shared" si="6"/>
        <v>730.7</v>
      </c>
      <c r="G38" s="66">
        <f t="shared" si="6"/>
        <v>730.7</v>
      </c>
      <c r="H38" s="66">
        <f t="shared" si="6"/>
        <v>730.7</v>
      </c>
      <c r="I38" s="66">
        <f t="shared" si="6"/>
        <v>730.7</v>
      </c>
      <c r="J38" s="66">
        <f t="shared" si="6"/>
        <v>738.7</v>
      </c>
      <c r="K38" s="66">
        <f t="shared" si="6"/>
        <v>779.40000000000009</v>
      </c>
      <c r="L38" s="66">
        <f t="shared" si="6"/>
        <v>794.40000000000009</v>
      </c>
      <c r="M38" s="66">
        <f t="shared" si="6"/>
        <v>810.40000000000009</v>
      </c>
      <c r="N38" s="66">
        <f t="shared" si="6"/>
        <v>797.90000000000009</v>
      </c>
      <c r="O38" s="66">
        <f t="shared" si="6"/>
        <v>801.90000000000009</v>
      </c>
      <c r="P38" s="66">
        <f t="shared" si="6"/>
        <v>801.90000000000009</v>
      </c>
      <c r="Q38" s="66">
        <f t="shared" si="6"/>
        <v>806.90000000000009</v>
      </c>
      <c r="R38" s="66">
        <f t="shared" si="6"/>
        <v>810.90000000000009</v>
      </c>
      <c r="S38" s="66">
        <f t="shared" si="6"/>
        <v>822.4</v>
      </c>
      <c r="T38" s="66">
        <f t="shared" si="6"/>
        <v>822.4</v>
      </c>
      <c r="U38" s="66">
        <f t="shared" si="6"/>
        <v>816</v>
      </c>
      <c r="V38" s="66">
        <f t="shared" si="6"/>
        <v>823.4</v>
      </c>
      <c r="W38" s="66">
        <f t="shared" si="6"/>
        <v>823.4</v>
      </c>
      <c r="X38" s="66">
        <f t="shared" si="6"/>
        <v>820.3</v>
      </c>
      <c r="Y38" s="66">
        <f t="shared" si="6"/>
        <v>825.4</v>
      </c>
      <c r="Z38" s="66">
        <f t="shared" si="6"/>
        <v>827.4</v>
      </c>
      <c r="AA38" s="66">
        <v>790.1</v>
      </c>
      <c r="AB38" s="66">
        <f t="shared" si="6"/>
        <v>833.9</v>
      </c>
      <c r="AC38" s="66">
        <f t="shared" si="6"/>
        <v>833.9</v>
      </c>
      <c r="AD38" s="66">
        <f t="shared" si="6"/>
        <v>833.9</v>
      </c>
      <c r="AE38" s="66">
        <f t="shared" si="6"/>
        <v>831.9</v>
      </c>
      <c r="AF38" s="66">
        <f t="shared" ref="AF38" si="7">SUM(AF11:AF36)</f>
        <v>829.9</v>
      </c>
      <c r="AG38" s="143">
        <f t="shared" si="6"/>
        <v>665.78</v>
      </c>
      <c r="AH38" s="54">
        <f t="shared" si="2"/>
        <v>833.9</v>
      </c>
      <c r="AI38" s="55">
        <f t="shared" si="3"/>
        <v>730.7</v>
      </c>
      <c r="AK38" s="56"/>
    </row>
    <row r="39" spans="1:88" x14ac:dyDescent="0.25">
      <c r="A39" s="159" t="s">
        <v>130</v>
      </c>
      <c r="B39" s="50">
        <v>456</v>
      </c>
      <c r="C39" s="50">
        <f>76*5</f>
        <v>380</v>
      </c>
      <c r="D39" s="50">
        <v>456</v>
      </c>
      <c r="E39" s="50">
        <v>456</v>
      </c>
      <c r="F39" s="50">
        <v>456</v>
      </c>
      <c r="G39" s="50">
        <v>456</v>
      </c>
      <c r="H39" s="50">
        <v>456</v>
      </c>
      <c r="I39" s="50">
        <v>456</v>
      </c>
      <c r="J39" s="50">
        <v>456</v>
      </c>
      <c r="K39" s="50">
        <v>456</v>
      </c>
      <c r="L39" s="50">
        <v>456</v>
      </c>
      <c r="M39" s="50">
        <v>456</v>
      </c>
      <c r="N39" s="50">
        <v>456</v>
      </c>
      <c r="O39" s="50">
        <v>456</v>
      </c>
      <c r="P39" s="50">
        <v>456</v>
      </c>
      <c r="Q39" s="50">
        <v>456</v>
      </c>
      <c r="R39" s="50">
        <v>456</v>
      </c>
      <c r="S39" s="50">
        <v>456</v>
      </c>
      <c r="T39" s="50">
        <v>456</v>
      </c>
      <c r="U39" s="50">
        <v>456</v>
      </c>
      <c r="V39" s="50">
        <v>456</v>
      </c>
      <c r="W39" s="50">
        <v>456</v>
      </c>
      <c r="X39" s="50">
        <v>456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456</v>
      </c>
      <c r="AF39" s="50">
        <v>456</v>
      </c>
      <c r="AG39" s="135">
        <v>456</v>
      </c>
      <c r="AH39" s="54">
        <f t="shared" si="2"/>
        <v>456</v>
      </c>
      <c r="AI39" s="55">
        <f t="shared" si="3"/>
        <v>380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f t="shared" ref="B42" si="8">SUM(B39:B41)</f>
        <v>538</v>
      </c>
      <c r="C42" s="66">
        <f t="shared" ref="C42:AG42" si="9">SUM(C39:C41)</f>
        <v>462</v>
      </c>
      <c r="D42" s="66">
        <f t="shared" si="9"/>
        <v>538</v>
      </c>
      <c r="E42" s="66">
        <f t="shared" si="9"/>
        <v>538</v>
      </c>
      <c r="F42" s="66">
        <f t="shared" si="9"/>
        <v>538</v>
      </c>
      <c r="G42" s="66">
        <f t="shared" si="9"/>
        <v>538</v>
      </c>
      <c r="H42" s="66">
        <f t="shared" si="9"/>
        <v>538</v>
      </c>
      <c r="I42" s="66">
        <f t="shared" si="9"/>
        <v>538</v>
      </c>
      <c r="J42" s="66">
        <f t="shared" si="9"/>
        <v>538</v>
      </c>
      <c r="K42" s="66">
        <f t="shared" si="9"/>
        <v>538</v>
      </c>
      <c r="L42" s="66">
        <f t="shared" si="9"/>
        <v>538</v>
      </c>
      <c r="M42" s="66">
        <f t="shared" si="9"/>
        <v>538</v>
      </c>
      <c r="N42" s="66">
        <f t="shared" si="9"/>
        <v>538</v>
      </c>
      <c r="O42" s="66">
        <f t="shared" si="9"/>
        <v>538</v>
      </c>
      <c r="P42" s="66">
        <f t="shared" si="9"/>
        <v>538</v>
      </c>
      <c r="Q42" s="66">
        <f t="shared" si="9"/>
        <v>538</v>
      </c>
      <c r="R42" s="66">
        <f t="shared" si="9"/>
        <v>538</v>
      </c>
      <c r="S42" s="66">
        <f t="shared" si="9"/>
        <v>538</v>
      </c>
      <c r="T42" s="66">
        <f t="shared" si="9"/>
        <v>538</v>
      </c>
      <c r="U42" s="66">
        <f t="shared" si="9"/>
        <v>538</v>
      </c>
      <c r="V42" s="66">
        <f t="shared" si="9"/>
        <v>538</v>
      </c>
      <c r="W42" s="66">
        <f t="shared" si="9"/>
        <v>538</v>
      </c>
      <c r="X42" s="66">
        <f t="shared" si="9"/>
        <v>538</v>
      </c>
      <c r="Y42" s="66">
        <f t="shared" si="9"/>
        <v>538</v>
      </c>
      <c r="Z42" s="66">
        <f t="shared" si="9"/>
        <v>538</v>
      </c>
      <c r="AA42" s="66">
        <v>538</v>
      </c>
      <c r="AB42" s="66">
        <f t="shared" si="9"/>
        <v>538</v>
      </c>
      <c r="AC42" s="66">
        <f t="shared" si="9"/>
        <v>538</v>
      </c>
      <c r="AD42" s="66">
        <f t="shared" si="9"/>
        <v>538</v>
      </c>
      <c r="AE42" s="66">
        <f t="shared" si="9"/>
        <v>538</v>
      </c>
      <c r="AF42" s="66">
        <f t="shared" si="9"/>
        <v>538</v>
      </c>
      <c r="AG42" s="143">
        <f t="shared" si="9"/>
        <v>538.1</v>
      </c>
      <c r="AH42" s="54">
        <f t="shared" si="2"/>
        <v>538</v>
      </c>
      <c r="AI42" s="55">
        <f t="shared" si="3"/>
        <v>462</v>
      </c>
      <c r="AK42" s="56"/>
    </row>
    <row r="43" spans="1:88" x14ac:dyDescent="0.25">
      <c r="A43" s="57" t="s">
        <v>23</v>
      </c>
      <c r="B43" s="50">
        <v>138.80000000000001</v>
      </c>
      <c r="C43" s="50">
        <v>137.30000000000001</v>
      </c>
      <c r="D43" s="50">
        <v>138.6</v>
      </c>
      <c r="E43" s="50">
        <v>136.5</v>
      </c>
      <c r="F43" s="50">
        <v>130.19999999999999</v>
      </c>
      <c r="G43" s="50">
        <v>135.30000000000001</v>
      </c>
      <c r="H43" s="50">
        <v>134.19999999999999</v>
      </c>
      <c r="I43" s="50">
        <v>134.19999999999999</v>
      </c>
      <c r="J43" s="50">
        <v>121.2</v>
      </c>
      <c r="K43" s="50">
        <v>121.4</v>
      </c>
      <c r="L43" s="50">
        <v>121.3</v>
      </c>
      <c r="M43" s="50">
        <v>121.3</v>
      </c>
      <c r="N43" s="50">
        <v>132</v>
      </c>
      <c r="O43" s="50">
        <v>132</v>
      </c>
      <c r="P43" s="50">
        <v>133.5</v>
      </c>
      <c r="Q43" s="50">
        <v>94.5</v>
      </c>
      <c r="R43" s="50">
        <v>133</v>
      </c>
      <c r="S43" s="50">
        <v>135.6</v>
      </c>
      <c r="T43" s="50">
        <v>134.30000000000001</v>
      </c>
      <c r="U43" s="50">
        <v>135.69999999999999</v>
      </c>
      <c r="V43" s="50">
        <v>135.4</v>
      </c>
      <c r="W43" s="50">
        <v>135.1</v>
      </c>
      <c r="X43" s="50">
        <v>134.69999999999999</v>
      </c>
      <c r="Y43" s="50">
        <v>135.30000000000001</v>
      </c>
      <c r="Z43" s="50">
        <v>135.80000000000001</v>
      </c>
      <c r="AA43" s="50">
        <v>135.9</v>
      </c>
      <c r="AB43" s="50">
        <v>135.9</v>
      </c>
      <c r="AC43" s="50">
        <v>135.9</v>
      </c>
      <c r="AD43" s="50">
        <v>135.9</v>
      </c>
      <c r="AE43" s="50">
        <v>135.9</v>
      </c>
      <c r="AF43" s="50">
        <v>135.9</v>
      </c>
      <c r="AG43" s="135">
        <v>144</v>
      </c>
      <c r="AH43" s="54">
        <f t="shared" si="2"/>
        <v>138.80000000000001</v>
      </c>
      <c r="AI43" s="55">
        <f t="shared" si="3"/>
        <v>94.5</v>
      </c>
      <c r="AK43" s="56"/>
    </row>
    <row r="44" spans="1:88" x14ac:dyDescent="0.25">
      <c r="A44" s="60" t="s">
        <v>24</v>
      </c>
      <c r="B44" s="48">
        <v>71.400000000000006</v>
      </c>
      <c r="C44" s="48">
        <v>71.900000000000006</v>
      </c>
      <c r="D44" s="48">
        <v>72.2</v>
      </c>
      <c r="E44" s="48">
        <v>70.3</v>
      </c>
      <c r="F44" s="48">
        <v>60.7</v>
      </c>
      <c r="G44" s="48">
        <v>61.4</v>
      </c>
      <c r="H44" s="48">
        <v>60.9</v>
      </c>
      <c r="I44" s="48">
        <v>60.9</v>
      </c>
      <c r="J44" s="48">
        <v>69.3</v>
      </c>
      <c r="K44" s="48">
        <v>70.599999999999994</v>
      </c>
      <c r="L44" s="48">
        <v>71.900000000000006</v>
      </c>
      <c r="M44" s="48">
        <v>71.900000000000006</v>
      </c>
      <c r="N44" s="48">
        <v>71.900000000000006</v>
      </c>
      <c r="O44" s="48">
        <v>71.900000000000006</v>
      </c>
      <c r="P44" s="50">
        <v>71.599999999999994</v>
      </c>
      <c r="Q44" s="50">
        <v>71.599999999999994</v>
      </c>
      <c r="R44" s="50">
        <v>71.599999999999994</v>
      </c>
      <c r="S44" s="48">
        <v>69.599999999999994</v>
      </c>
      <c r="T44" s="48">
        <v>70.3</v>
      </c>
      <c r="U44" s="48">
        <v>72.900000000000006</v>
      </c>
      <c r="V44" s="48">
        <v>70.7</v>
      </c>
      <c r="W44" s="48">
        <v>71.099999999999994</v>
      </c>
      <c r="X44" s="48">
        <v>73</v>
      </c>
      <c r="Y44" s="48">
        <v>71.099999999999994</v>
      </c>
      <c r="Z44" s="48">
        <v>71</v>
      </c>
      <c r="AA44" s="48">
        <v>71.2</v>
      </c>
      <c r="AB44" s="48">
        <v>71.2</v>
      </c>
      <c r="AC44" s="48">
        <v>71.2</v>
      </c>
      <c r="AD44" s="48">
        <v>71.2</v>
      </c>
      <c r="AE44" s="48">
        <v>71.2</v>
      </c>
      <c r="AF44" s="48">
        <v>71.2</v>
      </c>
      <c r="AG44" s="136">
        <v>70</v>
      </c>
      <c r="AH44" s="54">
        <f t="shared" si="2"/>
        <v>73</v>
      </c>
      <c r="AI44" s="55">
        <f t="shared" si="3"/>
        <v>60.7</v>
      </c>
      <c r="AK44" s="56"/>
    </row>
    <row r="45" spans="1:88" x14ac:dyDescent="0.25">
      <c r="A45" s="60" t="s">
        <v>25</v>
      </c>
      <c r="B45" s="48">
        <v>61.7</v>
      </c>
      <c r="C45" s="48">
        <v>61.5</v>
      </c>
      <c r="D45" s="48">
        <v>61.5</v>
      </c>
      <c r="E45" s="48">
        <v>62</v>
      </c>
      <c r="F45" s="48">
        <v>53.2</v>
      </c>
      <c r="G45" s="48">
        <v>61.1</v>
      </c>
      <c r="H45" s="48">
        <v>61.1</v>
      </c>
      <c r="I45" s="48">
        <v>61.1</v>
      </c>
      <c r="J45" s="48">
        <v>61</v>
      </c>
      <c r="K45" s="48">
        <v>61.1</v>
      </c>
      <c r="L45" s="48">
        <v>61.3</v>
      </c>
      <c r="M45" s="48">
        <v>61.3</v>
      </c>
      <c r="N45" s="48">
        <v>61.3</v>
      </c>
      <c r="O45" s="48">
        <v>61.3</v>
      </c>
      <c r="P45" s="48">
        <v>61.3</v>
      </c>
      <c r="Q45" s="48">
        <v>61.3</v>
      </c>
      <c r="R45" s="48">
        <v>61.3</v>
      </c>
      <c r="S45" s="48">
        <v>61.7</v>
      </c>
      <c r="T45" s="48">
        <v>61.7</v>
      </c>
      <c r="U45" s="48">
        <v>62</v>
      </c>
      <c r="V45" s="48">
        <v>62</v>
      </c>
      <c r="W45" s="48">
        <v>62</v>
      </c>
      <c r="X45" s="48">
        <v>62.1</v>
      </c>
      <c r="Y45" s="48">
        <v>61.6</v>
      </c>
      <c r="Z45" s="48">
        <v>61.4</v>
      </c>
      <c r="AA45" s="48">
        <v>61.5</v>
      </c>
      <c r="AB45" s="48">
        <v>61.5</v>
      </c>
      <c r="AC45" s="48">
        <v>61.5</v>
      </c>
      <c r="AD45" s="48">
        <v>61.5</v>
      </c>
      <c r="AE45" s="48">
        <v>61.5</v>
      </c>
      <c r="AF45" s="48">
        <v>61.5</v>
      </c>
      <c r="AG45" s="136">
        <v>69</v>
      </c>
      <c r="AH45" s="54">
        <f t="shared" si="2"/>
        <v>62.1</v>
      </c>
      <c r="AI45" s="55">
        <f t="shared" si="3"/>
        <v>53.2</v>
      </c>
      <c r="AK45" s="56"/>
    </row>
    <row r="46" spans="1:88" x14ac:dyDescent="0.25">
      <c r="A46" s="60" t="s">
        <v>26</v>
      </c>
      <c r="B46" s="62">
        <v>60.2</v>
      </c>
      <c r="C46" s="62">
        <v>60.2</v>
      </c>
      <c r="D46" s="62">
        <v>60.4</v>
      </c>
      <c r="E46" s="62">
        <v>60.7</v>
      </c>
      <c r="F46" s="62">
        <v>52.4</v>
      </c>
      <c r="G46" s="62">
        <v>52.4</v>
      </c>
      <c r="H46" s="62">
        <v>52.4</v>
      </c>
      <c r="I46" s="62">
        <v>52.4</v>
      </c>
      <c r="J46" s="62">
        <v>60</v>
      </c>
      <c r="K46" s="62">
        <v>60.4</v>
      </c>
      <c r="L46" s="62">
        <v>60.4</v>
      </c>
      <c r="M46" s="62">
        <v>60.4</v>
      </c>
      <c r="N46" s="62">
        <v>60.4</v>
      </c>
      <c r="O46" s="62">
        <v>60.4</v>
      </c>
      <c r="P46" s="62">
        <v>60.4</v>
      </c>
      <c r="Q46" s="62">
        <v>60.4</v>
      </c>
      <c r="R46" s="62">
        <v>60.4</v>
      </c>
      <c r="S46" s="62">
        <v>60.4</v>
      </c>
      <c r="T46" s="50">
        <v>60.7</v>
      </c>
      <c r="U46" s="50">
        <v>60.9</v>
      </c>
      <c r="V46" s="48">
        <v>60.7</v>
      </c>
      <c r="W46" s="48">
        <v>60.7</v>
      </c>
      <c r="X46" s="48">
        <v>60.7</v>
      </c>
      <c r="Y46" s="48">
        <v>60.7</v>
      </c>
      <c r="Z46" s="48">
        <v>60.4</v>
      </c>
      <c r="AA46" s="48">
        <v>60.4</v>
      </c>
      <c r="AB46" s="48">
        <v>60.4</v>
      </c>
      <c r="AC46" s="48">
        <v>60.4</v>
      </c>
      <c r="AD46" s="48">
        <v>0</v>
      </c>
      <c r="AE46" s="48">
        <v>30</v>
      </c>
      <c r="AF46" s="48">
        <v>60</v>
      </c>
      <c r="AG46" s="136">
        <v>60</v>
      </c>
      <c r="AH46" s="54">
        <f t="shared" si="2"/>
        <v>60.9</v>
      </c>
      <c r="AI46" s="55">
        <f t="shared" si="3"/>
        <v>0</v>
      </c>
      <c r="AK46" s="56"/>
    </row>
    <row r="47" spans="1:88" x14ac:dyDescent="0.25">
      <c r="A47" s="60" t="s">
        <v>27</v>
      </c>
      <c r="B47" s="62">
        <v>28</v>
      </c>
      <c r="C47" s="62">
        <v>26.3</v>
      </c>
      <c r="D47" s="62">
        <v>28</v>
      </c>
      <c r="E47" s="62">
        <v>27.5</v>
      </c>
      <c r="F47" s="62">
        <v>27.5</v>
      </c>
      <c r="G47" s="62">
        <v>27.5</v>
      </c>
      <c r="H47" s="62">
        <v>0</v>
      </c>
      <c r="I47" s="62">
        <v>0</v>
      </c>
      <c r="J47" s="62">
        <v>0</v>
      </c>
      <c r="K47" s="62">
        <v>0</v>
      </c>
      <c r="L47" s="62">
        <v>0</v>
      </c>
      <c r="M47" s="62">
        <v>0</v>
      </c>
      <c r="N47" s="62">
        <v>0</v>
      </c>
      <c r="O47" s="62">
        <v>0</v>
      </c>
      <c r="P47" s="62">
        <v>0</v>
      </c>
      <c r="Q47" s="62">
        <v>0</v>
      </c>
      <c r="R47" s="62">
        <v>0</v>
      </c>
      <c r="S47" s="62">
        <v>28.5</v>
      </c>
      <c r="T47" s="50">
        <v>28.2</v>
      </c>
      <c r="U47" s="50">
        <v>28.4</v>
      </c>
      <c r="V47" s="48">
        <v>28.3</v>
      </c>
      <c r="W47" s="48">
        <v>28.3</v>
      </c>
      <c r="X47" s="48">
        <v>28.3</v>
      </c>
      <c r="Y47" s="48">
        <v>28.4</v>
      </c>
      <c r="Z47" s="48">
        <v>28.4</v>
      </c>
      <c r="AA47" s="48">
        <v>28.4</v>
      </c>
      <c r="AB47" s="48">
        <v>28.4</v>
      </c>
      <c r="AC47" s="48">
        <v>28.4</v>
      </c>
      <c r="AD47" s="48">
        <v>28.4</v>
      </c>
      <c r="AE47" s="48">
        <v>28.4</v>
      </c>
      <c r="AF47" s="48">
        <v>28.4</v>
      </c>
      <c r="AG47" s="136">
        <v>30</v>
      </c>
      <c r="AH47" s="54">
        <f t="shared" si="2"/>
        <v>28.5</v>
      </c>
      <c r="AI47" s="55">
        <f t="shared" si="3"/>
        <v>0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48">
        <v>0</v>
      </c>
      <c r="M48" s="48">
        <v>8</v>
      </c>
      <c r="N48" s="48">
        <v>8</v>
      </c>
      <c r="O48" s="48">
        <v>8</v>
      </c>
      <c r="P48" s="48">
        <v>8</v>
      </c>
      <c r="Q48" s="48">
        <v>8</v>
      </c>
      <c r="R48" s="48">
        <v>8</v>
      </c>
      <c r="S48" s="48">
        <v>8</v>
      </c>
      <c r="T48" s="48">
        <v>8</v>
      </c>
      <c r="U48" s="48">
        <v>8</v>
      </c>
      <c r="V48" s="48">
        <v>8</v>
      </c>
      <c r="W48" s="50">
        <v>4</v>
      </c>
      <c r="X48" s="50">
        <v>0</v>
      </c>
      <c r="Y48" s="50">
        <v>0</v>
      </c>
      <c r="Z48" s="50">
        <v>0</v>
      </c>
      <c r="AA48" s="50">
        <v>0</v>
      </c>
      <c r="AB48" s="50">
        <v>0</v>
      </c>
      <c r="AC48" s="50">
        <v>0</v>
      </c>
      <c r="AD48" s="50">
        <v>0</v>
      </c>
      <c r="AE48" s="50">
        <v>0</v>
      </c>
      <c r="AF48" s="50">
        <v>0</v>
      </c>
      <c r="AG48" s="136">
        <v>25</v>
      </c>
      <c r="AH48" s="54">
        <f t="shared" si="2"/>
        <v>8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16.3</v>
      </c>
      <c r="C49" s="48">
        <v>16.3</v>
      </c>
      <c r="D49" s="48">
        <v>16.399999999999999</v>
      </c>
      <c r="E49" s="48">
        <v>16.3</v>
      </c>
      <c r="F49" s="48">
        <v>16.3</v>
      </c>
      <c r="G49" s="48">
        <v>16.3</v>
      </c>
      <c r="H49" s="48">
        <v>16.3</v>
      </c>
      <c r="I49" s="48">
        <v>16.3</v>
      </c>
      <c r="J49" s="48">
        <v>16.3</v>
      </c>
      <c r="K49" s="48">
        <v>16.3</v>
      </c>
      <c r="L49" s="48">
        <v>16.3</v>
      </c>
      <c r="M49" s="48">
        <v>16.3</v>
      </c>
      <c r="N49" s="48">
        <v>16.3</v>
      </c>
      <c r="O49" s="48">
        <v>16.3</v>
      </c>
      <c r="P49" s="48">
        <v>16.3</v>
      </c>
      <c r="Q49" s="48">
        <v>16.3</v>
      </c>
      <c r="R49" s="48">
        <v>16.3</v>
      </c>
      <c r="S49" s="48">
        <v>16.3</v>
      </c>
      <c r="T49" s="48">
        <v>16.3</v>
      </c>
      <c r="U49" s="48">
        <v>16.3</v>
      </c>
      <c r="V49" s="48">
        <v>16.3</v>
      </c>
      <c r="W49" s="50">
        <v>16.2</v>
      </c>
      <c r="X49" s="50">
        <v>16.3</v>
      </c>
      <c r="Y49" s="50">
        <v>16.3</v>
      </c>
      <c r="Z49" s="50">
        <v>16.3</v>
      </c>
      <c r="AA49" s="50">
        <v>16.3</v>
      </c>
      <c r="AB49" s="50">
        <v>16.3</v>
      </c>
      <c r="AC49" s="50">
        <v>16.3</v>
      </c>
      <c r="AD49" s="50">
        <v>16.3</v>
      </c>
      <c r="AE49" s="50">
        <v>16.3</v>
      </c>
      <c r="AF49" s="50">
        <v>16.3</v>
      </c>
      <c r="AG49" s="136">
        <v>24</v>
      </c>
      <c r="AH49" s="54">
        <f t="shared" si="2"/>
        <v>16.399999999999999</v>
      </c>
      <c r="AI49" s="55">
        <f t="shared" si="3"/>
        <v>16.2</v>
      </c>
      <c r="AK49" s="56"/>
    </row>
    <row r="50" spans="1:41" x14ac:dyDescent="0.25">
      <c r="A50" s="60" t="s">
        <v>30</v>
      </c>
      <c r="B50" s="48">
        <v>3.5</v>
      </c>
      <c r="C50" s="48">
        <v>3.5</v>
      </c>
      <c r="D50" s="48">
        <v>3.5</v>
      </c>
      <c r="E50" s="48">
        <v>3.5</v>
      </c>
      <c r="F50" s="48">
        <v>3.5</v>
      </c>
      <c r="G50" s="48">
        <v>3.5</v>
      </c>
      <c r="H50" s="48">
        <v>3.5</v>
      </c>
      <c r="I50" s="48">
        <v>3.5</v>
      </c>
      <c r="J50" s="48">
        <v>3.5</v>
      </c>
      <c r="K50" s="48">
        <v>3.5</v>
      </c>
      <c r="L50" s="48">
        <v>3.5</v>
      </c>
      <c r="M50" s="48">
        <v>3.5</v>
      </c>
      <c r="N50" s="48">
        <v>3.5</v>
      </c>
      <c r="O50" s="48">
        <v>3.5</v>
      </c>
      <c r="P50" s="48">
        <v>3.5</v>
      </c>
      <c r="Q50" s="48">
        <v>0</v>
      </c>
      <c r="R50" s="48">
        <v>3</v>
      </c>
      <c r="S50" s="48">
        <v>3</v>
      </c>
      <c r="T50" s="48">
        <v>3</v>
      </c>
      <c r="U50" s="48">
        <v>3</v>
      </c>
      <c r="V50" s="48">
        <v>2.7</v>
      </c>
      <c r="W50" s="48">
        <v>2.7</v>
      </c>
      <c r="X50" s="48">
        <v>2.7</v>
      </c>
      <c r="Y50" s="48">
        <v>2.7</v>
      </c>
      <c r="Z50" s="48">
        <v>2.7</v>
      </c>
      <c r="AA50" s="48">
        <v>2.7</v>
      </c>
      <c r="AB50" s="48">
        <v>2.7</v>
      </c>
      <c r="AC50" s="48">
        <v>2.7</v>
      </c>
      <c r="AD50" s="48">
        <v>2.7</v>
      </c>
      <c r="AE50" s="48">
        <v>2.7</v>
      </c>
      <c r="AF50" s="48">
        <v>2.7</v>
      </c>
      <c r="AG50" s="136">
        <v>15</v>
      </c>
      <c r="AH50" s="54">
        <f t="shared" si="2"/>
        <v>3.5</v>
      </c>
      <c r="AI50" s="55">
        <f t="shared" si="3"/>
        <v>0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12.9</v>
      </c>
      <c r="C51" s="48">
        <v>12.9</v>
      </c>
      <c r="D51" s="48">
        <v>12.9</v>
      </c>
      <c r="E51" s="48">
        <v>12.7</v>
      </c>
      <c r="F51" s="48">
        <v>12.7</v>
      </c>
      <c r="G51" s="48">
        <v>12.7</v>
      </c>
      <c r="H51" s="48">
        <v>12.7</v>
      </c>
      <c r="I51" s="48">
        <v>12.7</v>
      </c>
      <c r="J51" s="48">
        <v>12.7</v>
      </c>
      <c r="K51" s="48">
        <v>12.7</v>
      </c>
      <c r="L51" s="48">
        <v>12.7</v>
      </c>
      <c r="M51" s="48">
        <v>12.7</v>
      </c>
      <c r="N51" s="48">
        <v>12.7</v>
      </c>
      <c r="O51" s="48">
        <v>12.7</v>
      </c>
      <c r="P51" s="48">
        <v>12.7</v>
      </c>
      <c r="Q51" s="48">
        <v>12.7</v>
      </c>
      <c r="R51" s="48">
        <v>12.7</v>
      </c>
      <c r="S51" s="48">
        <v>12.7</v>
      </c>
      <c r="T51" s="48">
        <v>12.7</v>
      </c>
      <c r="U51" s="48">
        <v>12.7</v>
      </c>
      <c r="V51" s="48">
        <v>12.7</v>
      </c>
      <c r="W51" s="50">
        <v>12.7</v>
      </c>
      <c r="X51" s="50">
        <v>12.7</v>
      </c>
      <c r="Y51" s="50">
        <v>12.7</v>
      </c>
      <c r="Z51" s="50">
        <v>12.7</v>
      </c>
      <c r="AA51" s="50">
        <v>12.7</v>
      </c>
      <c r="AB51" s="50">
        <v>12.7</v>
      </c>
      <c r="AC51" s="50">
        <v>12.7</v>
      </c>
      <c r="AD51" s="50">
        <v>12.7</v>
      </c>
      <c r="AE51" s="50">
        <v>12.7</v>
      </c>
      <c r="AF51" s="50">
        <v>12.7</v>
      </c>
      <c r="AG51" s="136">
        <v>14.1</v>
      </c>
      <c r="AH51" s="54">
        <f t="shared" si="2"/>
        <v>12.9</v>
      </c>
      <c r="AI51" s="55">
        <f t="shared" si="3"/>
        <v>12.7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13.8</v>
      </c>
      <c r="C52" s="48">
        <v>13.8</v>
      </c>
      <c r="D52" s="48">
        <v>13.8</v>
      </c>
      <c r="E52" s="48">
        <v>2.9</v>
      </c>
      <c r="F52" s="48">
        <v>1</v>
      </c>
      <c r="G52" s="48">
        <v>1.8</v>
      </c>
      <c r="H52" s="48">
        <v>1.8</v>
      </c>
      <c r="I52" s="48">
        <v>1.8</v>
      </c>
      <c r="J52" s="48">
        <v>12</v>
      </c>
      <c r="K52" s="48">
        <v>12</v>
      </c>
      <c r="L52" s="48">
        <v>12</v>
      </c>
      <c r="M52" s="48">
        <v>12</v>
      </c>
      <c r="N52" s="48">
        <v>12</v>
      </c>
      <c r="O52" s="48">
        <v>12</v>
      </c>
      <c r="P52" s="48">
        <v>12</v>
      </c>
      <c r="Q52" s="48">
        <v>12</v>
      </c>
      <c r="R52" s="48">
        <v>12</v>
      </c>
      <c r="S52" s="48">
        <v>12</v>
      </c>
      <c r="T52" s="48">
        <v>12</v>
      </c>
      <c r="U52" s="48">
        <v>4.0999999999999996</v>
      </c>
      <c r="V52" s="48">
        <v>14</v>
      </c>
      <c r="W52" s="50">
        <v>14</v>
      </c>
      <c r="X52" s="50">
        <v>14</v>
      </c>
      <c r="Y52" s="50">
        <v>14</v>
      </c>
      <c r="Z52" s="50">
        <v>14</v>
      </c>
      <c r="AA52" s="50">
        <v>14</v>
      </c>
      <c r="AB52" s="50">
        <v>14</v>
      </c>
      <c r="AC52" s="50">
        <v>14</v>
      </c>
      <c r="AD52" s="50">
        <v>14</v>
      </c>
      <c r="AE52" s="50">
        <v>14</v>
      </c>
      <c r="AF52" s="50">
        <v>14</v>
      </c>
      <c r="AG52" s="136">
        <v>14</v>
      </c>
      <c r="AH52" s="54">
        <f t="shared" si="2"/>
        <v>14</v>
      </c>
      <c r="AI52" s="55">
        <f t="shared" si="3"/>
        <v>1</v>
      </c>
      <c r="AK52" s="56"/>
    </row>
    <row r="53" spans="1:41" x14ac:dyDescent="0.25">
      <c r="A53" s="60" t="s">
        <v>33</v>
      </c>
      <c r="B53" s="48">
        <v>9.1</v>
      </c>
      <c r="C53" s="48">
        <v>9.1</v>
      </c>
      <c r="D53" s="48">
        <v>9.1</v>
      </c>
      <c r="E53" s="48">
        <v>9.1</v>
      </c>
      <c r="F53" s="48">
        <v>9.1</v>
      </c>
      <c r="G53" s="48">
        <v>9.1</v>
      </c>
      <c r="H53" s="48">
        <v>9.1</v>
      </c>
      <c r="I53" s="48">
        <v>9.1</v>
      </c>
      <c r="J53" s="48">
        <v>9.1</v>
      </c>
      <c r="K53" s="48">
        <v>9.1</v>
      </c>
      <c r="L53" s="48">
        <v>9.1</v>
      </c>
      <c r="M53" s="48">
        <v>9.1</v>
      </c>
      <c r="N53" s="48">
        <v>9.1</v>
      </c>
      <c r="O53" s="48">
        <v>9.1</v>
      </c>
      <c r="P53" s="48">
        <v>9.1</v>
      </c>
      <c r="Q53" s="48">
        <v>9.1</v>
      </c>
      <c r="R53" s="48">
        <v>9.1</v>
      </c>
      <c r="S53" s="48">
        <v>9.1</v>
      </c>
      <c r="T53" s="48">
        <v>9.1</v>
      </c>
      <c r="U53" s="48">
        <v>9.1</v>
      </c>
      <c r="V53" s="48">
        <v>9.1</v>
      </c>
      <c r="W53" s="50">
        <v>9.1</v>
      </c>
      <c r="X53" s="50">
        <v>9.1</v>
      </c>
      <c r="Y53" s="50">
        <v>9.1</v>
      </c>
      <c r="Z53" s="50">
        <v>9.1</v>
      </c>
      <c r="AA53" s="50">
        <v>9.1</v>
      </c>
      <c r="AB53" s="50">
        <v>9.1</v>
      </c>
      <c r="AC53" s="50">
        <v>9.1</v>
      </c>
      <c r="AD53" s="50">
        <v>9.1</v>
      </c>
      <c r="AE53" s="50">
        <v>9.1</v>
      </c>
      <c r="AF53" s="50">
        <v>9.1</v>
      </c>
      <c r="AG53" s="136">
        <v>10.050000000000001</v>
      </c>
      <c r="AH53" s="54">
        <f t="shared" si="2"/>
        <v>9.1</v>
      </c>
      <c r="AI53" s="55">
        <f t="shared" si="3"/>
        <v>9.1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48">
        <v>6.2</v>
      </c>
      <c r="N54" s="48">
        <v>6.2</v>
      </c>
      <c r="O54" s="48">
        <v>6.2</v>
      </c>
      <c r="P54" s="48">
        <v>6.2</v>
      </c>
      <c r="Q54" s="48">
        <v>6.2</v>
      </c>
      <c r="R54" s="48">
        <v>6.2</v>
      </c>
      <c r="S54" s="48">
        <v>6.2</v>
      </c>
      <c r="T54" s="48">
        <v>6.2</v>
      </c>
      <c r="U54" s="48">
        <v>6.2</v>
      </c>
      <c r="V54" s="48">
        <v>6.2</v>
      </c>
      <c r="W54" s="50">
        <v>6.2</v>
      </c>
      <c r="X54" s="50">
        <v>6.2</v>
      </c>
      <c r="Y54" s="50">
        <v>6.2</v>
      </c>
      <c r="Z54" s="50">
        <v>6.2</v>
      </c>
      <c r="AA54" s="50">
        <v>6.2</v>
      </c>
      <c r="AB54" s="50">
        <v>6.2</v>
      </c>
      <c r="AC54" s="50">
        <v>6.2</v>
      </c>
      <c r="AD54" s="50">
        <v>6.2</v>
      </c>
      <c r="AE54" s="50">
        <v>6.2</v>
      </c>
      <c r="AF54" s="50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10">AG220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 t="shared" ref="B56" si="11">SUM(B43:B55)</f>
        <v>425.44000000000005</v>
      </c>
      <c r="C56" s="66">
        <f t="shared" ref="C56:AG56" si="12">SUM(C43:C55)</f>
        <v>422.54000000000008</v>
      </c>
      <c r="D56" s="66">
        <f t="shared" si="12"/>
        <v>426.14</v>
      </c>
      <c r="E56" s="66">
        <f t="shared" si="12"/>
        <v>411.24</v>
      </c>
      <c r="F56" s="66">
        <f t="shared" si="12"/>
        <v>376.34</v>
      </c>
      <c r="G56" s="66">
        <f t="shared" si="12"/>
        <v>390.84000000000003</v>
      </c>
      <c r="H56" s="66">
        <f t="shared" si="12"/>
        <v>361.74</v>
      </c>
      <c r="I56" s="66">
        <f t="shared" si="12"/>
        <v>361.74</v>
      </c>
      <c r="J56" s="66">
        <f t="shared" si="12"/>
        <v>374.84000000000003</v>
      </c>
      <c r="K56" s="66">
        <f t="shared" si="12"/>
        <v>376.84000000000003</v>
      </c>
      <c r="L56" s="66">
        <f t="shared" si="12"/>
        <v>378.24</v>
      </c>
      <c r="M56" s="66">
        <f t="shared" si="12"/>
        <v>386.24</v>
      </c>
      <c r="N56" s="66">
        <f t="shared" si="12"/>
        <v>396.94</v>
      </c>
      <c r="O56" s="66">
        <f t="shared" si="12"/>
        <v>396.94</v>
      </c>
      <c r="P56" s="66">
        <f t="shared" si="12"/>
        <v>398.14</v>
      </c>
      <c r="Q56" s="66">
        <f t="shared" si="12"/>
        <v>355.64</v>
      </c>
      <c r="R56" s="66">
        <f t="shared" si="12"/>
        <v>397.14</v>
      </c>
      <c r="S56" s="66">
        <f t="shared" si="12"/>
        <v>426.64</v>
      </c>
      <c r="T56" s="66">
        <f t="shared" si="12"/>
        <v>426.04</v>
      </c>
      <c r="U56" s="66">
        <f t="shared" si="12"/>
        <v>422.84000000000003</v>
      </c>
      <c r="V56" s="66">
        <f t="shared" si="12"/>
        <v>429.64000000000004</v>
      </c>
      <c r="W56" s="66">
        <f t="shared" si="12"/>
        <v>425.64</v>
      </c>
      <c r="X56" s="66">
        <f t="shared" si="12"/>
        <v>423.34000000000003</v>
      </c>
      <c r="Y56" s="66">
        <f t="shared" si="12"/>
        <v>421.64</v>
      </c>
      <c r="Z56" s="66">
        <f t="shared" si="12"/>
        <v>421.53999999999996</v>
      </c>
      <c r="AA56" s="66">
        <v>419.24</v>
      </c>
      <c r="AB56" s="66">
        <f t="shared" si="12"/>
        <v>421.94</v>
      </c>
      <c r="AC56" s="66">
        <f t="shared" si="12"/>
        <v>421.94</v>
      </c>
      <c r="AD56" s="66">
        <f t="shared" si="12"/>
        <v>361.54</v>
      </c>
      <c r="AE56" s="66">
        <f t="shared" si="12"/>
        <v>391.54</v>
      </c>
      <c r="AF56" s="66">
        <f t="shared" si="12"/>
        <v>421.54</v>
      </c>
      <c r="AG56" s="143">
        <f t="shared" si="12"/>
        <v>489.91</v>
      </c>
      <c r="AH56" s="54">
        <f t="shared" si="2"/>
        <v>429.64000000000004</v>
      </c>
      <c r="AI56" s="55">
        <f t="shared" si="3"/>
        <v>355.64</v>
      </c>
      <c r="AK56" s="56"/>
    </row>
    <row r="57" spans="1:41" x14ac:dyDescent="0.25">
      <c r="A57" s="57" t="s">
        <v>37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25</v>
      </c>
      <c r="M57" s="50">
        <v>30</v>
      </c>
      <c r="N57" s="50">
        <v>20</v>
      </c>
      <c r="O57" s="50">
        <v>30</v>
      </c>
      <c r="P57" s="50">
        <v>30</v>
      </c>
      <c r="Q57" s="50">
        <v>29.8</v>
      </c>
      <c r="R57" s="50">
        <v>29.8</v>
      </c>
      <c r="S57" s="50">
        <v>10.4</v>
      </c>
      <c r="T57" s="50">
        <v>0</v>
      </c>
      <c r="U57" s="50">
        <v>0</v>
      </c>
      <c r="V57" s="50">
        <v>10</v>
      </c>
      <c r="W57" s="50">
        <v>10</v>
      </c>
      <c r="X57" s="50">
        <v>0</v>
      </c>
      <c r="Y57" s="50">
        <v>0</v>
      </c>
      <c r="Z57" s="50">
        <v>60</v>
      </c>
      <c r="AA57" s="50">
        <v>59.1</v>
      </c>
      <c r="AB57" s="50">
        <v>59.1</v>
      </c>
      <c r="AC57" s="50">
        <v>59.1</v>
      </c>
      <c r="AD57" s="50">
        <v>59.1</v>
      </c>
      <c r="AE57" s="50">
        <v>30</v>
      </c>
      <c r="AF57" s="50">
        <v>30</v>
      </c>
      <c r="AG57" s="135">
        <v>60</v>
      </c>
      <c r="AH57" s="54">
        <f t="shared" si="2"/>
        <v>60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11</v>
      </c>
      <c r="M58" s="48">
        <v>15.4</v>
      </c>
      <c r="N58" s="48">
        <v>10</v>
      </c>
      <c r="O58" s="48">
        <v>15.2</v>
      </c>
      <c r="P58" s="48">
        <v>15.6</v>
      </c>
      <c r="Q58" s="48">
        <v>16</v>
      </c>
      <c r="R58" s="48">
        <v>16</v>
      </c>
      <c r="S58" s="48">
        <v>4.5999999999999996</v>
      </c>
      <c r="T58" s="48">
        <v>0</v>
      </c>
      <c r="U58" s="48">
        <v>0</v>
      </c>
      <c r="V58" s="48">
        <v>5.2</v>
      </c>
      <c r="W58" s="48">
        <v>14.6</v>
      </c>
      <c r="X58" s="48">
        <v>0</v>
      </c>
      <c r="Y58" s="48">
        <v>0</v>
      </c>
      <c r="Z58" s="48">
        <v>17.100000000000001</v>
      </c>
      <c r="AA58" s="48">
        <v>14.4</v>
      </c>
      <c r="AB58" s="48">
        <v>14.4</v>
      </c>
      <c r="AC58" s="48">
        <v>14.4</v>
      </c>
      <c r="AD58" s="48">
        <v>14.4</v>
      </c>
      <c r="AE58" s="48">
        <v>15</v>
      </c>
      <c r="AF58" s="48">
        <v>15</v>
      </c>
      <c r="AG58" s="136">
        <v>32</v>
      </c>
      <c r="AH58" s="54">
        <f t="shared" si="2"/>
        <v>17.100000000000001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4</v>
      </c>
      <c r="M59" s="70">
        <v>5.6</v>
      </c>
      <c r="N59" s="70">
        <v>4</v>
      </c>
      <c r="O59" s="70">
        <v>5.6</v>
      </c>
      <c r="P59" s="70">
        <v>5.6</v>
      </c>
      <c r="Q59" s="70">
        <v>5.9</v>
      </c>
      <c r="R59" s="70">
        <v>5.9</v>
      </c>
      <c r="S59" s="70">
        <v>1.7</v>
      </c>
      <c r="T59" s="70">
        <v>0</v>
      </c>
      <c r="U59" s="70">
        <v>0</v>
      </c>
      <c r="V59" s="70">
        <v>1.9</v>
      </c>
      <c r="W59" s="70">
        <v>5.3</v>
      </c>
      <c r="X59" s="70">
        <v>0</v>
      </c>
      <c r="Y59" s="70">
        <v>0</v>
      </c>
      <c r="Z59" s="70">
        <v>6.2</v>
      </c>
      <c r="AA59" s="70">
        <v>5.2</v>
      </c>
      <c r="AB59" s="70">
        <v>5.2</v>
      </c>
      <c r="AC59" s="70">
        <v>5.2</v>
      </c>
      <c r="AD59" s="70">
        <v>5.2</v>
      </c>
      <c r="AE59" s="70">
        <v>5.4</v>
      </c>
      <c r="AF59" s="70">
        <v>5.4</v>
      </c>
      <c r="AG59" s="137">
        <v>14</v>
      </c>
      <c r="AH59" s="54">
        <f t="shared" si="2"/>
        <v>6.2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 t="shared" ref="B60" si="13">SUM(B57:B59)</f>
        <v>0</v>
      </c>
      <c r="C60" s="66">
        <f t="shared" ref="C60:AG60" si="14">SUM(C57:C59)</f>
        <v>0</v>
      </c>
      <c r="D60" s="66">
        <f t="shared" si="14"/>
        <v>0</v>
      </c>
      <c r="E60" s="66">
        <f t="shared" si="14"/>
        <v>0</v>
      </c>
      <c r="F60" s="66">
        <f t="shared" si="14"/>
        <v>0</v>
      </c>
      <c r="G60" s="66">
        <f t="shared" si="14"/>
        <v>0</v>
      </c>
      <c r="H60" s="66">
        <f t="shared" si="14"/>
        <v>0</v>
      </c>
      <c r="I60" s="66">
        <f t="shared" si="14"/>
        <v>0</v>
      </c>
      <c r="J60" s="66">
        <f t="shared" si="14"/>
        <v>0</v>
      </c>
      <c r="K60" s="66">
        <f t="shared" si="14"/>
        <v>0</v>
      </c>
      <c r="L60" s="66">
        <f t="shared" si="14"/>
        <v>40</v>
      </c>
      <c r="M60" s="66">
        <f t="shared" si="14"/>
        <v>51</v>
      </c>
      <c r="N60" s="66">
        <f t="shared" si="14"/>
        <v>34</v>
      </c>
      <c r="O60" s="66">
        <f t="shared" si="14"/>
        <v>50.800000000000004</v>
      </c>
      <c r="P60" s="66">
        <f t="shared" si="14"/>
        <v>51.2</v>
      </c>
      <c r="Q60" s="66">
        <f t="shared" si="14"/>
        <v>51.699999999999996</v>
      </c>
      <c r="R60" s="66">
        <f t="shared" si="14"/>
        <v>51.699999999999996</v>
      </c>
      <c r="S60" s="66">
        <f t="shared" si="14"/>
        <v>16.7</v>
      </c>
      <c r="T60" s="66">
        <f t="shared" si="14"/>
        <v>0</v>
      </c>
      <c r="U60" s="66">
        <f t="shared" si="14"/>
        <v>0</v>
      </c>
      <c r="V60" s="66">
        <f t="shared" si="14"/>
        <v>17.099999999999998</v>
      </c>
      <c r="W60" s="66">
        <f t="shared" si="14"/>
        <v>29.900000000000002</v>
      </c>
      <c r="X60" s="66">
        <f t="shared" si="14"/>
        <v>0</v>
      </c>
      <c r="Y60" s="66">
        <f t="shared" si="14"/>
        <v>0</v>
      </c>
      <c r="Z60" s="66">
        <f t="shared" si="14"/>
        <v>83.3</v>
      </c>
      <c r="AA60" s="66">
        <v>78.7</v>
      </c>
      <c r="AB60" s="66">
        <f t="shared" si="14"/>
        <v>78.7</v>
      </c>
      <c r="AC60" s="66">
        <f t="shared" si="14"/>
        <v>78.7</v>
      </c>
      <c r="AD60" s="66">
        <f t="shared" si="14"/>
        <v>78.7</v>
      </c>
      <c r="AE60" s="66">
        <f t="shared" si="14"/>
        <v>50.4</v>
      </c>
      <c r="AF60" s="66">
        <f t="shared" si="14"/>
        <v>50.4</v>
      </c>
      <c r="AG60" s="143">
        <f t="shared" si="14"/>
        <v>106</v>
      </c>
      <c r="AH60" s="54">
        <f t="shared" si="2"/>
        <v>83.3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-0.6</v>
      </c>
      <c r="C61" s="50">
        <v>-1.5</v>
      </c>
      <c r="D61" s="50">
        <v>0</v>
      </c>
      <c r="E61" s="50">
        <v>-1.2</v>
      </c>
      <c r="F61" s="50">
        <v>-1.3</v>
      </c>
      <c r="G61" s="50">
        <v>0</v>
      </c>
      <c r="H61" s="50">
        <v>0</v>
      </c>
      <c r="I61" s="50">
        <v>0</v>
      </c>
      <c r="J61" s="50">
        <v>0</v>
      </c>
      <c r="K61" s="50">
        <v>7</v>
      </c>
      <c r="L61" s="50">
        <v>7.8</v>
      </c>
      <c r="M61" s="50">
        <v>8</v>
      </c>
      <c r="N61" s="50">
        <v>15</v>
      </c>
      <c r="O61" s="50">
        <v>39</v>
      </c>
      <c r="P61" s="50">
        <v>44</v>
      </c>
      <c r="Q61" s="50">
        <v>45</v>
      </c>
      <c r="R61" s="50">
        <v>47</v>
      </c>
      <c r="S61" s="50">
        <v>60.3</v>
      </c>
      <c r="T61" s="50">
        <v>58.4</v>
      </c>
      <c r="U61" s="50">
        <v>56.4</v>
      </c>
      <c r="V61" s="50">
        <v>23.4</v>
      </c>
      <c r="W61" s="50">
        <v>22.8</v>
      </c>
      <c r="X61" s="50">
        <v>14.2</v>
      </c>
      <c r="Y61" s="50">
        <v>19.899999999999999</v>
      </c>
      <c r="Z61" s="50">
        <v>22.8</v>
      </c>
      <c r="AA61" s="50">
        <v>38</v>
      </c>
      <c r="AB61" s="50">
        <v>69</v>
      </c>
      <c r="AC61" s="50">
        <v>69</v>
      </c>
      <c r="AD61" s="50">
        <v>72</v>
      </c>
      <c r="AE61" s="50">
        <v>67</v>
      </c>
      <c r="AF61" s="50">
        <v>37</v>
      </c>
      <c r="AG61" s="135"/>
      <c r="AH61" s="54">
        <f t="shared" si="2"/>
        <v>72</v>
      </c>
      <c r="AI61" s="55">
        <f t="shared" si="3"/>
        <v>-1.5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-379.5</v>
      </c>
      <c r="C63" s="48">
        <v>-350.2</v>
      </c>
      <c r="D63" s="48">
        <v>-398.6</v>
      </c>
      <c r="E63" s="48">
        <v>-416</v>
      </c>
      <c r="F63" s="48">
        <v>-410</v>
      </c>
      <c r="G63" s="48">
        <v>-389</v>
      </c>
      <c r="H63" s="48">
        <v>-378</v>
      </c>
      <c r="I63" s="48">
        <v>-390</v>
      </c>
      <c r="J63" s="48">
        <v>-360</v>
      </c>
      <c r="K63" s="48">
        <v>-369</v>
      </c>
      <c r="L63" s="48">
        <v>-365</v>
      </c>
      <c r="M63" s="48">
        <v>-338</v>
      </c>
      <c r="N63" s="48">
        <v>-302</v>
      </c>
      <c r="O63" s="48">
        <v>-270</v>
      </c>
      <c r="P63" s="48">
        <v>-260</v>
      </c>
      <c r="Q63" s="48">
        <v>-230</v>
      </c>
      <c r="R63" s="48">
        <v>-250</v>
      </c>
      <c r="S63" s="48">
        <v>-290.10000000000002</v>
      </c>
      <c r="T63" s="48">
        <v>-288.10000000000002</v>
      </c>
      <c r="U63" s="48">
        <v>-292.60000000000002</v>
      </c>
      <c r="V63" s="48">
        <v>-280.5</v>
      </c>
      <c r="W63" s="48">
        <v>-340.5</v>
      </c>
      <c r="X63" s="48">
        <v>-381.5</v>
      </c>
      <c r="Y63" s="48">
        <v>-330.2</v>
      </c>
      <c r="Z63" s="48">
        <v>-295</v>
      </c>
      <c r="AA63" s="48">
        <v>-208</v>
      </c>
      <c r="AB63" s="48">
        <v>-242</v>
      </c>
      <c r="AC63" s="48">
        <v>-242</v>
      </c>
      <c r="AD63" s="48">
        <v>-270</v>
      </c>
      <c r="AE63" s="48">
        <v>-310</v>
      </c>
      <c r="AF63" s="48">
        <v>-345</v>
      </c>
      <c r="AG63" s="140"/>
      <c r="AH63" s="54">
        <f t="shared" si="2"/>
        <v>-208</v>
      </c>
      <c r="AI63" s="55">
        <f t="shared" si="3"/>
        <v>-416</v>
      </c>
      <c r="AK63" s="56"/>
    </row>
    <row r="64" spans="1:41" x14ac:dyDescent="0.25">
      <c r="A64" s="60" t="s">
        <v>44</v>
      </c>
      <c r="B64" s="71">
        <v>0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140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4</v>
      </c>
      <c r="C66" s="72">
        <v>4</v>
      </c>
      <c r="D66" s="72">
        <v>4</v>
      </c>
      <c r="E66" s="72">
        <v>4</v>
      </c>
      <c r="F66" s="72">
        <v>0</v>
      </c>
      <c r="G66" s="72">
        <v>0</v>
      </c>
      <c r="H66" s="72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4</v>
      </c>
      <c r="AB66" s="72">
        <v>4</v>
      </c>
      <c r="AC66" s="72">
        <v>4</v>
      </c>
      <c r="AD66" s="72">
        <v>4</v>
      </c>
      <c r="AE66" s="72">
        <v>4</v>
      </c>
      <c r="AF66" s="72">
        <v>4</v>
      </c>
      <c r="AG66" s="140"/>
      <c r="AH66" s="54">
        <f t="shared" si="2"/>
        <v>4</v>
      </c>
      <c r="AI66" s="55">
        <f t="shared" si="3"/>
        <v>0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1">
        <v>0</v>
      </c>
      <c r="D68" s="71">
        <v>0</v>
      </c>
      <c r="E68" s="71">
        <v>0</v>
      </c>
      <c r="F68" s="71">
        <v>0</v>
      </c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1">
        <v>0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4">
        <v>0</v>
      </c>
      <c r="C70" s="74">
        <v>0</v>
      </c>
      <c r="D70" s="74">
        <v>0</v>
      </c>
      <c r="E70" s="74">
        <v>0</v>
      </c>
      <c r="F70" s="74">
        <v>0</v>
      </c>
      <c r="G70" s="74">
        <v>0</v>
      </c>
      <c r="H70" s="74">
        <v>0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4">
        <v>0</v>
      </c>
      <c r="C71" s="74">
        <v>0</v>
      </c>
      <c r="D71" s="74">
        <v>0</v>
      </c>
      <c r="E71" s="74">
        <v>0</v>
      </c>
      <c r="F71" s="74">
        <v>0</v>
      </c>
      <c r="G71" s="74">
        <v>0</v>
      </c>
      <c r="H71" s="74">
        <v>0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 t="shared" ref="B72" si="15">SUMIF(B61:B71,"&gt;0")</f>
        <v>4</v>
      </c>
      <c r="C72" s="66">
        <f t="shared" ref="C72:L72" si="16">SUMIF(C61:C71,"&gt;0")</f>
        <v>4</v>
      </c>
      <c r="D72" s="66">
        <f t="shared" si="16"/>
        <v>4</v>
      </c>
      <c r="E72" s="66">
        <f t="shared" si="16"/>
        <v>4</v>
      </c>
      <c r="F72" s="66">
        <f t="shared" si="16"/>
        <v>0</v>
      </c>
      <c r="G72" s="66">
        <f t="shared" si="16"/>
        <v>0</v>
      </c>
      <c r="H72" s="66">
        <f t="shared" si="16"/>
        <v>0</v>
      </c>
      <c r="I72" s="66">
        <f t="shared" si="16"/>
        <v>0</v>
      </c>
      <c r="J72" s="66">
        <f t="shared" si="16"/>
        <v>0</v>
      </c>
      <c r="K72" s="66">
        <f t="shared" si="16"/>
        <v>7</v>
      </c>
      <c r="L72" s="66">
        <f t="shared" si="16"/>
        <v>7.8</v>
      </c>
      <c r="M72" s="66">
        <f>SUMIF(M61:M71,"&gt;0")</f>
        <v>8</v>
      </c>
      <c r="N72" s="66">
        <f t="shared" ref="N72:AF72" si="17">SUMIF(N61:N71,"&gt;0")</f>
        <v>15</v>
      </c>
      <c r="O72" s="66">
        <f t="shared" si="17"/>
        <v>39</v>
      </c>
      <c r="P72" s="66">
        <f t="shared" si="17"/>
        <v>44</v>
      </c>
      <c r="Q72" s="66">
        <f t="shared" si="17"/>
        <v>45</v>
      </c>
      <c r="R72" s="66">
        <f t="shared" si="17"/>
        <v>47</v>
      </c>
      <c r="S72" s="66">
        <f t="shared" si="17"/>
        <v>60.3</v>
      </c>
      <c r="T72" s="66">
        <f t="shared" si="17"/>
        <v>58.4</v>
      </c>
      <c r="U72" s="66">
        <f t="shared" si="17"/>
        <v>56.4</v>
      </c>
      <c r="V72" s="66">
        <f t="shared" si="17"/>
        <v>23.4</v>
      </c>
      <c r="W72" s="66">
        <f t="shared" si="17"/>
        <v>22.8</v>
      </c>
      <c r="X72" s="66">
        <f t="shared" si="17"/>
        <v>14.2</v>
      </c>
      <c r="Y72" s="66">
        <f t="shared" si="17"/>
        <v>19.899999999999999</v>
      </c>
      <c r="Z72" s="66">
        <f t="shared" si="17"/>
        <v>22.8</v>
      </c>
      <c r="AA72" s="66">
        <v>42</v>
      </c>
      <c r="AB72" s="66">
        <f t="shared" si="17"/>
        <v>73</v>
      </c>
      <c r="AC72" s="66">
        <f t="shared" si="17"/>
        <v>73</v>
      </c>
      <c r="AD72" s="66">
        <f t="shared" si="17"/>
        <v>76</v>
      </c>
      <c r="AE72" s="66">
        <f t="shared" si="17"/>
        <v>71</v>
      </c>
      <c r="AF72" s="66">
        <f t="shared" si="17"/>
        <v>41</v>
      </c>
      <c r="AG72" s="138">
        <f>SUM(AG61:AG71)</f>
        <v>0</v>
      </c>
      <c r="AH72" s="54">
        <f t="shared" si="2"/>
        <v>76</v>
      </c>
      <c r="AI72" s="55">
        <f t="shared" si="3"/>
        <v>0</v>
      </c>
      <c r="AK72" s="56"/>
    </row>
    <row r="73" spans="1:88" x14ac:dyDescent="0.25">
      <c r="A73" s="57" t="s">
        <v>53</v>
      </c>
      <c r="B73" s="71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>
        <v>0</v>
      </c>
      <c r="C75" s="74">
        <v>0</v>
      </c>
      <c r="D75" s="74">
        <v>0</v>
      </c>
      <c r="E75" s="74">
        <v>0</v>
      </c>
      <c r="F75" s="74">
        <v>0</v>
      </c>
      <c r="G75" s="74">
        <v>0</v>
      </c>
      <c r="H75" s="74">
        <v>0</v>
      </c>
      <c r="I75" s="74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 t="shared" ref="B77" si="18">B38+B42+B60+B56+B72+B76</f>
        <v>1761.54</v>
      </c>
      <c r="C77" s="75">
        <f t="shared" ref="C77:AF77" si="19">C38+C42+C60+C56+C72+C76</f>
        <v>1677.8400000000001</v>
      </c>
      <c r="D77" s="75">
        <f t="shared" si="19"/>
        <v>1735.44</v>
      </c>
      <c r="E77" s="75">
        <f t="shared" si="19"/>
        <v>1700.5400000000002</v>
      </c>
      <c r="F77" s="75">
        <f t="shared" si="19"/>
        <v>1645.04</v>
      </c>
      <c r="G77" s="75">
        <f t="shared" si="19"/>
        <v>1659.54</v>
      </c>
      <c r="H77" s="75">
        <f t="shared" si="19"/>
        <v>1630.44</v>
      </c>
      <c r="I77" s="75">
        <f t="shared" si="19"/>
        <v>1630.44</v>
      </c>
      <c r="J77" s="75">
        <f t="shared" si="19"/>
        <v>1651.54</v>
      </c>
      <c r="K77" s="75">
        <f t="shared" si="19"/>
        <v>1701.2400000000002</v>
      </c>
      <c r="L77" s="75">
        <f t="shared" si="19"/>
        <v>1758.44</v>
      </c>
      <c r="M77" s="75">
        <f t="shared" si="19"/>
        <v>1793.64</v>
      </c>
      <c r="N77" s="75">
        <f t="shared" si="19"/>
        <v>1781.8400000000001</v>
      </c>
      <c r="O77" s="75">
        <f t="shared" si="19"/>
        <v>1826.64</v>
      </c>
      <c r="P77" s="75">
        <f t="shared" si="19"/>
        <v>1833.2400000000002</v>
      </c>
      <c r="Q77" s="75">
        <f t="shared" si="19"/>
        <v>1797.2400000000002</v>
      </c>
      <c r="R77" s="75">
        <f t="shared" si="19"/>
        <v>1844.7400000000002</v>
      </c>
      <c r="S77" s="75">
        <f t="shared" si="19"/>
        <v>1864.0400000000002</v>
      </c>
      <c r="T77" s="75">
        <f t="shared" si="19"/>
        <v>1844.8400000000001</v>
      </c>
      <c r="U77" s="75">
        <f t="shared" si="19"/>
        <v>1833.2400000000002</v>
      </c>
      <c r="V77" s="75">
        <f t="shared" si="19"/>
        <v>1831.5400000000002</v>
      </c>
      <c r="W77" s="75">
        <f t="shared" si="19"/>
        <v>1839.74</v>
      </c>
      <c r="X77" s="75">
        <f t="shared" si="19"/>
        <v>1795.84</v>
      </c>
      <c r="Y77" s="75">
        <f t="shared" si="19"/>
        <v>1804.94</v>
      </c>
      <c r="Z77" s="75">
        <f t="shared" si="19"/>
        <v>1893.04</v>
      </c>
      <c r="AA77" s="75">
        <v>1868.04</v>
      </c>
      <c r="AB77" s="75">
        <f t="shared" si="19"/>
        <v>1945.5400000000002</v>
      </c>
      <c r="AC77" s="75">
        <f t="shared" si="19"/>
        <v>1945.5400000000002</v>
      </c>
      <c r="AD77" s="75">
        <f t="shared" si="19"/>
        <v>1888.14</v>
      </c>
      <c r="AE77" s="75">
        <f t="shared" si="19"/>
        <v>1882.8400000000001</v>
      </c>
      <c r="AF77" s="75">
        <f t="shared" si="19"/>
        <v>1880.8400000000001</v>
      </c>
      <c r="AG77" s="143">
        <f>AG38+AG42+AG60+AG56+AG72+AG76</f>
        <v>1855.1900000000003</v>
      </c>
      <c r="AH77" s="54">
        <f t="shared" si="2"/>
        <v>1945.5400000000002</v>
      </c>
      <c r="AI77" s="55">
        <f t="shared" si="3"/>
        <v>1630.44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0</v>
      </c>
      <c r="AI78" s="55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 t="shared" ref="B79" si="20">B77+B78</f>
        <v>1761.54</v>
      </c>
      <c r="C79" s="75">
        <f t="shared" ref="C79:AF79" si="21">C77+C78</f>
        <v>1677.8400000000001</v>
      </c>
      <c r="D79" s="75">
        <f t="shared" si="21"/>
        <v>1735.44</v>
      </c>
      <c r="E79" s="75">
        <f t="shared" si="21"/>
        <v>1700.5400000000002</v>
      </c>
      <c r="F79" s="75">
        <f t="shared" si="21"/>
        <v>1645.04</v>
      </c>
      <c r="G79" s="75">
        <f t="shared" si="21"/>
        <v>1659.54</v>
      </c>
      <c r="H79" s="75">
        <f t="shared" si="21"/>
        <v>1630.44</v>
      </c>
      <c r="I79" s="75">
        <f t="shared" si="21"/>
        <v>1630.44</v>
      </c>
      <c r="J79" s="75">
        <f t="shared" si="21"/>
        <v>1651.54</v>
      </c>
      <c r="K79" s="75">
        <f t="shared" si="21"/>
        <v>1701.2400000000002</v>
      </c>
      <c r="L79" s="75">
        <f t="shared" si="21"/>
        <v>1758.44</v>
      </c>
      <c r="M79" s="75">
        <f t="shared" si="21"/>
        <v>1793.64</v>
      </c>
      <c r="N79" s="75">
        <f t="shared" si="21"/>
        <v>1781.8400000000001</v>
      </c>
      <c r="O79" s="75">
        <f t="shared" si="21"/>
        <v>1826.64</v>
      </c>
      <c r="P79" s="75">
        <f t="shared" si="21"/>
        <v>1833.2400000000002</v>
      </c>
      <c r="Q79" s="75">
        <f t="shared" si="21"/>
        <v>1797.2400000000002</v>
      </c>
      <c r="R79" s="75">
        <f t="shared" si="21"/>
        <v>1844.7400000000002</v>
      </c>
      <c r="S79" s="75">
        <f t="shared" si="21"/>
        <v>1864.0400000000002</v>
      </c>
      <c r="T79" s="75">
        <f t="shared" si="21"/>
        <v>1844.8400000000001</v>
      </c>
      <c r="U79" s="75">
        <f t="shared" si="21"/>
        <v>1833.2400000000002</v>
      </c>
      <c r="V79" s="75">
        <f t="shared" si="21"/>
        <v>1831.5400000000002</v>
      </c>
      <c r="W79" s="75">
        <f t="shared" si="21"/>
        <v>1839.74</v>
      </c>
      <c r="X79" s="75">
        <f t="shared" si="21"/>
        <v>1795.84</v>
      </c>
      <c r="Y79" s="75">
        <f t="shared" si="21"/>
        <v>1804.94</v>
      </c>
      <c r="Z79" s="75">
        <f t="shared" si="21"/>
        <v>1893.04</v>
      </c>
      <c r="AA79" s="75">
        <v>1868.04</v>
      </c>
      <c r="AB79" s="75">
        <f t="shared" si="21"/>
        <v>1945.5400000000002</v>
      </c>
      <c r="AC79" s="75">
        <f t="shared" si="21"/>
        <v>1945.5400000000002</v>
      </c>
      <c r="AD79" s="75">
        <f t="shared" si="21"/>
        <v>1888.14</v>
      </c>
      <c r="AE79" s="75">
        <f t="shared" si="21"/>
        <v>1882.8400000000001</v>
      </c>
      <c r="AF79" s="75">
        <f t="shared" si="21"/>
        <v>1880.8400000000001</v>
      </c>
      <c r="AG79" s="138">
        <f>AG76+AG72+AG60+AG56+AG38+AG78</f>
        <v>1317.0900000000001</v>
      </c>
      <c r="AH79" s="54">
        <f t="shared" si="2"/>
        <v>1945.5400000000002</v>
      </c>
      <c r="AI79" s="55">
        <f t="shared" si="3"/>
        <v>1630.44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" si="22">B79-B87</f>
        <v>1381.44</v>
      </c>
      <c r="C80" s="75">
        <f t="shared" ref="C80:AF80" si="23">C79-C87</f>
        <v>1326.14</v>
      </c>
      <c r="D80" s="75">
        <f t="shared" si="23"/>
        <v>1336.8400000000001</v>
      </c>
      <c r="E80" s="75">
        <f t="shared" si="23"/>
        <v>1283.3400000000001</v>
      </c>
      <c r="F80" s="75">
        <f t="shared" si="23"/>
        <v>1233.74</v>
      </c>
      <c r="G80" s="75">
        <f t="shared" si="23"/>
        <v>1270.54</v>
      </c>
      <c r="H80" s="75">
        <f t="shared" si="23"/>
        <v>1252.44</v>
      </c>
      <c r="I80" s="75">
        <f t="shared" si="23"/>
        <v>1240.44</v>
      </c>
      <c r="J80" s="75">
        <f t="shared" si="23"/>
        <v>1291.54</v>
      </c>
      <c r="K80" s="75">
        <f t="shared" si="23"/>
        <v>1332.2400000000002</v>
      </c>
      <c r="L80" s="75">
        <f t="shared" si="23"/>
        <v>1393.44</v>
      </c>
      <c r="M80" s="75">
        <f t="shared" si="23"/>
        <v>1455.64</v>
      </c>
      <c r="N80" s="75">
        <f t="shared" si="23"/>
        <v>1479.8400000000001</v>
      </c>
      <c r="O80" s="75">
        <f t="shared" si="23"/>
        <v>1556.64</v>
      </c>
      <c r="P80" s="75">
        <f t="shared" si="23"/>
        <v>1573.2400000000002</v>
      </c>
      <c r="Q80" s="75">
        <f t="shared" si="23"/>
        <v>1567.2400000000002</v>
      </c>
      <c r="R80" s="75">
        <f t="shared" si="23"/>
        <v>1594.7400000000002</v>
      </c>
      <c r="S80" s="75">
        <f t="shared" si="23"/>
        <v>1573.94</v>
      </c>
      <c r="T80" s="75">
        <f t="shared" si="23"/>
        <v>1556.7400000000002</v>
      </c>
      <c r="U80" s="75">
        <f t="shared" si="23"/>
        <v>1540.6400000000003</v>
      </c>
      <c r="V80" s="75">
        <f t="shared" si="23"/>
        <v>1551.0400000000002</v>
      </c>
      <c r="W80" s="75">
        <f t="shared" si="23"/>
        <v>1499.24</v>
      </c>
      <c r="X80" s="75">
        <f t="shared" si="23"/>
        <v>1414.34</v>
      </c>
      <c r="Y80" s="75">
        <f t="shared" si="23"/>
        <v>1474.74</v>
      </c>
      <c r="Z80" s="75">
        <f t="shared" si="23"/>
        <v>1598.04</v>
      </c>
      <c r="AA80" s="75">
        <v>1660.04</v>
      </c>
      <c r="AB80" s="75">
        <f t="shared" si="23"/>
        <v>1703.5400000000002</v>
      </c>
      <c r="AC80" s="75">
        <f t="shared" si="23"/>
        <v>1703.5400000000002</v>
      </c>
      <c r="AD80" s="75">
        <f t="shared" si="23"/>
        <v>1618.14</v>
      </c>
      <c r="AE80" s="75">
        <f t="shared" si="23"/>
        <v>1572.8400000000001</v>
      </c>
      <c r="AF80" s="75">
        <f t="shared" si="23"/>
        <v>1535.8400000000001</v>
      </c>
      <c r="AG80" s="138"/>
      <c r="AH80" s="54">
        <f t="shared" ref="AH80:AH97" si="24">MAX(B80:AF80)</f>
        <v>1703.5400000000002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 t="shared" ref="B81" si="25">IF(B64&lt;0,B64*-1,0)</f>
        <v>0</v>
      </c>
      <c r="C81" s="71">
        <f t="shared" ref="C81:AF81" si="26">IF(C64&lt;0,C64*-1,0)</f>
        <v>0</v>
      </c>
      <c r="D81" s="71">
        <f t="shared" si="26"/>
        <v>0</v>
      </c>
      <c r="E81" s="71">
        <f t="shared" si="26"/>
        <v>0</v>
      </c>
      <c r="F81" s="71">
        <f t="shared" si="26"/>
        <v>0</v>
      </c>
      <c r="G81" s="71">
        <f t="shared" si="26"/>
        <v>0</v>
      </c>
      <c r="H81" s="71">
        <f t="shared" si="26"/>
        <v>0</v>
      </c>
      <c r="I81" s="71">
        <f t="shared" si="26"/>
        <v>0</v>
      </c>
      <c r="J81" s="71">
        <f t="shared" si="26"/>
        <v>0</v>
      </c>
      <c r="K81" s="71">
        <f t="shared" si="26"/>
        <v>0</v>
      </c>
      <c r="L81" s="71">
        <f t="shared" si="26"/>
        <v>0</v>
      </c>
      <c r="M81" s="71">
        <f t="shared" si="26"/>
        <v>0</v>
      </c>
      <c r="N81" s="71">
        <f t="shared" si="26"/>
        <v>0</v>
      </c>
      <c r="O81" s="71">
        <f t="shared" si="26"/>
        <v>0</v>
      </c>
      <c r="P81" s="71">
        <f t="shared" si="26"/>
        <v>0</v>
      </c>
      <c r="Q81" s="71">
        <f t="shared" si="26"/>
        <v>0</v>
      </c>
      <c r="R81" s="71">
        <f t="shared" si="26"/>
        <v>0</v>
      </c>
      <c r="S81" s="71">
        <f t="shared" si="26"/>
        <v>0</v>
      </c>
      <c r="T81" s="71">
        <f t="shared" si="26"/>
        <v>0</v>
      </c>
      <c r="U81" s="71">
        <f t="shared" si="26"/>
        <v>0</v>
      </c>
      <c r="V81" s="71">
        <f t="shared" si="26"/>
        <v>0</v>
      </c>
      <c r="W81" s="71">
        <f t="shared" si="26"/>
        <v>0</v>
      </c>
      <c r="X81" s="71">
        <f t="shared" si="26"/>
        <v>0</v>
      </c>
      <c r="Y81" s="71">
        <f t="shared" si="26"/>
        <v>0</v>
      </c>
      <c r="Z81" s="71">
        <f t="shared" si="26"/>
        <v>0</v>
      </c>
      <c r="AA81" s="71">
        <v>0</v>
      </c>
      <c r="AB81" s="71">
        <f t="shared" si="26"/>
        <v>0</v>
      </c>
      <c r="AC81" s="71">
        <f t="shared" si="26"/>
        <v>0</v>
      </c>
      <c r="AD81" s="71">
        <f t="shared" si="26"/>
        <v>0</v>
      </c>
      <c r="AE81" s="71">
        <f t="shared" si="26"/>
        <v>0</v>
      </c>
      <c r="AF81" s="71">
        <f t="shared" si="26"/>
        <v>0</v>
      </c>
      <c r="AG81" s="135"/>
      <c r="AH81" s="54">
        <f t="shared" si="24"/>
        <v>0</v>
      </c>
      <c r="AI81" s="55">
        <f t="shared" ref="AI81:AI97" si="27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 t="shared" ref="B82" si="28">IF(B62&lt;0,B62*-1,0)</f>
        <v>0</v>
      </c>
      <c r="C82" s="71">
        <f t="shared" ref="C82:AF82" si="29">IF(C62&lt;0,C62*-1,0)</f>
        <v>0</v>
      </c>
      <c r="D82" s="71">
        <f t="shared" si="29"/>
        <v>0</v>
      </c>
      <c r="E82" s="71">
        <f t="shared" si="29"/>
        <v>0</v>
      </c>
      <c r="F82" s="71">
        <f t="shared" si="29"/>
        <v>0</v>
      </c>
      <c r="G82" s="71">
        <f t="shared" si="29"/>
        <v>0</v>
      </c>
      <c r="H82" s="71">
        <f t="shared" si="29"/>
        <v>0</v>
      </c>
      <c r="I82" s="71">
        <f t="shared" si="29"/>
        <v>0</v>
      </c>
      <c r="J82" s="71">
        <f t="shared" si="29"/>
        <v>0</v>
      </c>
      <c r="K82" s="71">
        <f t="shared" si="29"/>
        <v>0</v>
      </c>
      <c r="L82" s="71">
        <f t="shared" si="29"/>
        <v>0</v>
      </c>
      <c r="M82" s="71">
        <f t="shared" si="29"/>
        <v>0</v>
      </c>
      <c r="N82" s="71">
        <f t="shared" si="29"/>
        <v>0</v>
      </c>
      <c r="O82" s="71">
        <f t="shared" si="29"/>
        <v>0</v>
      </c>
      <c r="P82" s="71">
        <f t="shared" si="29"/>
        <v>0</v>
      </c>
      <c r="Q82" s="71">
        <f t="shared" si="29"/>
        <v>0</v>
      </c>
      <c r="R82" s="71">
        <f t="shared" si="29"/>
        <v>0</v>
      </c>
      <c r="S82" s="71">
        <f t="shared" si="29"/>
        <v>0</v>
      </c>
      <c r="T82" s="71">
        <f t="shared" si="29"/>
        <v>0</v>
      </c>
      <c r="U82" s="71">
        <f t="shared" si="29"/>
        <v>0</v>
      </c>
      <c r="V82" s="71">
        <f t="shared" si="29"/>
        <v>0</v>
      </c>
      <c r="W82" s="71">
        <f t="shared" si="29"/>
        <v>0</v>
      </c>
      <c r="X82" s="71">
        <f t="shared" si="29"/>
        <v>0</v>
      </c>
      <c r="Y82" s="71">
        <f t="shared" si="29"/>
        <v>0</v>
      </c>
      <c r="Z82" s="71">
        <f t="shared" si="29"/>
        <v>0</v>
      </c>
      <c r="AA82" s="71">
        <v>0</v>
      </c>
      <c r="AB82" s="71">
        <f t="shared" si="29"/>
        <v>0</v>
      </c>
      <c r="AC82" s="71">
        <f t="shared" si="29"/>
        <v>0</v>
      </c>
      <c r="AD82" s="71">
        <f t="shared" si="29"/>
        <v>0</v>
      </c>
      <c r="AE82" s="71">
        <f t="shared" si="29"/>
        <v>0</v>
      </c>
      <c r="AF82" s="71">
        <f t="shared" si="29"/>
        <v>0</v>
      </c>
      <c r="AG82" s="136"/>
      <c r="AH82" s="54">
        <f t="shared" si="24"/>
        <v>0</v>
      </c>
      <c r="AI82" s="55">
        <f t="shared" si="27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 t="shared" ref="B83" si="30">IF(B65&lt;0,B65*-1,0)</f>
        <v>0</v>
      </c>
      <c r="C83" s="71">
        <f t="shared" ref="C83:AF83" si="31">IF(C65&lt;0,C65*-1,0)</f>
        <v>0</v>
      </c>
      <c r="D83" s="71">
        <f t="shared" si="31"/>
        <v>0</v>
      </c>
      <c r="E83" s="71">
        <f t="shared" si="31"/>
        <v>0</v>
      </c>
      <c r="F83" s="71">
        <f t="shared" si="31"/>
        <v>0</v>
      </c>
      <c r="G83" s="71">
        <f t="shared" si="31"/>
        <v>0</v>
      </c>
      <c r="H83" s="71">
        <f t="shared" si="31"/>
        <v>0</v>
      </c>
      <c r="I83" s="71">
        <f t="shared" si="31"/>
        <v>0</v>
      </c>
      <c r="J83" s="71">
        <f t="shared" si="31"/>
        <v>0</v>
      </c>
      <c r="K83" s="71">
        <f t="shared" si="31"/>
        <v>0</v>
      </c>
      <c r="L83" s="71">
        <f t="shared" si="31"/>
        <v>0</v>
      </c>
      <c r="M83" s="71">
        <f t="shared" si="31"/>
        <v>0</v>
      </c>
      <c r="N83" s="71">
        <f t="shared" si="31"/>
        <v>0</v>
      </c>
      <c r="O83" s="71">
        <f t="shared" si="31"/>
        <v>0</v>
      </c>
      <c r="P83" s="71">
        <f t="shared" si="31"/>
        <v>0</v>
      </c>
      <c r="Q83" s="71">
        <f t="shared" si="31"/>
        <v>0</v>
      </c>
      <c r="R83" s="71">
        <f t="shared" si="31"/>
        <v>0</v>
      </c>
      <c r="S83" s="71">
        <f t="shared" si="31"/>
        <v>0</v>
      </c>
      <c r="T83" s="71">
        <f t="shared" si="31"/>
        <v>0</v>
      </c>
      <c r="U83" s="71">
        <f t="shared" si="31"/>
        <v>0</v>
      </c>
      <c r="V83" s="71">
        <f t="shared" si="31"/>
        <v>0</v>
      </c>
      <c r="W83" s="71">
        <f t="shared" si="31"/>
        <v>0</v>
      </c>
      <c r="X83" s="71">
        <f t="shared" si="31"/>
        <v>0</v>
      </c>
      <c r="Y83" s="71">
        <f t="shared" si="31"/>
        <v>0</v>
      </c>
      <c r="Z83" s="71">
        <f t="shared" si="31"/>
        <v>0</v>
      </c>
      <c r="AA83" s="71">
        <v>0</v>
      </c>
      <c r="AB83" s="71">
        <f t="shared" si="31"/>
        <v>0</v>
      </c>
      <c r="AC83" s="71">
        <f t="shared" si="31"/>
        <v>0</v>
      </c>
      <c r="AD83" s="71">
        <f t="shared" si="31"/>
        <v>0</v>
      </c>
      <c r="AE83" s="71">
        <f t="shared" si="31"/>
        <v>0</v>
      </c>
      <c r="AF83" s="71">
        <f t="shared" si="31"/>
        <v>0</v>
      </c>
      <c r="AG83" s="144"/>
      <c r="AH83" s="54">
        <f t="shared" si="24"/>
        <v>0</v>
      </c>
      <c r="AI83" s="55">
        <f t="shared" si="27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 t="shared" ref="B84" si="32">IF(B63&lt;0,B63*-1,0)</f>
        <v>379.5</v>
      </c>
      <c r="C84" s="71">
        <f t="shared" ref="C84:AF84" si="33">IF(C63&lt;0,C63*-1,0)</f>
        <v>350.2</v>
      </c>
      <c r="D84" s="71">
        <f t="shared" si="33"/>
        <v>398.6</v>
      </c>
      <c r="E84" s="71">
        <f t="shared" si="33"/>
        <v>416</v>
      </c>
      <c r="F84" s="71">
        <f t="shared" si="33"/>
        <v>410</v>
      </c>
      <c r="G84" s="71">
        <f t="shared" si="33"/>
        <v>389</v>
      </c>
      <c r="H84" s="71">
        <f t="shared" si="33"/>
        <v>378</v>
      </c>
      <c r="I84" s="71">
        <f t="shared" si="33"/>
        <v>390</v>
      </c>
      <c r="J84" s="71">
        <f t="shared" si="33"/>
        <v>360</v>
      </c>
      <c r="K84" s="71">
        <f t="shared" si="33"/>
        <v>369</v>
      </c>
      <c r="L84" s="71">
        <f t="shared" si="33"/>
        <v>365</v>
      </c>
      <c r="M84" s="71">
        <f t="shared" si="33"/>
        <v>338</v>
      </c>
      <c r="N84" s="71">
        <f t="shared" si="33"/>
        <v>302</v>
      </c>
      <c r="O84" s="71">
        <f t="shared" si="33"/>
        <v>270</v>
      </c>
      <c r="P84" s="71">
        <f t="shared" si="33"/>
        <v>260</v>
      </c>
      <c r="Q84" s="71">
        <f t="shared" si="33"/>
        <v>230</v>
      </c>
      <c r="R84" s="71">
        <f t="shared" si="33"/>
        <v>250</v>
      </c>
      <c r="S84" s="71">
        <f t="shared" si="33"/>
        <v>290.10000000000002</v>
      </c>
      <c r="T84" s="71">
        <f t="shared" si="33"/>
        <v>288.10000000000002</v>
      </c>
      <c r="U84" s="71">
        <f t="shared" si="33"/>
        <v>292.60000000000002</v>
      </c>
      <c r="V84" s="71">
        <f t="shared" si="33"/>
        <v>280.5</v>
      </c>
      <c r="W84" s="71">
        <f t="shared" si="33"/>
        <v>340.5</v>
      </c>
      <c r="X84" s="71">
        <f t="shared" si="33"/>
        <v>381.5</v>
      </c>
      <c r="Y84" s="71">
        <f t="shared" si="33"/>
        <v>330.2</v>
      </c>
      <c r="Z84" s="71">
        <f t="shared" si="33"/>
        <v>295</v>
      </c>
      <c r="AA84" s="71">
        <v>208</v>
      </c>
      <c r="AB84" s="71">
        <f t="shared" si="33"/>
        <v>242</v>
      </c>
      <c r="AC84" s="71">
        <f t="shared" si="33"/>
        <v>242</v>
      </c>
      <c r="AD84" s="71">
        <f t="shared" si="33"/>
        <v>270</v>
      </c>
      <c r="AE84" s="71">
        <f t="shared" si="33"/>
        <v>310</v>
      </c>
      <c r="AF84" s="71">
        <f t="shared" si="33"/>
        <v>345</v>
      </c>
      <c r="AG84" s="144"/>
      <c r="AH84" s="54">
        <f t="shared" si="24"/>
        <v>416</v>
      </c>
      <c r="AI84" s="55">
        <f t="shared" si="27"/>
        <v>208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 t="shared" ref="B85" si="34">IF(B61&lt;0,B61*-1,0)</f>
        <v>0.6</v>
      </c>
      <c r="C85" s="71">
        <f t="shared" ref="C85:AF85" si="35">IF(C61&lt;0,C61*-1,0)</f>
        <v>1.5</v>
      </c>
      <c r="D85" s="71">
        <f t="shared" si="35"/>
        <v>0</v>
      </c>
      <c r="E85" s="71">
        <f t="shared" si="35"/>
        <v>1.2</v>
      </c>
      <c r="F85" s="71">
        <f t="shared" si="35"/>
        <v>1.3</v>
      </c>
      <c r="G85" s="71">
        <f t="shared" si="35"/>
        <v>0</v>
      </c>
      <c r="H85" s="71">
        <f t="shared" si="35"/>
        <v>0</v>
      </c>
      <c r="I85" s="71">
        <f t="shared" si="35"/>
        <v>0</v>
      </c>
      <c r="J85" s="71">
        <f t="shared" si="35"/>
        <v>0</v>
      </c>
      <c r="K85" s="71">
        <f t="shared" si="35"/>
        <v>0</v>
      </c>
      <c r="L85" s="71">
        <f t="shared" si="35"/>
        <v>0</v>
      </c>
      <c r="M85" s="71">
        <f t="shared" si="35"/>
        <v>0</v>
      </c>
      <c r="N85" s="71">
        <f t="shared" si="35"/>
        <v>0</v>
      </c>
      <c r="O85" s="71">
        <f t="shared" si="35"/>
        <v>0</v>
      </c>
      <c r="P85" s="71">
        <f t="shared" si="35"/>
        <v>0</v>
      </c>
      <c r="Q85" s="71">
        <f t="shared" si="35"/>
        <v>0</v>
      </c>
      <c r="R85" s="71">
        <f t="shared" si="35"/>
        <v>0</v>
      </c>
      <c r="S85" s="71">
        <f t="shared" si="35"/>
        <v>0</v>
      </c>
      <c r="T85" s="71">
        <f t="shared" si="35"/>
        <v>0</v>
      </c>
      <c r="U85" s="71">
        <f t="shared" si="35"/>
        <v>0</v>
      </c>
      <c r="V85" s="71">
        <f t="shared" si="35"/>
        <v>0</v>
      </c>
      <c r="W85" s="71">
        <f t="shared" si="35"/>
        <v>0</v>
      </c>
      <c r="X85" s="71">
        <f t="shared" si="35"/>
        <v>0</v>
      </c>
      <c r="Y85" s="71">
        <f t="shared" si="35"/>
        <v>0</v>
      </c>
      <c r="Z85" s="71">
        <f t="shared" si="35"/>
        <v>0</v>
      </c>
      <c r="AA85" s="71">
        <v>0</v>
      </c>
      <c r="AB85" s="71">
        <f t="shared" si="35"/>
        <v>0</v>
      </c>
      <c r="AC85" s="71">
        <f t="shared" si="35"/>
        <v>0</v>
      </c>
      <c r="AD85" s="71">
        <f t="shared" si="35"/>
        <v>0</v>
      </c>
      <c r="AE85" s="71">
        <f t="shared" si="35"/>
        <v>0</v>
      </c>
      <c r="AF85" s="71">
        <f t="shared" si="35"/>
        <v>0</v>
      </c>
      <c r="AG85" s="144"/>
      <c r="AH85" s="54">
        <f t="shared" si="24"/>
        <v>1.5</v>
      </c>
      <c r="AI85" s="55">
        <f t="shared" si="27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/>
      <c r="AD86" s="74"/>
      <c r="AE86" s="74"/>
      <c r="AF86" s="74"/>
      <c r="AG86" s="141"/>
      <c r="AH86" s="54">
        <f t="shared" si="24"/>
        <v>0</v>
      </c>
      <c r="AI86" s="55">
        <f t="shared" si="27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 t="shared" ref="B87" si="36">SUM(B81:B86)</f>
        <v>380.1</v>
      </c>
      <c r="C87" s="66">
        <f t="shared" ref="C87:AF87" si="37">SUM(C81:C86)</f>
        <v>351.7</v>
      </c>
      <c r="D87" s="66">
        <f t="shared" si="37"/>
        <v>398.6</v>
      </c>
      <c r="E87" s="66">
        <f t="shared" si="37"/>
        <v>417.2</v>
      </c>
      <c r="F87" s="66">
        <f t="shared" si="37"/>
        <v>411.3</v>
      </c>
      <c r="G87" s="66">
        <f t="shared" si="37"/>
        <v>389</v>
      </c>
      <c r="H87" s="66">
        <f t="shared" si="37"/>
        <v>378</v>
      </c>
      <c r="I87" s="66">
        <f t="shared" si="37"/>
        <v>390</v>
      </c>
      <c r="J87" s="66">
        <f t="shared" si="37"/>
        <v>360</v>
      </c>
      <c r="K87" s="66">
        <f t="shared" si="37"/>
        <v>369</v>
      </c>
      <c r="L87" s="66">
        <f t="shared" si="37"/>
        <v>365</v>
      </c>
      <c r="M87" s="66">
        <f t="shared" si="37"/>
        <v>338</v>
      </c>
      <c r="N87" s="66">
        <f t="shared" si="37"/>
        <v>302</v>
      </c>
      <c r="O87" s="66">
        <f t="shared" si="37"/>
        <v>270</v>
      </c>
      <c r="P87" s="66">
        <f t="shared" si="37"/>
        <v>260</v>
      </c>
      <c r="Q87" s="66">
        <f t="shared" si="37"/>
        <v>230</v>
      </c>
      <c r="R87" s="66">
        <f t="shared" si="37"/>
        <v>250</v>
      </c>
      <c r="S87" s="66">
        <f t="shared" si="37"/>
        <v>290.10000000000002</v>
      </c>
      <c r="T87" s="66">
        <f t="shared" si="37"/>
        <v>288.10000000000002</v>
      </c>
      <c r="U87" s="66">
        <f t="shared" si="37"/>
        <v>292.60000000000002</v>
      </c>
      <c r="V87" s="66">
        <f t="shared" si="37"/>
        <v>280.5</v>
      </c>
      <c r="W87" s="66">
        <f t="shared" si="37"/>
        <v>340.5</v>
      </c>
      <c r="X87" s="66">
        <f t="shared" si="37"/>
        <v>381.5</v>
      </c>
      <c r="Y87" s="66">
        <f t="shared" si="37"/>
        <v>330.2</v>
      </c>
      <c r="Z87" s="66">
        <f t="shared" si="37"/>
        <v>295</v>
      </c>
      <c r="AA87" s="66">
        <v>208</v>
      </c>
      <c r="AB87" s="66">
        <f t="shared" si="37"/>
        <v>242</v>
      </c>
      <c r="AC87" s="66">
        <f t="shared" si="37"/>
        <v>242</v>
      </c>
      <c r="AD87" s="66">
        <f t="shared" si="37"/>
        <v>270</v>
      </c>
      <c r="AE87" s="66">
        <f t="shared" si="37"/>
        <v>310</v>
      </c>
      <c r="AF87" s="66">
        <f t="shared" si="37"/>
        <v>345</v>
      </c>
      <c r="AG87" s="138"/>
      <c r="AH87" s="54">
        <f t="shared" si="24"/>
        <v>417.2</v>
      </c>
      <c r="AI87" s="55">
        <f t="shared" si="27"/>
        <v>208</v>
      </c>
      <c r="AK87" s="56"/>
    </row>
    <row r="88" spans="1:88" s="1" customFormat="1" ht="15.75" thickBot="1" x14ac:dyDescent="0.3">
      <c r="A88" s="65" t="s">
        <v>64</v>
      </c>
      <c r="B88" s="66">
        <f t="shared" ref="B88" si="38">B72-B87</f>
        <v>-376.1</v>
      </c>
      <c r="C88" s="66">
        <f t="shared" ref="C88:AF88" si="39">C72-C87</f>
        <v>-347.7</v>
      </c>
      <c r="D88" s="66">
        <f t="shared" si="39"/>
        <v>-394.6</v>
      </c>
      <c r="E88" s="66">
        <f t="shared" si="39"/>
        <v>-413.2</v>
      </c>
      <c r="F88" s="66">
        <f t="shared" si="39"/>
        <v>-411.3</v>
      </c>
      <c r="G88" s="66">
        <f t="shared" si="39"/>
        <v>-389</v>
      </c>
      <c r="H88" s="66">
        <f t="shared" si="39"/>
        <v>-378</v>
      </c>
      <c r="I88" s="66">
        <f t="shared" si="39"/>
        <v>-390</v>
      </c>
      <c r="J88" s="66">
        <f t="shared" si="39"/>
        <v>-360</v>
      </c>
      <c r="K88" s="66">
        <f t="shared" si="39"/>
        <v>-362</v>
      </c>
      <c r="L88" s="66">
        <f t="shared" si="39"/>
        <v>-357.2</v>
      </c>
      <c r="M88" s="66">
        <f t="shared" si="39"/>
        <v>-330</v>
      </c>
      <c r="N88" s="66">
        <f t="shared" si="39"/>
        <v>-287</v>
      </c>
      <c r="O88" s="66">
        <f t="shared" si="39"/>
        <v>-231</v>
      </c>
      <c r="P88" s="66">
        <f t="shared" si="39"/>
        <v>-216</v>
      </c>
      <c r="Q88" s="66">
        <f t="shared" si="39"/>
        <v>-185</v>
      </c>
      <c r="R88" s="66">
        <f t="shared" si="39"/>
        <v>-203</v>
      </c>
      <c r="S88" s="66">
        <f t="shared" si="39"/>
        <v>-229.8</v>
      </c>
      <c r="T88" s="66">
        <f t="shared" si="39"/>
        <v>-229.70000000000002</v>
      </c>
      <c r="U88" s="66">
        <f t="shared" si="39"/>
        <v>-236.20000000000002</v>
      </c>
      <c r="V88" s="66">
        <f t="shared" si="39"/>
        <v>-257.10000000000002</v>
      </c>
      <c r="W88" s="66">
        <f t="shared" si="39"/>
        <v>-317.7</v>
      </c>
      <c r="X88" s="66">
        <f t="shared" si="39"/>
        <v>-367.3</v>
      </c>
      <c r="Y88" s="66">
        <f t="shared" si="39"/>
        <v>-310.3</v>
      </c>
      <c r="Z88" s="66">
        <f t="shared" si="39"/>
        <v>-272.2</v>
      </c>
      <c r="AA88" s="66">
        <v>-166</v>
      </c>
      <c r="AB88" s="66">
        <f t="shared" si="39"/>
        <v>-169</v>
      </c>
      <c r="AC88" s="66">
        <f t="shared" si="39"/>
        <v>-169</v>
      </c>
      <c r="AD88" s="66">
        <f t="shared" si="39"/>
        <v>-194</v>
      </c>
      <c r="AE88" s="66">
        <f t="shared" si="39"/>
        <v>-239</v>
      </c>
      <c r="AF88" s="66">
        <f t="shared" si="39"/>
        <v>-304</v>
      </c>
      <c r="AG88" s="138"/>
      <c r="AH88" s="54">
        <f t="shared" si="24"/>
        <v>-166</v>
      </c>
      <c r="AI88" s="55">
        <f t="shared" si="27"/>
        <v>-413.2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49.914999999999999</v>
      </c>
      <c r="C89" s="80">
        <v>49.930999999999997</v>
      </c>
      <c r="D89" s="80">
        <v>49.853999999999999</v>
      </c>
      <c r="E89" s="80">
        <v>50.026000000000003</v>
      </c>
      <c r="F89" s="80">
        <v>50.033999999999999</v>
      </c>
      <c r="G89" s="80">
        <v>49.978999999999999</v>
      </c>
      <c r="H89" s="80">
        <v>49.956000000000003</v>
      </c>
      <c r="I89" s="80">
        <v>50.018999999999998</v>
      </c>
      <c r="J89" s="80">
        <v>50.055</v>
      </c>
      <c r="K89" s="80">
        <v>50.033999999999999</v>
      </c>
      <c r="L89" s="80">
        <v>50.030999999999999</v>
      </c>
      <c r="M89" s="80">
        <v>50.030999999999999</v>
      </c>
      <c r="N89" s="80">
        <v>50.055999999999997</v>
      </c>
      <c r="O89" s="80">
        <v>50.052999999999997</v>
      </c>
      <c r="P89" s="80">
        <v>50.024999999999999</v>
      </c>
      <c r="Q89" s="80">
        <v>50.024999999999999</v>
      </c>
      <c r="R89" s="80">
        <v>50.024999999999999</v>
      </c>
      <c r="S89" s="80">
        <v>50.06</v>
      </c>
      <c r="T89" s="80">
        <v>50.037999999999997</v>
      </c>
      <c r="U89" s="80">
        <v>49.81</v>
      </c>
      <c r="V89" s="80">
        <v>50.012</v>
      </c>
      <c r="W89" s="80">
        <v>50.021000000000001</v>
      </c>
      <c r="X89" s="80">
        <v>49.933999999999997</v>
      </c>
      <c r="Y89" s="80">
        <v>49.991</v>
      </c>
      <c r="Z89" s="80">
        <v>50.033000000000001</v>
      </c>
      <c r="AA89" s="80">
        <v>50.012999999999998</v>
      </c>
      <c r="AB89" s="80">
        <v>50.02</v>
      </c>
      <c r="AC89" s="80">
        <v>50</v>
      </c>
      <c r="AD89" s="80">
        <v>49.87</v>
      </c>
      <c r="AE89" s="80">
        <v>50.01</v>
      </c>
      <c r="AF89" s="80">
        <v>49.97</v>
      </c>
      <c r="AG89" s="145"/>
      <c r="AH89" s="54">
        <f t="shared" si="24"/>
        <v>50.06</v>
      </c>
      <c r="AI89" s="55">
        <f t="shared" si="27"/>
        <v>49.81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124</v>
      </c>
      <c r="C90" s="48">
        <v>125</v>
      </c>
      <c r="D90" s="48">
        <v>123.7</v>
      </c>
      <c r="E90" s="48">
        <v>124.5</v>
      </c>
      <c r="F90" s="48">
        <v>125.6</v>
      </c>
      <c r="G90" s="48">
        <v>123.7</v>
      </c>
      <c r="H90" s="48">
        <v>125.4</v>
      </c>
      <c r="I90" s="48">
        <v>126.1</v>
      </c>
      <c r="J90" s="48">
        <v>122.7</v>
      </c>
      <c r="K90" s="48">
        <v>122</v>
      </c>
      <c r="L90" s="48">
        <v>125.1</v>
      </c>
      <c r="M90" s="48">
        <v>125.1</v>
      </c>
      <c r="N90" s="48">
        <v>123</v>
      </c>
      <c r="O90" s="48">
        <v>122</v>
      </c>
      <c r="P90" s="48">
        <v>122.4</v>
      </c>
      <c r="Q90" s="48">
        <v>122.4</v>
      </c>
      <c r="R90" s="48">
        <v>122.4</v>
      </c>
      <c r="S90" s="48">
        <v>122.3</v>
      </c>
      <c r="T90" s="48">
        <v>121.7</v>
      </c>
      <c r="U90" s="48">
        <v>121.5</v>
      </c>
      <c r="V90" s="48">
        <v>122.7</v>
      </c>
      <c r="W90" s="48">
        <v>123.6</v>
      </c>
      <c r="X90" s="48">
        <v>125.2</v>
      </c>
      <c r="Y90" s="48">
        <v>124.5</v>
      </c>
      <c r="Z90" s="48">
        <v>124.6</v>
      </c>
      <c r="AA90" s="48">
        <v>125.2</v>
      </c>
      <c r="AB90" s="48">
        <v>124</v>
      </c>
      <c r="AC90" s="48">
        <v>124</v>
      </c>
      <c r="AD90" s="48">
        <v>123</v>
      </c>
      <c r="AE90" s="48">
        <v>122</v>
      </c>
      <c r="AF90" s="48">
        <v>122</v>
      </c>
      <c r="AG90" s="146"/>
      <c r="AH90" s="54">
        <f t="shared" si="24"/>
        <v>126.1</v>
      </c>
      <c r="AI90" s="55">
        <f t="shared" si="27"/>
        <v>121.5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129.6</v>
      </c>
      <c r="C91" s="48">
        <v>130.30000000000001</v>
      </c>
      <c r="D91" s="48">
        <v>129.19999999999999</v>
      </c>
      <c r="E91" s="48">
        <v>129.69999999999999</v>
      </c>
      <c r="F91" s="48">
        <v>130.30000000000001</v>
      </c>
      <c r="G91" s="48">
        <v>129</v>
      </c>
      <c r="H91" s="48">
        <v>129.6</v>
      </c>
      <c r="I91" s="48">
        <v>129.69999999999999</v>
      </c>
      <c r="J91" s="48">
        <v>127.1</v>
      </c>
      <c r="K91" s="48">
        <v>126.3</v>
      </c>
      <c r="L91" s="48">
        <v>128.30000000000001</v>
      </c>
      <c r="M91" s="48">
        <v>128.30000000000001</v>
      </c>
      <c r="N91" s="48">
        <v>127</v>
      </c>
      <c r="O91" s="48">
        <v>126</v>
      </c>
      <c r="P91" s="48">
        <v>126.7</v>
      </c>
      <c r="Q91" s="48">
        <v>126.7</v>
      </c>
      <c r="R91" s="48">
        <v>126.7</v>
      </c>
      <c r="S91" s="48">
        <v>126.5</v>
      </c>
      <c r="T91" s="48">
        <v>125.6</v>
      </c>
      <c r="U91" s="48">
        <v>125.8</v>
      </c>
      <c r="V91" s="48">
        <v>127.2</v>
      </c>
      <c r="W91" s="48">
        <v>127.5</v>
      </c>
      <c r="X91" s="48">
        <v>128.4</v>
      </c>
      <c r="Y91" s="48">
        <v>128.1</v>
      </c>
      <c r="Z91" s="48">
        <v>128.19999999999999</v>
      </c>
      <c r="AA91" s="48">
        <v>129.5</v>
      </c>
      <c r="AB91" s="48">
        <v>129</v>
      </c>
      <c r="AC91" s="48">
        <v>129</v>
      </c>
      <c r="AD91" s="48">
        <v>128</v>
      </c>
      <c r="AE91" s="48">
        <v>127</v>
      </c>
      <c r="AF91" s="48">
        <v>128</v>
      </c>
      <c r="AG91" s="146"/>
      <c r="AH91" s="54">
        <f t="shared" si="24"/>
        <v>130.30000000000001</v>
      </c>
      <c r="AI91" s="55">
        <f t="shared" si="27"/>
        <v>125.6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130.4</v>
      </c>
      <c r="C92" s="48">
        <v>130.6</v>
      </c>
      <c r="D92" s="48">
        <v>129.5</v>
      </c>
      <c r="E92" s="48">
        <v>129</v>
      </c>
      <c r="F92" s="48">
        <v>130.19999999999999</v>
      </c>
      <c r="G92" s="48">
        <v>128.69999999999999</v>
      </c>
      <c r="H92" s="48">
        <v>130.30000000000001</v>
      </c>
      <c r="I92" s="48">
        <v>131.30000000000001</v>
      </c>
      <c r="J92" s="48">
        <v>127.3</v>
      </c>
      <c r="K92" s="48">
        <v>130.9</v>
      </c>
      <c r="L92" s="48">
        <v>127.6</v>
      </c>
      <c r="M92" s="48">
        <v>127.6</v>
      </c>
      <c r="N92" s="48">
        <v>128</v>
      </c>
      <c r="O92" s="48">
        <v>127</v>
      </c>
      <c r="P92" s="48">
        <v>129</v>
      </c>
      <c r="Q92" s="48">
        <v>129</v>
      </c>
      <c r="R92" s="48">
        <v>129</v>
      </c>
      <c r="S92" s="48">
        <v>129.5</v>
      </c>
      <c r="T92" s="48">
        <v>129.30000000000001</v>
      </c>
      <c r="U92" s="48">
        <v>128</v>
      </c>
      <c r="V92" s="48">
        <v>130.4</v>
      </c>
      <c r="W92" s="48">
        <v>128.80000000000001</v>
      </c>
      <c r="X92" s="48">
        <v>132.19999999999999</v>
      </c>
      <c r="Y92" s="48">
        <v>130</v>
      </c>
      <c r="Z92" s="48">
        <v>128.19999999999999</v>
      </c>
      <c r="AA92" s="48">
        <v>129.69999999999999</v>
      </c>
      <c r="AB92" s="48">
        <v>127</v>
      </c>
      <c r="AC92" s="48">
        <v>129</v>
      </c>
      <c r="AD92" s="48">
        <v>130</v>
      </c>
      <c r="AE92" s="48">
        <v>129</v>
      </c>
      <c r="AF92" s="48">
        <v>129</v>
      </c>
      <c r="AG92" s="146"/>
      <c r="AH92" s="54">
        <f t="shared" si="24"/>
        <v>132.19999999999999</v>
      </c>
      <c r="AI92" s="55">
        <f t="shared" si="27"/>
        <v>127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>
        <v>134.6</v>
      </c>
      <c r="C93" s="48">
        <v>134.80000000000001</v>
      </c>
      <c r="D93" s="48">
        <v>134.6</v>
      </c>
      <c r="E93" s="48">
        <v>132.69999999999999</v>
      </c>
      <c r="F93" s="48">
        <v>133.69999999999999</v>
      </c>
      <c r="G93" s="48">
        <v>132.69999999999999</v>
      </c>
      <c r="H93" s="48">
        <v>133.9</v>
      </c>
      <c r="I93" s="48">
        <v>134.4</v>
      </c>
      <c r="J93" s="48">
        <v>130.80000000000001</v>
      </c>
      <c r="K93" s="48">
        <v>134.30000000000001</v>
      </c>
      <c r="L93" s="48">
        <v>130.9</v>
      </c>
      <c r="M93" s="48">
        <v>130.9</v>
      </c>
      <c r="N93" s="48">
        <v>133</v>
      </c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146"/>
      <c r="AH93" s="54">
        <f t="shared" si="24"/>
        <v>134.80000000000001</v>
      </c>
      <c r="AI93" s="55">
        <f t="shared" si="27"/>
        <v>130.80000000000001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131.19999999999999</v>
      </c>
      <c r="C94" s="82">
        <v>133.69999999999999</v>
      </c>
      <c r="D94" s="82">
        <v>132.6</v>
      </c>
      <c r="E94" s="82">
        <v>131.9</v>
      </c>
      <c r="F94" s="82">
        <v>133.30000000000001</v>
      </c>
      <c r="G94" s="82">
        <v>130.80000000000001</v>
      </c>
      <c r="H94" s="82">
        <v>133.4</v>
      </c>
      <c r="I94" s="82">
        <v>135.80000000000001</v>
      </c>
      <c r="J94" s="82">
        <v>131.69999999999999</v>
      </c>
      <c r="K94" s="82">
        <v>132.30000000000001</v>
      </c>
      <c r="L94" s="82">
        <v>132.4</v>
      </c>
      <c r="M94" s="82">
        <v>132.4</v>
      </c>
      <c r="N94" s="82">
        <v>134</v>
      </c>
      <c r="O94" s="82">
        <v>133</v>
      </c>
      <c r="P94" s="82">
        <v>130.19999999999999</v>
      </c>
      <c r="Q94" s="82">
        <v>130.19999999999999</v>
      </c>
      <c r="R94" s="82">
        <v>130.19999999999999</v>
      </c>
      <c r="S94" s="82">
        <v>133.1</v>
      </c>
      <c r="T94" s="82">
        <v>132.1</v>
      </c>
      <c r="U94" s="82">
        <v>135.5</v>
      </c>
      <c r="V94" s="82">
        <v>130.6</v>
      </c>
      <c r="W94" s="82">
        <v>132.30000000000001</v>
      </c>
      <c r="X94" s="82">
        <v>133.1</v>
      </c>
      <c r="Y94" s="82">
        <v>131</v>
      </c>
      <c r="Z94" s="82">
        <v>133.4</v>
      </c>
      <c r="AA94" s="82">
        <v>133.80000000000001</v>
      </c>
      <c r="AB94" s="82">
        <v>131.69999999999999</v>
      </c>
      <c r="AC94" s="82">
        <v>131.69999999999999</v>
      </c>
      <c r="AD94" s="82">
        <v>130.5</v>
      </c>
      <c r="AE94" s="82">
        <v>131</v>
      </c>
      <c r="AF94" s="82">
        <v>132</v>
      </c>
      <c r="AG94" s="147"/>
      <c r="AH94" s="54">
        <f t="shared" si="24"/>
        <v>135.80000000000001</v>
      </c>
      <c r="AI94" s="55">
        <f t="shared" si="27"/>
        <v>130.19999999999999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129.1</v>
      </c>
      <c r="C95" s="48">
        <v>131.9</v>
      </c>
      <c r="D95" s="48">
        <v>135.80000000000001</v>
      </c>
      <c r="E95" s="48">
        <v>133.4</v>
      </c>
      <c r="F95" s="48">
        <v>132.6</v>
      </c>
      <c r="G95" s="48">
        <v>128</v>
      </c>
      <c r="H95" s="48">
        <v>130.6</v>
      </c>
      <c r="I95" s="48">
        <v>134.30000000000001</v>
      </c>
      <c r="J95" s="48">
        <v>128.30000000000001</v>
      </c>
      <c r="K95" s="48">
        <v>129.19999999999999</v>
      </c>
      <c r="L95" s="48">
        <v>129.80000000000001</v>
      </c>
      <c r="M95" s="48">
        <v>129.80000000000001</v>
      </c>
      <c r="N95" s="48">
        <v>134</v>
      </c>
      <c r="O95" s="48">
        <v>129</v>
      </c>
      <c r="P95" s="48">
        <v>125.9</v>
      </c>
      <c r="Q95" s="48">
        <v>125.9</v>
      </c>
      <c r="R95" s="48">
        <v>125.9</v>
      </c>
      <c r="S95" s="48">
        <v>130.69999999999999</v>
      </c>
      <c r="T95" s="48">
        <v>131.4</v>
      </c>
      <c r="U95" s="48">
        <v>125.9</v>
      </c>
      <c r="V95" s="48">
        <v>124</v>
      </c>
      <c r="W95" s="48">
        <v>125.4</v>
      </c>
      <c r="X95" s="48">
        <v>17.100000000000001</v>
      </c>
      <c r="Y95" s="48">
        <v>125.3</v>
      </c>
      <c r="Z95" s="48">
        <v>128</v>
      </c>
      <c r="AA95" s="48">
        <v>135.5</v>
      </c>
      <c r="AB95" s="48">
        <v>126</v>
      </c>
      <c r="AC95" s="48">
        <v>126</v>
      </c>
      <c r="AD95" s="48">
        <v>126</v>
      </c>
      <c r="AE95" s="48">
        <v>125</v>
      </c>
      <c r="AF95" s="48">
        <v>125</v>
      </c>
      <c r="AG95" s="146"/>
      <c r="AH95" s="54">
        <f t="shared" si="24"/>
        <v>135.80000000000001</v>
      </c>
      <c r="AI95" s="55">
        <f t="shared" si="27"/>
        <v>17.100000000000001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65.5</v>
      </c>
      <c r="C96" s="83">
        <v>65.8</v>
      </c>
      <c r="D96" s="83">
        <v>65.400000000000006</v>
      </c>
      <c r="E96" s="83">
        <v>65.5</v>
      </c>
      <c r="F96" s="83">
        <v>65.900000000000006</v>
      </c>
      <c r="G96" s="83">
        <v>65.099999999999994</v>
      </c>
      <c r="H96" s="83">
        <v>65.3</v>
      </c>
      <c r="I96" s="83">
        <v>65.2</v>
      </c>
      <c r="J96" s="83">
        <v>64.3</v>
      </c>
      <c r="K96" s="83">
        <v>63.8</v>
      </c>
      <c r="L96" s="83">
        <v>64.900000000000006</v>
      </c>
      <c r="M96" s="83">
        <v>64.900000000000006</v>
      </c>
      <c r="N96" s="83">
        <v>64.900000000000006</v>
      </c>
      <c r="O96" s="83">
        <v>63.6</v>
      </c>
      <c r="P96" s="83">
        <v>63.9</v>
      </c>
      <c r="Q96" s="83">
        <v>63.9</v>
      </c>
      <c r="R96" s="83">
        <v>63.9</v>
      </c>
      <c r="S96" s="83">
        <v>63.9</v>
      </c>
      <c r="T96" s="83">
        <v>63.2</v>
      </c>
      <c r="U96" s="83">
        <v>63.5</v>
      </c>
      <c r="V96" s="83">
        <v>64.3</v>
      </c>
      <c r="W96" s="83">
        <v>64.3</v>
      </c>
      <c r="X96" s="83">
        <v>65.099999999999994</v>
      </c>
      <c r="Y96" s="83">
        <v>64.599999999999994</v>
      </c>
      <c r="Z96" s="83">
        <v>64.900000000000006</v>
      </c>
      <c r="AA96" s="83">
        <v>65.400000000000006</v>
      </c>
      <c r="AB96" s="83">
        <v>65.3</v>
      </c>
      <c r="AC96" s="83">
        <v>65.3</v>
      </c>
      <c r="AD96" s="83">
        <v>64.599999999999994</v>
      </c>
      <c r="AE96" s="83">
        <v>64.5</v>
      </c>
      <c r="AF96" s="83">
        <v>64.8</v>
      </c>
      <c r="AG96" s="148"/>
      <c r="AH96" s="54">
        <f t="shared" si="24"/>
        <v>65.900000000000006</v>
      </c>
      <c r="AI96" s="55">
        <f t="shared" si="27"/>
        <v>63.2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 t="s">
        <v>279</v>
      </c>
      <c r="AB97" s="83"/>
      <c r="AC97" s="83"/>
      <c r="AD97" s="83"/>
      <c r="AE97" s="83"/>
      <c r="AF97" s="83"/>
      <c r="AG97" s="148"/>
      <c r="AH97" s="54">
        <f t="shared" si="24"/>
        <v>0</v>
      </c>
      <c r="AI97" s="55">
        <f t="shared" si="27"/>
        <v>0</v>
      </c>
    </row>
    <row r="98" spans="1:37" ht="15.75" thickBot="1" x14ac:dyDescent="0.3">
      <c r="A98" s="85" t="s">
        <v>73</v>
      </c>
      <c r="B98" s="86">
        <f t="shared" ref="B98" si="40">SUM(B15,B18,B21:B22,B46,B48:B49,B51,B53,B99:B102,B123,B129,B135,B144,B146,B158,B165,B168:B169,B176,B178,B180,B184:B186,B188:B190,B195,B201:B202,B204:B206,B214,B219)</f>
        <v>66</v>
      </c>
      <c r="C98" s="86">
        <f t="shared" ref="C98:AF98" si="41">SUM(C15,C18,C21:C22,C46,C48:C49,C51,C53,C99:C102,C123,C129,C135,C144,C146,C158,C165,C168:C169,C176,C178,C180,C184:C186,C188:C190,C195,C201:C202,C204:C206,C214,C219)</f>
        <v>50.940000000000012</v>
      </c>
      <c r="D98" s="86">
        <f t="shared" si="41"/>
        <v>32.040000000000028</v>
      </c>
      <c r="E98" s="86">
        <f t="shared" si="41"/>
        <v>14.139999999999979</v>
      </c>
      <c r="F98" s="86">
        <f t="shared" si="41"/>
        <v>7.8400000000000105</v>
      </c>
      <c r="G98" s="86">
        <f t="shared" si="41"/>
        <v>26.140000000000011</v>
      </c>
      <c r="H98" s="86">
        <f t="shared" si="41"/>
        <v>59.64</v>
      </c>
      <c r="I98" s="86">
        <f t="shared" si="41"/>
        <v>84.84</v>
      </c>
      <c r="J98" s="86">
        <f t="shared" si="41"/>
        <v>106.03999999999999</v>
      </c>
      <c r="K98" s="86">
        <f t="shared" si="41"/>
        <v>142.44</v>
      </c>
      <c r="L98" s="86">
        <f t="shared" si="41"/>
        <v>163.04</v>
      </c>
      <c r="M98" s="86">
        <f t="shared" si="41"/>
        <v>257.44</v>
      </c>
      <c r="N98" s="86">
        <f t="shared" si="41"/>
        <v>191.44</v>
      </c>
      <c r="O98" s="86">
        <f t="shared" si="41"/>
        <v>248.44</v>
      </c>
      <c r="P98" s="86">
        <f t="shared" si="41"/>
        <v>326.33999999999997</v>
      </c>
      <c r="Q98" s="86">
        <f t="shared" si="41"/>
        <v>309.8</v>
      </c>
      <c r="R98" s="86">
        <f t="shared" si="41"/>
        <v>298.5</v>
      </c>
      <c r="S98" s="86">
        <f t="shared" si="41"/>
        <v>181.7</v>
      </c>
      <c r="T98" s="86">
        <f t="shared" si="41"/>
        <v>172.2</v>
      </c>
      <c r="U98" s="86">
        <f t="shared" si="41"/>
        <v>183.20000000000002</v>
      </c>
      <c r="V98" s="86">
        <f t="shared" si="41"/>
        <v>194.79999999999998</v>
      </c>
      <c r="W98" s="86">
        <f t="shared" si="41"/>
        <v>170.39999999999995</v>
      </c>
      <c r="X98" s="86">
        <f t="shared" si="41"/>
        <v>164.39999999999998</v>
      </c>
      <c r="Y98" s="86">
        <f t="shared" si="41"/>
        <v>190.6</v>
      </c>
      <c r="Z98" s="86">
        <f t="shared" si="41"/>
        <v>222.3</v>
      </c>
      <c r="AA98" s="86">
        <v>305.79708333333338</v>
      </c>
      <c r="AB98" s="86">
        <f t="shared" si="41"/>
        <v>195.2</v>
      </c>
      <c r="AC98" s="86">
        <f t="shared" si="41"/>
        <v>163.5</v>
      </c>
      <c r="AD98" s="86">
        <f t="shared" si="41"/>
        <v>132.1</v>
      </c>
      <c r="AE98" s="86">
        <f t="shared" si="41"/>
        <v>93.1</v>
      </c>
      <c r="AF98" s="86">
        <f t="shared" si="41"/>
        <v>67.599999999999994</v>
      </c>
      <c r="AG98" s="150"/>
      <c r="AH98" s="54">
        <f>MAX(C98:AF98)</f>
        <v>326.33999999999997</v>
      </c>
      <c r="AI98" s="55">
        <f>MIN(C98:AF98)</f>
        <v>7.8400000000000105</v>
      </c>
    </row>
    <row r="99" spans="1:37" x14ac:dyDescent="0.25">
      <c r="A99" s="170" t="s">
        <v>74</v>
      </c>
      <c r="B99" s="87">
        <v>20.6</v>
      </c>
      <c r="C99" s="87">
        <v>15.3</v>
      </c>
      <c r="D99" s="87">
        <v>20.3</v>
      </c>
      <c r="E99" s="87">
        <v>20.6</v>
      </c>
      <c r="F99" s="87">
        <v>15.3</v>
      </c>
      <c r="G99" s="87">
        <v>13.8</v>
      </c>
      <c r="H99" s="87">
        <v>13.9</v>
      </c>
      <c r="I99" s="87">
        <v>13.3</v>
      </c>
      <c r="J99" s="87">
        <v>15</v>
      </c>
      <c r="K99" s="87">
        <v>24.7</v>
      </c>
      <c r="L99" s="87">
        <v>26.9</v>
      </c>
      <c r="M99" s="87">
        <v>25</v>
      </c>
      <c r="N99" s="87">
        <v>29</v>
      </c>
      <c r="O99" s="87">
        <v>22</v>
      </c>
      <c r="P99" s="87">
        <v>27.9</v>
      </c>
      <c r="Q99" s="87">
        <v>13.3</v>
      </c>
      <c r="R99" s="87">
        <v>23</v>
      </c>
      <c r="S99" s="87">
        <v>30.7</v>
      </c>
      <c r="T99" s="87">
        <v>36.299999999999997</v>
      </c>
      <c r="U99" s="87">
        <v>34.799999999999997</v>
      </c>
      <c r="V99" s="87">
        <v>31.8</v>
      </c>
      <c r="W99" s="87">
        <v>33.5</v>
      </c>
      <c r="X99" s="87">
        <v>36.299999999999997</v>
      </c>
      <c r="Y99" s="87">
        <v>34.4</v>
      </c>
      <c r="Z99" s="87">
        <v>28.8</v>
      </c>
      <c r="AA99" s="87">
        <v>26.2</v>
      </c>
      <c r="AB99" s="87">
        <v>29</v>
      </c>
      <c r="AC99" s="87">
        <v>35</v>
      </c>
      <c r="AD99" s="87">
        <v>38</v>
      </c>
      <c r="AE99" s="87">
        <v>33</v>
      </c>
      <c r="AF99" s="87">
        <v>22.5</v>
      </c>
      <c r="AG99" s="151">
        <v>75</v>
      </c>
      <c r="AH99" s="54">
        <f t="shared" ref="AH99:AH105" si="42">IF(ABS(MAX(C99:AF99))&gt;ABS(MIN(C99:AF99)),MAX(C99:AF99),MIN(C99:AF99))</f>
        <v>38</v>
      </c>
      <c r="AI99" s="89">
        <f t="shared" ref="AI99:AI105" si="43">INDEX($C$9:$AF$9,1,MATCH(AH99,C99:AF99,0))</f>
        <v>0.875</v>
      </c>
    </row>
    <row r="100" spans="1:37" x14ac:dyDescent="0.25">
      <c r="A100" s="163" t="s">
        <v>75</v>
      </c>
      <c r="B100" s="90">
        <v>-134.6</v>
      </c>
      <c r="C100" s="90">
        <v>-153</v>
      </c>
      <c r="D100" s="90">
        <v>-154.6</v>
      </c>
      <c r="E100" s="90">
        <v>-158</v>
      </c>
      <c r="F100" s="90">
        <v>-150</v>
      </c>
      <c r="G100" s="90">
        <v>-134</v>
      </c>
      <c r="H100" s="90">
        <v>-104</v>
      </c>
      <c r="I100" s="90">
        <v>-85</v>
      </c>
      <c r="J100" s="90">
        <v>-76</v>
      </c>
      <c r="K100" s="90">
        <v>-70</v>
      </c>
      <c r="L100" s="90">
        <v>-78</v>
      </c>
      <c r="M100" s="90"/>
      <c r="N100" s="90">
        <v>-62</v>
      </c>
      <c r="O100" s="90"/>
      <c r="P100" s="90"/>
      <c r="Q100" s="90"/>
      <c r="R100" s="90"/>
      <c r="S100" s="90">
        <f>-56.2-58.5+4.6+1</f>
        <v>-109.10000000000001</v>
      </c>
      <c r="T100" s="90">
        <v>-75.2</v>
      </c>
      <c r="U100" s="90">
        <v>-66</v>
      </c>
      <c r="V100" s="90">
        <v>-69.2</v>
      </c>
      <c r="W100" s="90">
        <v>-71.5</v>
      </c>
      <c r="X100" s="90">
        <v>-76</v>
      </c>
      <c r="Y100" s="90">
        <v>-50.5</v>
      </c>
      <c r="Z100" s="90">
        <v>-50.2</v>
      </c>
      <c r="AA100" s="90">
        <v>-58.9</v>
      </c>
      <c r="AB100" s="90">
        <v>-97</v>
      </c>
      <c r="AC100" s="90">
        <v>-90</v>
      </c>
      <c r="AD100" s="90">
        <v>-82</v>
      </c>
      <c r="AE100" s="90">
        <v>-120</v>
      </c>
      <c r="AF100" s="90">
        <v>-160</v>
      </c>
      <c r="AG100" s="151">
        <v>240</v>
      </c>
      <c r="AH100" s="54">
        <f t="shared" si="42"/>
        <v>-160</v>
      </c>
      <c r="AI100" s="89">
        <f t="shared" si="43"/>
        <v>0.95833333333333304</v>
      </c>
    </row>
    <row r="101" spans="1:37" x14ac:dyDescent="0.25">
      <c r="A101" s="163" t="s">
        <v>76</v>
      </c>
      <c r="B101" s="90">
        <v>-1.5</v>
      </c>
      <c r="C101" s="90">
        <v>-3.8</v>
      </c>
      <c r="D101" s="90">
        <v>-6.4</v>
      </c>
      <c r="E101" s="90">
        <v>-11.2</v>
      </c>
      <c r="F101" s="90">
        <v>-11.9</v>
      </c>
      <c r="G101" s="90">
        <v>-8.1</v>
      </c>
      <c r="H101" s="90">
        <v>-4.7</v>
      </c>
      <c r="I101" s="90">
        <v>2.1</v>
      </c>
      <c r="J101" s="90">
        <v>5</v>
      </c>
      <c r="K101" s="90">
        <v>10.3</v>
      </c>
      <c r="L101" s="90">
        <v>21.7</v>
      </c>
      <c r="M101" s="90">
        <v>32</v>
      </c>
      <c r="N101" s="90">
        <v>24</v>
      </c>
      <c r="O101" s="90">
        <v>26</v>
      </c>
      <c r="P101" s="90">
        <v>29</v>
      </c>
      <c r="Q101" s="90">
        <v>23</v>
      </c>
      <c r="R101" s="90">
        <v>11</v>
      </c>
      <c r="S101" s="90">
        <v>18.3</v>
      </c>
      <c r="T101" s="90">
        <v>11.3</v>
      </c>
      <c r="U101" s="90">
        <v>14.4</v>
      </c>
      <c r="V101" s="90">
        <v>32.4</v>
      </c>
      <c r="W101" s="90">
        <v>12.7</v>
      </c>
      <c r="X101" s="90">
        <v>12.3</v>
      </c>
      <c r="Y101" s="90">
        <v>14.9</v>
      </c>
      <c r="Z101" s="90">
        <v>52.2</v>
      </c>
      <c r="AA101" s="90">
        <v>49.2</v>
      </c>
      <c r="AB101" s="90">
        <v>39.700000000000003</v>
      </c>
      <c r="AC101" s="90">
        <v>12</v>
      </c>
      <c r="AD101" s="90">
        <v>45</v>
      </c>
      <c r="AE101" s="90">
        <v>19</v>
      </c>
      <c r="AF101" s="90">
        <v>14</v>
      </c>
      <c r="AG101" s="151">
        <v>60</v>
      </c>
      <c r="AH101" s="54">
        <f t="shared" si="42"/>
        <v>52.2</v>
      </c>
      <c r="AI101" s="89">
        <f t="shared" si="43"/>
        <v>0.79166666666666663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0</v>
      </c>
      <c r="M102" s="91">
        <v>0</v>
      </c>
      <c r="N102" s="91">
        <v>0</v>
      </c>
      <c r="O102" s="91">
        <v>0</v>
      </c>
      <c r="P102" s="91">
        <v>69</v>
      </c>
      <c r="Q102" s="91">
        <v>74</v>
      </c>
      <c r="R102" s="91">
        <v>65</v>
      </c>
      <c r="S102" s="91">
        <v>42.3</v>
      </c>
      <c r="T102" s="91">
        <v>0</v>
      </c>
      <c r="U102" s="91">
        <v>0</v>
      </c>
      <c r="V102" s="91">
        <v>0</v>
      </c>
      <c r="W102" s="91">
        <v>0</v>
      </c>
      <c r="X102" s="91">
        <v>0</v>
      </c>
      <c r="Y102" s="91">
        <v>0</v>
      </c>
      <c r="Z102" s="91">
        <v>0</v>
      </c>
      <c r="AA102" s="91">
        <v>47.7</v>
      </c>
      <c r="AB102" s="91">
        <v>32</v>
      </c>
      <c r="AC102" s="91">
        <v>15</v>
      </c>
      <c r="AD102" s="91">
        <v>0</v>
      </c>
      <c r="AE102" s="91">
        <v>0</v>
      </c>
      <c r="AF102" s="91">
        <v>0</v>
      </c>
      <c r="AG102" s="152">
        <v>120</v>
      </c>
      <c r="AH102" s="54">
        <f t="shared" si="42"/>
        <v>74</v>
      </c>
      <c r="AI102" s="89">
        <f t="shared" si="43"/>
        <v>0.5</v>
      </c>
    </row>
    <row r="103" spans="1:37" x14ac:dyDescent="0.25">
      <c r="A103" s="164" t="s">
        <v>78</v>
      </c>
      <c r="B103" s="91">
        <v>52.5</v>
      </c>
      <c r="C103" s="91">
        <v>36.799999999999997</v>
      </c>
      <c r="D103" s="91">
        <v>34.6</v>
      </c>
      <c r="E103" s="91">
        <v>21.8</v>
      </c>
      <c r="F103" s="91">
        <v>24</v>
      </c>
      <c r="G103" s="91">
        <v>461</v>
      </c>
      <c r="H103" s="91">
        <v>56</v>
      </c>
      <c r="I103" s="91">
        <v>20</v>
      </c>
      <c r="J103" s="91">
        <v>75</v>
      </c>
      <c r="K103" s="91">
        <v>64</v>
      </c>
      <c r="L103" s="91">
        <v>62</v>
      </c>
      <c r="M103" s="91">
        <v>77</v>
      </c>
      <c r="N103" s="91">
        <v>74</v>
      </c>
      <c r="O103" s="91">
        <v>59</v>
      </c>
      <c r="P103" s="91">
        <v>70</v>
      </c>
      <c r="Q103" s="91">
        <v>72</v>
      </c>
      <c r="R103" s="91">
        <v>61</v>
      </c>
      <c r="S103" s="91">
        <v>47.5</v>
      </c>
      <c r="T103" s="91">
        <v>74.599999999999994</v>
      </c>
      <c r="U103" s="91">
        <v>83.7</v>
      </c>
      <c r="V103" s="91">
        <v>74.599999999999994</v>
      </c>
      <c r="W103" s="91">
        <v>64</v>
      </c>
      <c r="X103" s="91">
        <v>50.4</v>
      </c>
      <c r="Y103" s="91">
        <v>81.5</v>
      </c>
      <c r="Z103" s="91">
        <v>71</v>
      </c>
      <c r="AA103" s="91">
        <v>67.599999999999994</v>
      </c>
      <c r="AB103" s="91">
        <v>55</v>
      </c>
      <c r="AC103" s="91">
        <v>58</v>
      </c>
      <c r="AD103" s="91">
        <v>61</v>
      </c>
      <c r="AE103" s="91">
        <v>56</v>
      </c>
      <c r="AF103" s="91">
        <v>38</v>
      </c>
      <c r="AG103" s="152"/>
      <c r="AH103" s="54">
        <f t="shared" si="42"/>
        <v>461</v>
      </c>
      <c r="AI103" s="89">
        <f t="shared" si="43"/>
        <v>0.20833333333333301</v>
      </c>
    </row>
    <row r="104" spans="1:37" x14ac:dyDescent="0.25">
      <c r="A104" s="164" t="s">
        <v>105</v>
      </c>
      <c r="B104" s="91">
        <v>46.3</v>
      </c>
      <c r="C104" s="91">
        <v>39.4</v>
      </c>
      <c r="D104" s="91">
        <v>35.799999999999997</v>
      </c>
      <c r="E104" s="91">
        <v>20.3</v>
      </c>
      <c r="F104" s="91">
        <v>20.7</v>
      </c>
      <c r="G104" s="91">
        <v>43.5</v>
      </c>
      <c r="H104" s="91">
        <v>52</v>
      </c>
      <c r="I104" s="91">
        <v>48</v>
      </c>
      <c r="J104" s="91">
        <v>56</v>
      </c>
      <c r="K104" s="91">
        <v>26</v>
      </c>
      <c r="L104" s="91">
        <v>34</v>
      </c>
      <c r="M104" s="91">
        <v>24</v>
      </c>
      <c r="N104" s="91">
        <v>19</v>
      </c>
      <c r="O104" s="91">
        <v>39</v>
      </c>
      <c r="P104" s="91">
        <v>63.9</v>
      </c>
      <c r="Q104" s="91">
        <v>63</v>
      </c>
      <c r="R104" s="91">
        <v>32</v>
      </c>
      <c r="S104" s="91">
        <v>0</v>
      </c>
      <c r="T104" s="91">
        <v>-4.9000000000000004</v>
      </c>
      <c r="U104" s="91">
        <v>1.3</v>
      </c>
      <c r="V104" s="91">
        <v>19.3</v>
      </c>
      <c r="W104" s="91">
        <v>4.7</v>
      </c>
      <c r="X104" s="91">
        <v>-2.2999999999999998</v>
      </c>
      <c r="Y104" s="91">
        <v>15.6</v>
      </c>
      <c r="Z104" s="91">
        <v>32</v>
      </c>
      <c r="AA104" s="91">
        <v>27</v>
      </c>
      <c r="AB104" s="91">
        <v>14</v>
      </c>
      <c r="AC104" s="91">
        <v>12</v>
      </c>
      <c r="AD104" s="91">
        <v>6</v>
      </c>
      <c r="AE104" s="91">
        <v>1.6</v>
      </c>
      <c r="AF104" s="91">
        <v>25</v>
      </c>
      <c r="AG104" s="153"/>
      <c r="AH104" s="54">
        <f t="shared" si="42"/>
        <v>63.9</v>
      </c>
      <c r="AI104" s="89">
        <f t="shared" si="43"/>
        <v>0.45833333333333298</v>
      </c>
    </row>
    <row r="105" spans="1:37" ht="15.75" thickBot="1" x14ac:dyDescent="0.3">
      <c r="A105" s="171" t="s">
        <v>106</v>
      </c>
      <c r="B105" s="82">
        <v>94.9</v>
      </c>
      <c r="C105" s="82">
        <v>98.9</v>
      </c>
      <c r="D105" s="82">
        <v>101.2</v>
      </c>
      <c r="E105" s="82">
        <v>84.6</v>
      </c>
      <c r="F105" s="82">
        <v>103</v>
      </c>
      <c r="G105" s="82">
        <v>108</v>
      </c>
      <c r="H105" s="82">
        <v>110</v>
      </c>
      <c r="I105" s="82">
        <v>107</v>
      </c>
      <c r="J105" s="82">
        <v>105</v>
      </c>
      <c r="K105" s="82">
        <v>98</v>
      </c>
      <c r="L105" s="82">
        <v>95</v>
      </c>
      <c r="M105" s="82">
        <v>94</v>
      </c>
      <c r="N105" s="82">
        <v>68</v>
      </c>
      <c r="O105" s="82"/>
      <c r="P105" s="82"/>
      <c r="Q105" s="82"/>
      <c r="R105" s="82"/>
      <c r="S105" s="82"/>
      <c r="T105" s="82">
        <v>90</v>
      </c>
      <c r="U105" s="82"/>
      <c r="V105" s="82"/>
      <c r="W105" s="82"/>
      <c r="X105" s="82"/>
      <c r="Y105" s="82">
        <v>85.4</v>
      </c>
      <c r="Z105" s="82"/>
      <c r="AA105" s="82">
        <v>40</v>
      </c>
      <c r="AB105" s="82"/>
      <c r="AC105" s="82"/>
      <c r="AD105" s="82"/>
      <c r="AE105" s="82"/>
      <c r="AF105" s="82"/>
      <c r="AG105" s="153"/>
      <c r="AH105" s="54">
        <f t="shared" si="42"/>
        <v>110</v>
      </c>
      <c r="AI105" s="89">
        <f t="shared" si="43"/>
        <v>0.22916666666666666</v>
      </c>
    </row>
    <row r="106" spans="1:37" ht="15.75" thickBot="1" x14ac:dyDescent="0.3">
      <c r="A106" s="92" t="s">
        <v>79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154"/>
      <c r="AH106" s="94"/>
      <c r="AI106" s="55"/>
      <c r="AK106" s="56"/>
    </row>
    <row r="107" spans="1:37" x14ac:dyDescent="0.25">
      <c r="A107" s="162" t="s">
        <v>133</v>
      </c>
      <c r="B107" s="95"/>
      <c r="C107" s="53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6">
        <v>9.94</v>
      </c>
      <c r="AH107" s="54"/>
      <c r="AI107" s="55"/>
      <c r="AK107" s="56"/>
    </row>
    <row r="108" spans="1:37" x14ac:dyDescent="0.25">
      <c r="A108" s="163" t="s">
        <v>134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/>
      <c r="AH108" s="54"/>
      <c r="AI108" s="55"/>
      <c r="AK108" s="56"/>
    </row>
    <row r="109" spans="1:37" x14ac:dyDescent="0.25">
      <c r="A109" s="163" t="s">
        <v>135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136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137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138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139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140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141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142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143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144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145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146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147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148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149</v>
      </c>
      <c r="B123" s="97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9">
        <v>9.9</v>
      </c>
      <c r="AH123" s="54"/>
      <c r="AI123" s="55"/>
      <c r="AK123" s="56"/>
    </row>
    <row r="124" spans="1:37" x14ac:dyDescent="0.25">
      <c r="A124" s="164" t="s">
        <v>80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100">
        <v>9.6579999999999995</v>
      </c>
      <c r="AH124" s="54"/>
      <c r="AI124" s="55"/>
      <c r="AK124" s="56"/>
    </row>
    <row r="125" spans="1:37" x14ac:dyDescent="0.25">
      <c r="A125" s="164" t="s">
        <v>150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</v>
      </c>
      <c r="AH125" s="54"/>
      <c r="AI125" s="55"/>
      <c r="AK125" s="56"/>
    </row>
    <row r="126" spans="1:37" x14ac:dyDescent="0.25">
      <c r="A126" s="164" t="s">
        <v>151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9.51</v>
      </c>
      <c r="AH126" s="54"/>
      <c r="AI126" s="55"/>
      <c r="AK126" s="56"/>
    </row>
    <row r="127" spans="1:37" x14ac:dyDescent="0.25">
      <c r="A127" s="164" t="s">
        <v>152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9.4</v>
      </c>
      <c r="AH127" s="54"/>
      <c r="AI127" s="55"/>
      <c r="AK127" s="56"/>
    </row>
    <row r="128" spans="1:37" x14ac:dyDescent="0.25">
      <c r="A128" s="164" t="s">
        <v>153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8.8000000000000007</v>
      </c>
      <c r="AH128" s="54"/>
      <c r="AI128" s="55"/>
      <c r="AK128" s="56"/>
    </row>
    <row r="129" spans="1:37" x14ac:dyDescent="0.25">
      <c r="A129" s="164" t="s">
        <v>154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8.5</v>
      </c>
      <c r="AH129" s="54"/>
      <c r="AI129" s="55"/>
      <c r="AK129" s="56"/>
    </row>
    <row r="130" spans="1:37" x14ac:dyDescent="0.25">
      <c r="A130" s="164" t="s">
        <v>155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156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8.4</v>
      </c>
      <c r="AH131" s="54"/>
      <c r="AI131" s="55"/>
      <c r="AK131" s="56"/>
    </row>
    <row r="132" spans="1:37" ht="13.5" customHeight="1" x14ac:dyDescent="0.25">
      <c r="A132" s="164" t="s">
        <v>157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</v>
      </c>
      <c r="AH132" s="54"/>
      <c r="AI132" s="55"/>
      <c r="AK132" s="56"/>
    </row>
    <row r="133" spans="1:37" x14ac:dyDescent="0.25">
      <c r="A133" s="164" t="s">
        <v>158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159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160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7.8</v>
      </c>
      <c r="AH135" s="54"/>
      <c r="AI135" s="55"/>
      <c r="AK135" s="56"/>
    </row>
    <row r="136" spans="1:37" x14ac:dyDescent="0.25">
      <c r="A136" s="164" t="s">
        <v>161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7.6</v>
      </c>
      <c r="AH136" s="54"/>
      <c r="AI136" s="55"/>
      <c r="AK136" s="56"/>
    </row>
    <row r="137" spans="1:37" x14ac:dyDescent="0.25">
      <c r="A137" s="164" t="s">
        <v>162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7.5</v>
      </c>
      <c r="AH137" s="54"/>
      <c r="AI137" s="55"/>
      <c r="AK137" s="56"/>
    </row>
    <row r="138" spans="1:37" x14ac:dyDescent="0.25">
      <c r="A138" s="164" t="s">
        <v>163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164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</v>
      </c>
      <c r="AH139" s="54"/>
      <c r="AI139" s="55"/>
      <c r="AK139" s="56"/>
    </row>
    <row r="140" spans="1:37" x14ac:dyDescent="0.25">
      <c r="A140" s="164" t="s">
        <v>165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166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167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168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6.6</v>
      </c>
      <c r="AH143" s="54"/>
      <c r="AI143" s="55"/>
      <c r="AK143" s="56"/>
    </row>
    <row r="144" spans="1:37" x14ac:dyDescent="0.25">
      <c r="A144" s="164" t="s">
        <v>169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170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6.4</v>
      </c>
      <c r="AH145" s="54"/>
      <c r="AI145" s="55"/>
      <c r="AK145" s="56"/>
    </row>
    <row r="146" spans="1:37" x14ac:dyDescent="0.25">
      <c r="A146" s="164" t="s">
        <v>171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</v>
      </c>
      <c r="AH146" s="54"/>
      <c r="AI146" s="55"/>
      <c r="AK146" s="56"/>
    </row>
    <row r="147" spans="1:37" x14ac:dyDescent="0.25">
      <c r="A147" s="164" t="s">
        <v>172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5.0999999999999996</v>
      </c>
      <c r="AH147" s="54"/>
      <c r="AI147" s="55"/>
      <c r="AK147" s="56"/>
    </row>
    <row r="148" spans="1:37" x14ac:dyDescent="0.25">
      <c r="A148" s="164" t="s">
        <v>173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</v>
      </c>
      <c r="AH148" s="54"/>
      <c r="AI148" s="55"/>
      <c r="AK148" s="56"/>
    </row>
    <row r="149" spans="1:37" x14ac:dyDescent="0.25">
      <c r="A149" s="163" t="s">
        <v>174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9">
        <v>5</v>
      </c>
      <c r="AH149" s="54"/>
      <c r="AI149" s="55"/>
      <c r="AK149" s="56"/>
    </row>
    <row r="150" spans="1:37" x14ac:dyDescent="0.25">
      <c r="A150" s="164" t="s">
        <v>175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100">
        <v>5</v>
      </c>
      <c r="AH150" s="54"/>
      <c r="AI150" s="55"/>
      <c r="AK150" s="56"/>
    </row>
    <row r="151" spans="1:37" x14ac:dyDescent="0.25">
      <c r="A151" s="164" t="s">
        <v>176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177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178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179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180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4.9930000000000003</v>
      </c>
      <c r="AH155" s="54"/>
      <c r="AI155" s="55"/>
      <c r="AK155" s="56"/>
    </row>
    <row r="156" spans="1:37" x14ac:dyDescent="0.25">
      <c r="A156" s="164" t="s">
        <v>181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4.9800000000000004</v>
      </c>
      <c r="AH156" s="54"/>
      <c r="AI156" s="55"/>
      <c r="AK156" s="56"/>
    </row>
    <row r="157" spans="1:37" x14ac:dyDescent="0.25">
      <c r="A157" s="164" t="s">
        <v>182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4.95</v>
      </c>
      <c r="AH157" s="54"/>
      <c r="AI157" s="55"/>
      <c r="AK157" s="56"/>
    </row>
    <row r="158" spans="1:37" x14ac:dyDescent="0.25">
      <c r="A158" s="164" t="s">
        <v>81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183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4.8</v>
      </c>
      <c r="AH159" s="54"/>
      <c r="AI159" s="55"/>
      <c r="AK159" s="56"/>
    </row>
    <row r="160" spans="1:37" x14ac:dyDescent="0.25">
      <c r="A160" s="164" t="s">
        <v>184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185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186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4.5</v>
      </c>
      <c r="AH162" s="54"/>
      <c r="AI162" s="55"/>
      <c r="AK162" s="56"/>
    </row>
    <row r="163" spans="1:37" x14ac:dyDescent="0.25">
      <c r="A163" s="164" t="s">
        <v>187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188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4.4550000000000001</v>
      </c>
      <c r="AH164" s="54"/>
      <c r="AI164" s="55"/>
      <c r="AK164" s="56"/>
    </row>
    <row r="165" spans="1:37" x14ac:dyDescent="0.25">
      <c r="A165" s="164" t="s">
        <v>189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4.41</v>
      </c>
      <c r="AH165" s="54"/>
      <c r="AI165" s="55"/>
      <c r="AK165" s="56"/>
    </row>
    <row r="166" spans="1:37" x14ac:dyDescent="0.25">
      <c r="A166" s="164" t="s">
        <v>190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4.4000000000000004</v>
      </c>
      <c r="AH166" s="54"/>
      <c r="AI166" s="55"/>
      <c r="AK166" s="56"/>
    </row>
    <row r="167" spans="1:37" x14ac:dyDescent="0.25">
      <c r="A167" s="164" t="s">
        <v>191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4.3600000000000003</v>
      </c>
      <c r="AH167" s="54"/>
      <c r="AI167" s="55"/>
      <c r="AK167" s="56"/>
    </row>
    <row r="168" spans="1:37" x14ac:dyDescent="0.25">
      <c r="A168" s="164" t="s">
        <v>192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4.2</v>
      </c>
      <c r="AH168" s="54"/>
      <c r="AI168" s="55"/>
      <c r="AK168" s="56"/>
    </row>
    <row r="169" spans="1:37" x14ac:dyDescent="0.25">
      <c r="A169" s="164" t="s">
        <v>193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</v>
      </c>
      <c r="AH169" s="54"/>
      <c r="AI169" s="55"/>
      <c r="AK169" s="56"/>
    </row>
    <row r="170" spans="1:37" x14ac:dyDescent="0.25">
      <c r="A170" s="164" t="s">
        <v>194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195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196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197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198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199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200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201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3.75</v>
      </c>
      <c r="AH177" s="54"/>
      <c r="AI177" s="55"/>
      <c r="AK177" s="56"/>
    </row>
    <row r="178" spans="1:37" x14ac:dyDescent="0.25">
      <c r="A178" s="164" t="s">
        <v>202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3.52</v>
      </c>
      <c r="AH178" s="54"/>
      <c r="AI178" s="55"/>
      <c r="AK178" s="56"/>
    </row>
    <row r="179" spans="1:37" x14ac:dyDescent="0.25">
      <c r="A179" s="164" t="s">
        <v>203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3.33</v>
      </c>
      <c r="AH179" s="54"/>
      <c r="AI179" s="55"/>
      <c r="AK179" s="56"/>
    </row>
    <row r="180" spans="1:37" x14ac:dyDescent="0.25">
      <c r="A180" s="164" t="s">
        <v>204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3.2</v>
      </c>
      <c r="AH180" s="54"/>
      <c r="AI180" s="55"/>
      <c r="AK180" s="56"/>
    </row>
    <row r="181" spans="1:37" x14ac:dyDescent="0.25">
      <c r="A181" s="164" t="s">
        <v>205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</v>
      </c>
      <c r="AH181" s="54"/>
      <c r="AI181" s="55"/>
      <c r="AK181" s="56"/>
    </row>
    <row r="182" spans="1:37" x14ac:dyDescent="0.25">
      <c r="A182" s="164" t="s">
        <v>206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207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208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209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210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211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212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213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2.83</v>
      </c>
      <c r="AH189" s="54"/>
      <c r="AI189" s="55"/>
      <c r="AK189" s="56"/>
    </row>
    <row r="190" spans="1:37" x14ac:dyDescent="0.25">
      <c r="A190" s="164" t="s">
        <v>214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2.5</v>
      </c>
      <c r="AH190" s="54"/>
      <c r="AI190" s="55"/>
      <c r="AK190" s="56"/>
    </row>
    <row r="191" spans="1:37" x14ac:dyDescent="0.25">
      <c r="A191" s="164" t="s">
        <v>215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216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2.4</v>
      </c>
      <c r="AH192" s="54"/>
      <c r="AI192" s="55"/>
      <c r="AK192" s="56"/>
    </row>
    <row r="193" spans="1:37" x14ac:dyDescent="0.25">
      <c r="A193" s="164" t="s">
        <v>217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218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2.2000000000000002</v>
      </c>
      <c r="AH194" s="54"/>
      <c r="AI194" s="55"/>
      <c r="AK194" s="56"/>
    </row>
    <row r="195" spans="1:37" x14ac:dyDescent="0.25">
      <c r="A195" s="164" t="s">
        <v>219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</v>
      </c>
      <c r="AH195" s="54"/>
      <c r="AI195" s="55"/>
      <c r="AK195" s="56"/>
    </row>
    <row r="196" spans="1:37" x14ac:dyDescent="0.25">
      <c r="A196" s="164" t="s">
        <v>220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221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222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1.8</v>
      </c>
      <c r="AH198" s="54"/>
      <c r="AI198" s="55"/>
      <c r="AK198" s="56"/>
    </row>
    <row r="199" spans="1:37" x14ac:dyDescent="0.25">
      <c r="A199" s="164" t="s">
        <v>223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224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1.65</v>
      </c>
      <c r="AH200" s="54"/>
      <c r="AI200" s="55"/>
      <c r="AK200" s="56"/>
    </row>
    <row r="201" spans="1:37" x14ac:dyDescent="0.25">
      <c r="A201" s="164" t="s">
        <v>225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1.5</v>
      </c>
      <c r="AH201" s="54"/>
      <c r="AI201" s="55"/>
      <c r="AK201" s="56"/>
    </row>
    <row r="202" spans="1:37" x14ac:dyDescent="0.25">
      <c r="A202" s="164" t="s">
        <v>226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0.998</v>
      </c>
      <c r="AH202" s="54"/>
      <c r="AI202" s="55"/>
      <c r="AK202" s="56"/>
    </row>
    <row r="203" spans="1:37" x14ac:dyDescent="0.25">
      <c r="A203" s="164" t="s">
        <v>227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0.997</v>
      </c>
      <c r="AH203" s="54"/>
      <c r="AI203" s="55"/>
      <c r="AK203" s="56"/>
    </row>
    <row r="204" spans="1:37" x14ac:dyDescent="0.25">
      <c r="A204" s="164" t="s">
        <v>228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229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0.996</v>
      </c>
      <c r="AH205" s="54"/>
      <c r="AI205" s="55"/>
      <c r="AK205" s="56"/>
    </row>
    <row r="206" spans="1:37" x14ac:dyDescent="0.25">
      <c r="A206" s="164" t="s">
        <v>230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231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232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0.995</v>
      </c>
      <c r="AH208" s="54"/>
      <c r="AI208" s="55"/>
      <c r="AK208" s="56"/>
    </row>
    <row r="209" spans="1:37" x14ac:dyDescent="0.25">
      <c r="A209" s="164" t="s">
        <v>233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0.99299999999999999</v>
      </c>
      <c r="AH209" s="54"/>
      <c r="AI209" s="55"/>
      <c r="AK209" s="56"/>
    </row>
    <row r="210" spans="1:37" x14ac:dyDescent="0.25">
      <c r="A210" s="164" t="s">
        <v>234</v>
      </c>
      <c r="B210" s="97"/>
      <c r="C210" s="53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</v>
      </c>
      <c r="AH210" s="54"/>
      <c r="AI210" s="55"/>
      <c r="AK210" s="56"/>
    </row>
    <row r="211" spans="1:37" ht="15.75" thickBot="1" x14ac:dyDescent="0.3">
      <c r="A211" s="164" t="s">
        <v>235</v>
      </c>
      <c r="B211" s="102"/>
      <c r="C211" s="166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0">
        <v>0.97899999999999998</v>
      </c>
      <c r="AH211" s="54"/>
      <c r="AI211" s="55"/>
      <c r="AK211" s="56"/>
    </row>
    <row r="212" spans="1:37" ht="15.75" thickBot="1" x14ac:dyDescent="0.3">
      <c r="A212" s="165" t="s">
        <v>82</v>
      </c>
      <c r="B212" s="167">
        <f>SUM(B107:B211)</f>
        <v>0</v>
      </c>
      <c r="C212" s="103">
        <f t="shared" ref="C212:AG212" si="44">SUM(C107:C211)</f>
        <v>0</v>
      </c>
      <c r="D212" s="103">
        <f t="shared" si="44"/>
        <v>0</v>
      </c>
      <c r="E212" s="103">
        <f t="shared" si="44"/>
        <v>0</v>
      </c>
      <c r="F212" s="103">
        <f t="shared" si="44"/>
        <v>0</v>
      </c>
      <c r="G212" s="103">
        <f t="shared" si="44"/>
        <v>0</v>
      </c>
      <c r="H212" s="103">
        <f t="shared" si="44"/>
        <v>0</v>
      </c>
      <c r="I212" s="103">
        <f t="shared" si="44"/>
        <v>0</v>
      </c>
      <c r="J212" s="103">
        <f t="shared" si="44"/>
        <v>0</v>
      </c>
      <c r="K212" s="103">
        <f t="shared" si="44"/>
        <v>0</v>
      </c>
      <c r="L212" s="103">
        <f t="shared" si="44"/>
        <v>0</v>
      </c>
      <c r="M212" s="103">
        <f t="shared" si="44"/>
        <v>0</v>
      </c>
      <c r="N212" s="103">
        <f t="shared" si="44"/>
        <v>0</v>
      </c>
      <c r="O212" s="103">
        <f t="shared" si="44"/>
        <v>0</v>
      </c>
      <c r="P212" s="103">
        <f t="shared" si="44"/>
        <v>0</v>
      </c>
      <c r="Q212" s="103">
        <f t="shared" si="44"/>
        <v>0</v>
      </c>
      <c r="R212" s="103">
        <f t="shared" si="44"/>
        <v>0</v>
      </c>
      <c r="S212" s="103">
        <f t="shared" si="44"/>
        <v>0</v>
      </c>
      <c r="T212" s="103">
        <f t="shared" si="44"/>
        <v>0</v>
      </c>
      <c r="U212" s="103">
        <f t="shared" si="44"/>
        <v>0</v>
      </c>
      <c r="V212" s="103">
        <f t="shared" si="44"/>
        <v>0</v>
      </c>
      <c r="W212" s="103">
        <f t="shared" si="44"/>
        <v>0</v>
      </c>
      <c r="X212" s="103">
        <f t="shared" si="44"/>
        <v>0</v>
      </c>
      <c r="Y212" s="103">
        <f t="shared" si="44"/>
        <v>0</v>
      </c>
      <c r="Z212" s="103">
        <f t="shared" si="44"/>
        <v>0</v>
      </c>
      <c r="AA212" s="103">
        <f t="shared" si="44"/>
        <v>0</v>
      </c>
      <c r="AB212" s="103">
        <f t="shared" si="44"/>
        <v>0</v>
      </c>
      <c r="AC212" s="103">
        <f t="shared" si="44"/>
        <v>0</v>
      </c>
      <c r="AD212" s="103">
        <f t="shared" si="44"/>
        <v>0</v>
      </c>
      <c r="AE212" s="103">
        <f t="shared" si="44"/>
        <v>0</v>
      </c>
      <c r="AF212" s="168">
        <f t="shared" si="44"/>
        <v>0</v>
      </c>
      <c r="AG212" s="169">
        <f t="shared" si="44"/>
        <v>412.72299999999984</v>
      </c>
      <c r="AH212" s="54"/>
      <c r="AI212" s="55"/>
      <c r="AK212" s="56"/>
    </row>
    <row r="213" spans="1:37" ht="15.75" thickBot="1" x14ac:dyDescent="0.3">
      <c r="A213" s="28" t="s">
        <v>35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149"/>
      <c r="AH213" s="54"/>
      <c r="AI213" s="55"/>
      <c r="AK213" s="56"/>
    </row>
    <row r="214" spans="1:37" x14ac:dyDescent="0.25">
      <c r="A214" s="170" t="s">
        <v>83</v>
      </c>
      <c r="B214" s="101">
        <f t="shared" ref="B214:B219" si="45">AF214</f>
        <v>0</v>
      </c>
      <c r="C214" s="101">
        <v>0.3</v>
      </c>
      <c r="D214" s="101">
        <f t="shared" ref="D214:P219" si="46">C214</f>
        <v>0.3</v>
      </c>
      <c r="E214" s="101">
        <f t="shared" si="46"/>
        <v>0.3</v>
      </c>
      <c r="F214" s="101">
        <f t="shared" si="46"/>
        <v>0.3</v>
      </c>
      <c r="G214" s="101">
        <f t="shared" si="46"/>
        <v>0.3</v>
      </c>
      <c r="H214" s="101">
        <f t="shared" si="46"/>
        <v>0.3</v>
      </c>
      <c r="I214" s="101">
        <f t="shared" si="46"/>
        <v>0.3</v>
      </c>
      <c r="J214" s="101">
        <f t="shared" si="46"/>
        <v>0.3</v>
      </c>
      <c r="K214" s="101">
        <f t="shared" si="46"/>
        <v>0.3</v>
      </c>
      <c r="L214" s="101">
        <f t="shared" si="46"/>
        <v>0.3</v>
      </c>
      <c r="M214" s="101">
        <f t="shared" si="46"/>
        <v>0.3</v>
      </c>
      <c r="N214" s="101">
        <f t="shared" si="46"/>
        <v>0.3</v>
      </c>
      <c r="O214" s="101">
        <f t="shared" si="46"/>
        <v>0.3</v>
      </c>
      <c r="P214" s="101">
        <f t="shared" si="46"/>
        <v>0.3</v>
      </c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55">
        <v>2.4</v>
      </c>
      <c r="AH214" s="54"/>
      <c r="AI214" s="55"/>
      <c r="AK214" s="56"/>
    </row>
    <row r="215" spans="1:37" x14ac:dyDescent="0.25">
      <c r="A215" s="163" t="s">
        <v>84</v>
      </c>
      <c r="B215" s="97">
        <f t="shared" si="45"/>
        <v>0</v>
      </c>
      <c r="C215" s="97">
        <v>0.4</v>
      </c>
      <c r="D215" s="97">
        <f t="shared" si="46"/>
        <v>0.4</v>
      </c>
      <c r="E215" s="97">
        <f t="shared" si="46"/>
        <v>0.4</v>
      </c>
      <c r="F215" s="97">
        <f t="shared" si="46"/>
        <v>0.4</v>
      </c>
      <c r="G215" s="97">
        <f t="shared" si="46"/>
        <v>0.4</v>
      </c>
      <c r="H215" s="97">
        <f t="shared" si="46"/>
        <v>0.4</v>
      </c>
      <c r="I215" s="97">
        <f t="shared" si="46"/>
        <v>0.4</v>
      </c>
      <c r="J215" s="97">
        <f t="shared" si="46"/>
        <v>0.4</v>
      </c>
      <c r="K215" s="97">
        <f t="shared" si="46"/>
        <v>0.4</v>
      </c>
      <c r="L215" s="97">
        <f t="shared" si="46"/>
        <v>0.4</v>
      </c>
      <c r="M215" s="97">
        <f t="shared" si="46"/>
        <v>0.4</v>
      </c>
      <c r="N215" s="97">
        <f t="shared" si="46"/>
        <v>0.4</v>
      </c>
      <c r="O215" s="97">
        <f t="shared" si="46"/>
        <v>0.4</v>
      </c>
      <c r="P215" s="97">
        <f t="shared" si="46"/>
        <v>0.4</v>
      </c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56">
        <v>2</v>
      </c>
      <c r="AH215" s="54"/>
      <c r="AI215" s="55"/>
      <c r="AK215" s="56"/>
    </row>
    <row r="216" spans="1:37" x14ac:dyDescent="0.25">
      <c r="A216" s="163" t="s">
        <v>85</v>
      </c>
      <c r="B216" s="97">
        <f t="shared" si="45"/>
        <v>0</v>
      </c>
      <c r="C216" s="97">
        <v>1.5</v>
      </c>
      <c r="D216" s="97">
        <f t="shared" si="46"/>
        <v>1.5</v>
      </c>
      <c r="E216" s="97">
        <f t="shared" si="46"/>
        <v>1.5</v>
      </c>
      <c r="F216" s="97">
        <f t="shared" si="46"/>
        <v>1.5</v>
      </c>
      <c r="G216" s="97">
        <f t="shared" si="46"/>
        <v>1.5</v>
      </c>
      <c r="H216" s="97">
        <f t="shared" si="46"/>
        <v>1.5</v>
      </c>
      <c r="I216" s="97">
        <f t="shared" si="46"/>
        <v>1.5</v>
      </c>
      <c r="J216" s="97">
        <f t="shared" si="46"/>
        <v>1.5</v>
      </c>
      <c r="K216" s="97">
        <f t="shared" si="46"/>
        <v>1.5</v>
      </c>
      <c r="L216" s="97">
        <f t="shared" si="46"/>
        <v>1.5</v>
      </c>
      <c r="M216" s="97">
        <f t="shared" si="46"/>
        <v>1.5</v>
      </c>
      <c r="N216" s="97">
        <f t="shared" si="46"/>
        <v>1.5</v>
      </c>
      <c r="O216" s="97">
        <f t="shared" si="46"/>
        <v>1.5</v>
      </c>
      <c r="P216" s="97">
        <f t="shared" si="46"/>
        <v>1.5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1.5</v>
      </c>
      <c r="AH216" s="54"/>
      <c r="AI216" s="55"/>
      <c r="AK216" s="56"/>
    </row>
    <row r="217" spans="1:37" x14ac:dyDescent="0.25">
      <c r="A217" s="163" t="s">
        <v>86</v>
      </c>
      <c r="B217" s="97">
        <f t="shared" si="45"/>
        <v>0</v>
      </c>
      <c r="C217" s="97">
        <v>0.3</v>
      </c>
      <c r="D217" s="97">
        <f t="shared" si="46"/>
        <v>0.3</v>
      </c>
      <c r="E217" s="97">
        <f t="shared" si="46"/>
        <v>0.3</v>
      </c>
      <c r="F217" s="97">
        <f t="shared" si="46"/>
        <v>0.3</v>
      </c>
      <c r="G217" s="97">
        <f t="shared" si="46"/>
        <v>0.3</v>
      </c>
      <c r="H217" s="97">
        <f t="shared" si="46"/>
        <v>0.3</v>
      </c>
      <c r="I217" s="97">
        <f t="shared" si="46"/>
        <v>0.3</v>
      </c>
      <c r="J217" s="97">
        <f t="shared" si="46"/>
        <v>0.3</v>
      </c>
      <c r="K217" s="97">
        <f t="shared" si="46"/>
        <v>0.3</v>
      </c>
      <c r="L217" s="97">
        <f t="shared" si="46"/>
        <v>0.3</v>
      </c>
      <c r="M217" s="97">
        <f t="shared" si="46"/>
        <v>0.3</v>
      </c>
      <c r="N217" s="97">
        <f t="shared" si="46"/>
        <v>0.3</v>
      </c>
      <c r="O217" s="97">
        <f t="shared" si="46"/>
        <v>0.3</v>
      </c>
      <c r="P217" s="97">
        <f t="shared" si="46"/>
        <v>0.3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</v>
      </c>
      <c r="AH217" s="54"/>
      <c r="AI217" s="55"/>
      <c r="AK217" s="56"/>
    </row>
    <row r="218" spans="1:37" x14ac:dyDescent="0.25">
      <c r="A218" s="163" t="s">
        <v>87</v>
      </c>
      <c r="B218" s="97">
        <f t="shared" si="45"/>
        <v>0</v>
      </c>
      <c r="C218" s="97">
        <v>0.4</v>
      </c>
      <c r="D218" s="97">
        <f t="shared" si="46"/>
        <v>0.4</v>
      </c>
      <c r="E218" s="97">
        <f t="shared" si="46"/>
        <v>0.4</v>
      </c>
      <c r="F218" s="97">
        <f t="shared" si="46"/>
        <v>0.4</v>
      </c>
      <c r="G218" s="97">
        <f t="shared" si="46"/>
        <v>0.4</v>
      </c>
      <c r="H218" s="97">
        <f t="shared" si="46"/>
        <v>0.4</v>
      </c>
      <c r="I218" s="97">
        <f t="shared" si="46"/>
        <v>0.4</v>
      </c>
      <c r="J218" s="97">
        <f t="shared" si="46"/>
        <v>0.4</v>
      </c>
      <c r="K218" s="97">
        <f t="shared" si="46"/>
        <v>0.4</v>
      </c>
      <c r="L218" s="97">
        <f t="shared" si="46"/>
        <v>0.4</v>
      </c>
      <c r="M218" s="97">
        <f t="shared" si="46"/>
        <v>0.4</v>
      </c>
      <c r="N218" s="97">
        <f t="shared" si="46"/>
        <v>0.4</v>
      </c>
      <c r="O218" s="97">
        <f t="shared" si="46"/>
        <v>0.4</v>
      </c>
      <c r="P218" s="97">
        <f t="shared" si="46"/>
        <v>0.4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ht="15.75" thickBot="1" x14ac:dyDescent="0.3">
      <c r="A219" s="164" t="s">
        <v>88</v>
      </c>
      <c r="B219" s="102">
        <f t="shared" si="45"/>
        <v>0</v>
      </c>
      <c r="C219" s="102">
        <v>0.64</v>
      </c>
      <c r="D219" s="102">
        <f t="shared" si="46"/>
        <v>0.64</v>
      </c>
      <c r="E219" s="102">
        <f t="shared" si="46"/>
        <v>0.64</v>
      </c>
      <c r="F219" s="102">
        <f t="shared" si="46"/>
        <v>0.64</v>
      </c>
      <c r="G219" s="102">
        <f t="shared" si="46"/>
        <v>0.64</v>
      </c>
      <c r="H219" s="102">
        <f t="shared" si="46"/>
        <v>0.64</v>
      </c>
      <c r="I219" s="102">
        <f t="shared" si="46"/>
        <v>0.64</v>
      </c>
      <c r="J219" s="102">
        <f t="shared" si="46"/>
        <v>0.64</v>
      </c>
      <c r="K219" s="102">
        <f t="shared" si="46"/>
        <v>0.64</v>
      </c>
      <c r="L219" s="102">
        <f t="shared" si="46"/>
        <v>0.64</v>
      </c>
      <c r="M219" s="102">
        <f t="shared" si="46"/>
        <v>0.64</v>
      </c>
      <c r="N219" s="102">
        <f t="shared" si="46"/>
        <v>0.64</v>
      </c>
      <c r="O219" s="102">
        <f t="shared" si="46"/>
        <v>0.64</v>
      </c>
      <c r="P219" s="102">
        <f t="shared" si="46"/>
        <v>0.64</v>
      </c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57">
        <v>0.66</v>
      </c>
      <c r="AH219" s="54"/>
      <c r="AI219" s="55"/>
    </row>
    <row r="220" spans="1:37" ht="15.75" thickBot="1" x14ac:dyDescent="0.3">
      <c r="A220" s="173" t="s">
        <v>35</v>
      </c>
      <c r="B220" s="103">
        <f>SUM(B214:B219)</f>
        <v>0</v>
      </c>
      <c r="C220" s="103">
        <f>SUM(C214:C219)</f>
        <v>3.54</v>
      </c>
      <c r="D220" s="103">
        <f t="shared" ref="D220:L220" si="47">SUM(D214:D219)</f>
        <v>3.54</v>
      </c>
      <c r="E220" s="103">
        <f t="shared" si="47"/>
        <v>3.54</v>
      </c>
      <c r="F220" s="103">
        <f t="shared" si="47"/>
        <v>3.54</v>
      </c>
      <c r="G220" s="103">
        <f t="shared" si="47"/>
        <v>3.54</v>
      </c>
      <c r="H220" s="103">
        <f t="shared" si="47"/>
        <v>3.54</v>
      </c>
      <c r="I220" s="103">
        <f t="shared" si="47"/>
        <v>3.54</v>
      </c>
      <c r="J220" s="103">
        <f t="shared" si="47"/>
        <v>3.54</v>
      </c>
      <c r="K220" s="103">
        <f t="shared" si="47"/>
        <v>3.54</v>
      </c>
      <c r="L220" s="103">
        <f t="shared" si="47"/>
        <v>3.54</v>
      </c>
      <c r="M220" s="103">
        <f>SUM(M214:M219)</f>
        <v>3.54</v>
      </c>
      <c r="N220" s="103">
        <f t="shared" ref="N220:S220" si="48">SUM(N214:N219)</f>
        <v>3.54</v>
      </c>
      <c r="O220" s="103">
        <f t="shared" si="48"/>
        <v>3.54</v>
      </c>
      <c r="P220" s="103">
        <f t="shared" si="48"/>
        <v>3.54</v>
      </c>
      <c r="Q220" s="103">
        <f t="shared" si="48"/>
        <v>0</v>
      </c>
      <c r="R220" s="103">
        <f t="shared" si="48"/>
        <v>0</v>
      </c>
      <c r="S220" s="103">
        <f t="shared" si="48"/>
        <v>0</v>
      </c>
      <c r="T220" s="103">
        <f>SUM(T214:T219)</f>
        <v>0</v>
      </c>
      <c r="U220" s="103">
        <f t="shared" ref="U220:AG220" si="49">SUM(U214:U219)</f>
        <v>0</v>
      </c>
      <c r="V220" s="103">
        <f t="shared" si="49"/>
        <v>0</v>
      </c>
      <c r="W220" s="103">
        <f t="shared" si="49"/>
        <v>0</v>
      </c>
      <c r="X220" s="103">
        <f t="shared" si="49"/>
        <v>0</v>
      </c>
      <c r="Y220" s="103">
        <f t="shared" si="49"/>
        <v>0</v>
      </c>
      <c r="Z220" s="103">
        <f t="shared" si="49"/>
        <v>0</v>
      </c>
      <c r="AA220" s="103">
        <f t="shared" si="49"/>
        <v>0</v>
      </c>
      <c r="AB220" s="103">
        <f t="shared" si="49"/>
        <v>0</v>
      </c>
      <c r="AC220" s="103">
        <f t="shared" si="49"/>
        <v>0</v>
      </c>
      <c r="AD220" s="103">
        <f t="shared" si="49"/>
        <v>0</v>
      </c>
      <c r="AE220" s="103">
        <f t="shared" si="49"/>
        <v>0</v>
      </c>
      <c r="AF220" s="103">
        <f t="shared" si="49"/>
        <v>0</v>
      </c>
      <c r="AG220" s="158">
        <f t="shared" si="49"/>
        <v>8.56</v>
      </c>
      <c r="AH220" s="54"/>
      <c r="AI220" s="55"/>
    </row>
    <row r="221" spans="1:37" ht="15.75" thickBot="1" x14ac:dyDescent="0.3"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  <c r="AC221" s="179"/>
      <c r="AD221" s="179"/>
      <c r="AE221" s="179"/>
      <c r="AF221" s="179"/>
      <c r="AG221" s="84"/>
      <c r="AH221" s="179"/>
    </row>
    <row r="222" spans="1:37" x14ac:dyDescent="0.25">
      <c r="A222" s="79" t="s">
        <v>89</v>
      </c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5"/>
      <c r="AG222" s="179"/>
      <c r="AH222" s="54"/>
      <c r="AI222" s="55"/>
    </row>
    <row r="223" spans="1:37" x14ac:dyDescent="0.25">
      <c r="A223" s="106" t="s">
        <v>90</v>
      </c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8"/>
      <c r="AG223" s="109"/>
      <c r="AH223" s="54"/>
      <c r="AI223" s="55"/>
    </row>
    <row r="224" spans="1:37" x14ac:dyDescent="0.25">
      <c r="A224" s="81" t="s">
        <v>91</v>
      </c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1"/>
      <c r="AG224" s="109"/>
      <c r="AH224" s="54"/>
      <c r="AI224" s="55"/>
    </row>
    <row r="225" spans="1:50" x14ac:dyDescent="0.25">
      <c r="A225" s="81" t="s">
        <v>92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ht="15.75" thickBot="1" x14ac:dyDescent="0.3">
      <c r="A226" s="112" t="s">
        <v>93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4"/>
      <c r="AG226" s="109"/>
      <c r="AH226" s="54"/>
      <c r="AI226" s="55"/>
    </row>
    <row r="227" spans="1:50" x14ac:dyDescent="0.25"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  <c r="AC227" s="179"/>
      <c r="AD227" s="179"/>
      <c r="AE227" s="179"/>
      <c r="AF227" s="179"/>
      <c r="AG227" s="179"/>
      <c r="AH227" s="179"/>
    </row>
    <row r="228" spans="1:50" x14ac:dyDescent="0.25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  <c r="AC228" s="179"/>
      <c r="AD228" s="179"/>
      <c r="AE228" s="179"/>
      <c r="AF228" s="179"/>
      <c r="AG228" s="179"/>
      <c r="AH228" s="179"/>
    </row>
    <row r="229" spans="1:50" x14ac:dyDescent="0.25">
      <c r="A229" s="115" t="s">
        <v>94</v>
      </c>
      <c r="B229" s="116">
        <f>MAX(G79:N79)</f>
        <v>1793.64</v>
      </c>
      <c r="C229" s="117">
        <f>INDEX(G9:N9,1,MATCH(MAX(G79:N79),G79:N79,0))</f>
        <v>0.33333333333333331</v>
      </c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  <c r="AC229" s="179"/>
      <c r="AD229" s="179"/>
      <c r="AE229" s="179"/>
      <c r="AF229" s="179"/>
      <c r="AG229" s="179"/>
      <c r="AH229" s="179"/>
    </row>
    <row r="230" spans="1:50" x14ac:dyDescent="0.25"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18" t="str">
        <f ca="1">MID(CELL("filename",C7),FIND("]",CELL("filename",C7))+1,600)</f>
        <v>22</v>
      </c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79"/>
      <c r="AH230" s="179"/>
    </row>
    <row r="231" spans="1:50" x14ac:dyDescent="0.25">
      <c r="A231" s="208" t="s">
        <v>95</v>
      </c>
      <c r="B231" s="208"/>
      <c r="C231" s="179"/>
      <c r="D231" s="118" t="str">
        <f ca="1">"Pie Chart of Daily Peak Demand(Inclusive of Export) of Nepal ("&amp;A4&amp;" "&amp;B4&amp;")"</f>
        <v>Pie Chart of Daily Peak Demand(Inclusive of Export) of Nepal (Nepali Date: 2079/02/22)</v>
      </c>
      <c r="E231" s="179"/>
      <c r="F231" s="179"/>
      <c r="G231" s="118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18" t="str">
        <f ca="1">"Daily Load Curve(Excluding of Export) of Nepal ("&amp;A4&amp;" "&amp;B4&amp;")"</f>
        <v>Daily Load Curve(Excluding of Export) of Nepal (Nepali Date: 2079/02/22)</v>
      </c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  <c r="AE231" s="179"/>
      <c r="AF231" s="179"/>
      <c r="AG231" s="179"/>
      <c r="AH231" s="179"/>
    </row>
    <row r="232" spans="1:50" ht="12.75" customHeight="1" thickBot="1" x14ac:dyDescent="0.3">
      <c r="A232" s="119" t="s">
        <v>7</v>
      </c>
      <c r="B232" s="120"/>
      <c r="C232" s="179"/>
      <c r="D232" s="121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  <c r="AC232" s="179"/>
      <c r="AD232" s="179"/>
      <c r="AE232" s="179"/>
      <c r="AF232" s="179"/>
      <c r="AG232" s="179"/>
      <c r="AH232" s="179"/>
    </row>
    <row r="233" spans="1:50" ht="15.75" thickTop="1" x14ac:dyDescent="0.25">
      <c r="A233" s="119" t="s">
        <v>96</v>
      </c>
      <c r="B233" s="120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22" t="s">
        <v>97</v>
      </c>
      <c r="T233" s="123">
        <v>0</v>
      </c>
      <c r="U233" s="124">
        <v>4.1666666666666664E-2</v>
      </c>
      <c r="V233" s="125">
        <v>8.3333333333333301E-2</v>
      </c>
      <c r="W233" s="125">
        <v>0.125</v>
      </c>
      <c r="X233" s="125">
        <v>0.16666666666666699</v>
      </c>
      <c r="Y233" s="125">
        <v>0.20833333333333301</v>
      </c>
      <c r="Z233" s="125">
        <v>0.22916666666666666</v>
      </c>
      <c r="AA233" s="125">
        <v>0.25</v>
      </c>
      <c r="AB233" s="125">
        <v>0.27083333333333331</v>
      </c>
      <c r="AC233" s="125">
        <v>0.29166666666666669</v>
      </c>
      <c r="AD233" s="125">
        <v>0.3125</v>
      </c>
      <c r="AE233" s="126">
        <v>0.33333333333333331</v>
      </c>
      <c r="AF233" s="126">
        <v>0.375</v>
      </c>
      <c r="AG233" s="126">
        <v>0.41666666666666702</v>
      </c>
      <c r="AH233" s="126">
        <v>0.45833333333333298</v>
      </c>
      <c r="AI233" s="126">
        <v>0.5</v>
      </c>
      <c r="AJ233" s="126">
        <v>0.54166666666666696</v>
      </c>
      <c r="AK233" s="126">
        <v>0.58333333333333304</v>
      </c>
      <c r="AL233" s="126">
        <v>0.625</v>
      </c>
      <c r="AM233" s="126">
        <v>0.66666666666666696</v>
      </c>
      <c r="AN233" s="126">
        <v>0.70833333333333304</v>
      </c>
      <c r="AO233" s="126">
        <v>0.72916666666666663</v>
      </c>
      <c r="AP233" s="126">
        <v>0.75</v>
      </c>
      <c r="AQ233" s="126">
        <v>0.77083333333333337</v>
      </c>
      <c r="AR233" s="126">
        <v>0.79166666666666663</v>
      </c>
      <c r="AS233" s="126">
        <v>0.8125</v>
      </c>
      <c r="AT233" s="125">
        <v>0.83333333333333337</v>
      </c>
      <c r="AU233" s="125">
        <v>0.85416666666666663</v>
      </c>
      <c r="AV233" s="125">
        <v>0.875</v>
      </c>
      <c r="AW233" s="125">
        <v>0.91666666666666696</v>
      </c>
      <c r="AX233" s="125">
        <v>0.95833333333333304</v>
      </c>
    </row>
    <row r="234" spans="1:50" x14ac:dyDescent="0.25">
      <c r="A234" s="119" t="s">
        <v>98</v>
      </c>
      <c r="B234" s="120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 t="s">
        <v>99</v>
      </c>
      <c r="T234" s="127">
        <f t="shared" ref="T234:AX234" si="50">B79</f>
        <v>1761.54</v>
      </c>
      <c r="U234" s="127">
        <f t="shared" si="50"/>
        <v>1677.8400000000001</v>
      </c>
      <c r="V234" s="127">
        <f t="shared" si="50"/>
        <v>1735.44</v>
      </c>
      <c r="W234" s="127">
        <f t="shared" si="50"/>
        <v>1700.5400000000002</v>
      </c>
      <c r="X234" s="127">
        <f t="shared" si="50"/>
        <v>1645.04</v>
      </c>
      <c r="Y234" s="127">
        <f t="shared" si="50"/>
        <v>1659.54</v>
      </c>
      <c r="Z234" s="127">
        <f t="shared" si="50"/>
        <v>1630.44</v>
      </c>
      <c r="AA234" s="127">
        <f t="shared" si="50"/>
        <v>1630.44</v>
      </c>
      <c r="AB234" s="127">
        <f t="shared" si="50"/>
        <v>1651.54</v>
      </c>
      <c r="AC234" s="127">
        <f t="shared" si="50"/>
        <v>1701.2400000000002</v>
      </c>
      <c r="AD234" s="127">
        <f t="shared" si="50"/>
        <v>1758.44</v>
      </c>
      <c r="AE234" s="127">
        <f t="shared" si="50"/>
        <v>1793.64</v>
      </c>
      <c r="AF234" s="127">
        <f t="shared" si="50"/>
        <v>1781.8400000000001</v>
      </c>
      <c r="AG234" s="127">
        <f t="shared" si="50"/>
        <v>1826.64</v>
      </c>
      <c r="AH234" s="127">
        <f t="shared" si="50"/>
        <v>1833.2400000000002</v>
      </c>
      <c r="AI234" s="127">
        <f t="shared" si="50"/>
        <v>1797.2400000000002</v>
      </c>
      <c r="AJ234" s="127">
        <f t="shared" si="50"/>
        <v>1844.7400000000002</v>
      </c>
      <c r="AK234" s="127">
        <f t="shared" si="50"/>
        <v>1864.0400000000002</v>
      </c>
      <c r="AL234" s="127">
        <f t="shared" si="50"/>
        <v>1844.8400000000001</v>
      </c>
      <c r="AM234" s="127">
        <f t="shared" si="50"/>
        <v>1833.2400000000002</v>
      </c>
      <c r="AN234" s="127">
        <f t="shared" si="50"/>
        <v>1831.5400000000002</v>
      </c>
      <c r="AO234" s="127">
        <f t="shared" si="50"/>
        <v>1839.74</v>
      </c>
      <c r="AP234" s="127">
        <f t="shared" si="50"/>
        <v>1795.84</v>
      </c>
      <c r="AQ234" s="127">
        <f t="shared" si="50"/>
        <v>1804.94</v>
      </c>
      <c r="AR234" s="127">
        <f t="shared" si="50"/>
        <v>1893.04</v>
      </c>
      <c r="AS234" s="127">
        <f t="shared" si="50"/>
        <v>1868.04</v>
      </c>
      <c r="AT234" s="127">
        <f t="shared" si="50"/>
        <v>1945.5400000000002</v>
      </c>
      <c r="AU234" s="127">
        <f t="shared" si="50"/>
        <v>1945.5400000000002</v>
      </c>
      <c r="AV234" s="127">
        <f t="shared" si="50"/>
        <v>1888.14</v>
      </c>
      <c r="AW234" s="127">
        <f t="shared" si="50"/>
        <v>1882.8400000000001</v>
      </c>
      <c r="AX234" s="127">
        <f t="shared" si="50"/>
        <v>1880.8400000000001</v>
      </c>
    </row>
    <row r="235" spans="1:50" x14ac:dyDescent="0.25">
      <c r="A235" s="119" t="s">
        <v>100</v>
      </c>
      <c r="B235" s="120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  <c r="AC235" s="179"/>
      <c r="AD235" s="179"/>
      <c r="AE235" s="179"/>
      <c r="AF235" s="179"/>
      <c r="AG235" s="179"/>
      <c r="AH235" s="179"/>
    </row>
    <row r="236" spans="1:50" x14ac:dyDescent="0.25">
      <c r="A236" s="119" t="s">
        <v>101</v>
      </c>
      <c r="B236" s="120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79"/>
      <c r="AE236" s="179"/>
      <c r="AF236" s="179"/>
      <c r="AG236" s="179"/>
      <c r="AH236" s="179"/>
    </row>
    <row r="237" spans="1:50" x14ac:dyDescent="0.25">
      <c r="A237" s="119" t="s">
        <v>102</v>
      </c>
      <c r="B237" s="120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  <c r="AE237" s="179"/>
      <c r="AF237" s="179"/>
      <c r="AG237" s="179"/>
      <c r="AH237" s="179"/>
    </row>
    <row r="238" spans="1:50" x14ac:dyDescent="0.25">
      <c r="A238" s="119" t="s">
        <v>103</v>
      </c>
      <c r="B238" s="128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  <c r="AE238" s="179"/>
      <c r="AF238" s="179"/>
      <c r="AG238" s="179"/>
      <c r="AH238" s="179"/>
    </row>
    <row r="239" spans="1:50" x14ac:dyDescent="0.25">
      <c r="A239" s="119" t="s">
        <v>104</v>
      </c>
      <c r="B239" s="120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</row>
    <row r="240" spans="1:50" x14ac:dyDescent="0.25"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  <c r="AD240" s="179"/>
      <c r="AE240" s="179"/>
      <c r="AF240" s="179"/>
      <c r="AG240" s="179"/>
      <c r="AH240" s="179"/>
    </row>
    <row r="241" spans="1:36" x14ac:dyDescent="0.25"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  <c r="AC241" s="179"/>
      <c r="AD241" s="179"/>
      <c r="AE241" s="179"/>
      <c r="AF241" s="179"/>
      <c r="AG241" s="179"/>
      <c r="AH241" s="179"/>
    </row>
    <row r="242" spans="1:36" x14ac:dyDescent="0.25"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  <c r="AC242" s="179"/>
      <c r="AD242" s="179"/>
      <c r="AE242" s="179"/>
      <c r="AF242" s="179"/>
      <c r="AG242" s="179"/>
      <c r="AH242" s="179"/>
    </row>
    <row r="243" spans="1:36" x14ac:dyDescent="0.25"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  <c r="AC243" s="179"/>
      <c r="AD243" s="179"/>
      <c r="AE243" s="179"/>
      <c r="AF243" s="179"/>
      <c r="AG243" s="179"/>
      <c r="AH243" s="179"/>
    </row>
    <row r="244" spans="1:36" x14ac:dyDescent="0.25"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  <c r="AC244" s="179"/>
      <c r="AD244" s="179"/>
      <c r="AE244" s="179"/>
      <c r="AF244" s="179"/>
      <c r="AG244" s="179"/>
      <c r="AH244" s="179"/>
    </row>
    <row r="245" spans="1:36" x14ac:dyDescent="0.25"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  <c r="AG245" s="179"/>
      <c r="AH245" s="179"/>
    </row>
    <row r="246" spans="1:36" x14ac:dyDescent="0.25"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  <c r="AC246" s="179"/>
      <c r="AD246" s="179"/>
      <c r="AE246" s="179"/>
      <c r="AF246" s="179"/>
      <c r="AG246" s="179"/>
      <c r="AH246" s="179"/>
      <c r="AJ246"/>
    </row>
    <row r="247" spans="1:36" x14ac:dyDescent="0.25"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  <c r="AC247" s="179"/>
      <c r="AD247" s="179"/>
      <c r="AE247" s="179"/>
      <c r="AF247" s="179"/>
      <c r="AG247" s="179"/>
      <c r="AH247" s="179"/>
      <c r="AJ247"/>
    </row>
    <row r="248" spans="1:36" x14ac:dyDescent="0.25"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  <c r="AC248" s="179"/>
      <c r="AD248" s="179"/>
      <c r="AE248" s="179"/>
      <c r="AF248" s="179"/>
      <c r="AG248" s="179"/>
      <c r="AH248" s="179"/>
      <c r="AJ248"/>
    </row>
    <row r="249" spans="1:36" x14ac:dyDescent="0.25"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  <c r="AC249" s="179"/>
      <c r="AD249" s="179"/>
      <c r="AE249" s="179"/>
      <c r="AF249" s="179"/>
      <c r="AG249" s="179"/>
      <c r="AH249" s="179"/>
      <c r="AJ249"/>
    </row>
    <row r="250" spans="1:36" x14ac:dyDescent="0.25"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  <c r="AC250" s="179"/>
      <c r="AD250" s="179"/>
      <c r="AE250" s="179"/>
      <c r="AF250" s="179"/>
      <c r="AG250" s="179"/>
      <c r="AH250" s="179"/>
      <c r="AJ250"/>
    </row>
    <row r="251" spans="1:36" x14ac:dyDescent="0.25"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  <c r="AE251" s="179"/>
      <c r="AF251" s="179"/>
      <c r="AG251" s="179"/>
      <c r="AH251" s="179"/>
      <c r="AJ251"/>
    </row>
    <row r="252" spans="1:36" x14ac:dyDescent="0.25"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  <c r="AC252" s="179"/>
      <c r="AD252" s="179"/>
      <c r="AE252" s="179"/>
      <c r="AF252" s="179"/>
      <c r="AG252" s="179"/>
      <c r="AH252" s="179"/>
      <c r="AJ252"/>
    </row>
    <row r="253" spans="1:36" x14ac:dyDescent="0.25"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J253"/>
    </row>
    <row r="254" spans="1:36" x14ac:dyDescent="0.25"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  <c r="AE254" s="179"/>
      <c r="AF254" s="179"/>
      <c r="AG254" s="179"/>
      <c r="AH254" s="179"/>
      <c r="AJ254"/>
    </row>
    <row r="255" spans="1:36" x14ac:dyDescent="0.25">
      <c r="A255" s="129" t="s">
        <v>89</v>
      </c>
      <c r="B255" s="130">
        <f t="shared" ref="B255:AE255" si="51">C219</f>
        <v>0.64</v>
      </c>
      <c r="C255" s="130">
        <f t="shared" si="51"/>
        <v>0.64</v>
      </c>
      <c r="D255" s="130">
        <f t="shared" si="51"/>
        <v>0.64</v>
      </c>
      <c r="E255" s="130">
        <f t="shared" si="51"/>
        <v>0.64</v>
      </c>
      <c r="F255" s="130">
        <f t="shared" si="51"/>
        <v>0.64</v>
      </c>
      <c r="G255" s="130">
        <f t="shared" si="51"/>
        <v>0.64</v>
      </c>
      <c r="H255" s="130">
        <f t="shared" si="51"/>
        <v>0.64</v>
      </c>
      <c r="I255" s="130">
        <f t="shared" si="51"/>
        <v>0.64</v>
      </c>
      <c r="J255" s="130">
        <f t="shared" si="51"/>
        <v>0.64</v>
      </c>
      <c r="K255" s="130">
        <f t="shared" si="51"/>
        <v>0.64</v>
      </c>
      <c r="L255" s="130">
        <f t="shared" si="51"/>
        <v>0.64</v>
      </c>
      <c r="M255" s="130">
        <f t="shared" si="51"/>
        <v>0.64</v>
      </c>
      <c r="N255" s="130">
        <f t="shared" si="51"/>
        <v>0.64</v>
      </c>
      <c r="O255" s="130">
        <f t="shared" si="51"/>
        <v>0.64</v>
      </c>
      <c r="P255" s="130">
        <f t="shared" si="51"/>
        <v>0</v>
      </c>
      <c r="Q255" s="130">
        <f t="shared" si="51"/>
        <v>0</v>
      </c>
      <c r="R255" s="130">
        <f t="shared" si="51"/>
        <v>0</v>
      </c>
      <c r="S255" s="130">
        <f t="shared" si="51"/>
        <v>0</v>
      </c>
      <c r="T255" s="130">
        <f t="shared" si="51"/>
        <v>0</v>
      </c>
      <c r="U255" s="130">
        <f t="shared" si="51"/>
        <v>0</v>
      </c>
      <c r="V255" s="130">
        <f t="shared" si="51"/>
        <v>0</v>
      </c>
      <c r="W255" s="130">
        <f t="shared" si="51"/>
        <v>0</v>
      </c>
      <c r="X255" s="130">
        <f t="shared" si="51"/>
        <v>0</v>
      </c>
      <c r="Y255" s="130">
        <f t="shared" si="51"/>
        <v>0</v>
      </c>
      <c r="Z255" s="130">
        <f t="shared" si="51"/>
        <v>0</v>
      </c>
      <c r="AA255" s="130">
        <f t="shared" si="51"/>
        <v>0</v>
      </c>
      <c r="AB255" s="130">
        <f t="shared" si="51"/>
        <v>0</v>
      </c>
      <c r="AC255" s="130">
        <f t="shared" si="51"/>
        <v>0</v>
      </c>
      <c r="AD255" s="130">
        <f t="shared" si="51"/>
        <v>0</v>
      </c>
      <c r="AE255" s="130">
        <f t="shared" si="51"/>
        <v>0</v>
      </c>
      <c r="AF255" s="130">
        <f>B219</f>
        <v>0</v>
      </c>
      <c r="AG255" s="179"/>
      <c r="AH255" s="179"/>
      <c r="AJ255"/>
    </row>
    <row r="256" spans="1:36" x14ac:dyDescent="0.25">
      <c r="A256" s="88" t="str">
        <f>A223</f>
        <v>KGA</v>
      </c>
      <c r="B256" s="88" t="str">
        <f>IF(B223&lt;100,"",B223-520)</f>
        <v/>
      </c>
      <c r="C256" s="88" t="str">
        <f t="shared" ref="C256:AF256" si="52">IF(C223&lt;100,"",C223-520)</f>
        <v/>
      </c>
      <c r="D256" s="88" t="str">
        <f t="shared" si="52"/>
        <v/>
      </c>
      <c r="E256" s="88" t="str">
        <f t="shared" si="52"/>
        <v/>
      </c>
      <c r="F256" s="88" t="str">
        <f t="shared" si="52"/>
        <v/>
      </c>
      <c r="G256" s="88" t="str">
        <f t="shared" si="52"/>
        <v/>
      </c>
      <c r="H256" s="88" t="str">
        <f t="shared" si="52"/>
        <v/>
      </c>
      <c r="I256" s="88" t="str">
        <f t="shared" si="52"/>
        <v/>
      </c>
      <c r="J256" s="88" t="str">
        <f t="shared" si="52"/>
        <v/>
      </c>
      <c r="K256" s="88" t="str">
        <f t="shared" si="52"/>
        <v/>
      </c>
      <c r="L256" s="88" t="str">
        <f t="shared" si="52"/>
        <v/>
      </c>
      <c r="M256" s="88" t="str">
        <f t="shared" si="52"/>
        <v/>
      </c>
      <c r="N256" s="88" t="str">
        <f t="shared" si="52"/>
        <v/>
      </c>
      <c r="O256" s="88" t="str">
        <f t="shared" si="52"/>
        <v/>
      </c>
      <c r="P256" s="88" t="str">
        <f t="shared" si="52"/>
        <v/>
      </c>
      <c r="Q256" s="88" t="str">
        <f t="shared" si="52"/>
        <v/>
      </c>
      <c r="R256" s="88" t="str">
        <f t="shared" si="52"/>
        <v/>
      </c>
      <c r="S256" s="88" t="str">
        <f t="shared" si="52"/>
        <v/>
      </c>
      <c r="T256" s="88" t="str">
        <f t="shared" si="52"/>
        <v/>
      </c>
      <c r="U256" s="88" t="str">
        <f t="shared" si="52"/>
        <v/>
      </c>
      <c r="V256" s="88" t="str">
        <f t="shared" si="52"/>
        <v/>
      </c>
      <c r="W256" s="88" t="str">
        <f t="shared" si="52"/>
        <v/>
      </c>
      <c r="X256" s="88" t="str">
        <f t="shared" si="52"/>
        <v/>
      </c>
      <c r="Y256" s="88" t="str">
        <f t="shared" si="52"/>
        <v/>
      </c>
      <c r="Z256" s="88" t="str">
        <f t="shared" si="52"/>
        <v/>
      </c>
      <c r="AA256" s="88" t="str">
        <f t="shared" si="52"/>
        <v/>
      </c>
      <c r="AB256" s="88" t="str">
        <f t="shared" si="52"/>
        <v/>
      </c>
      <c r="AC256" s="88" t="str">
        <f t="shared" si="52"/>
        <v/>
      </c>
      <c r="AD256" s="88" t="str">
        <f t="shared" si="52"/>
        <v/>
      </c>
      <c r="AE256" s="88" t="str">
        <f t="shared" si="52"/>
        <v/>
      </c>
      <c r="AF256" s="88" t="str">
        <f t="shared" si="52"/>
        <v/>
      </c>
      <c r="AG256" s="179"/>
      <c r="AH256" s="179"/>
      <c r="AJ256"/>
    </row>
    <row r="257" spans="1:36" x14ac:dyDescent="0.25">
      <c r="A257" s="88" t="str">
        <f>A224</f>
        <v>MMRS</v>
      </c>
      <c r="B257" s="88" t="str">
        <f t="shared" ref="B257:AF257" si="53">IF(B224&lt;100,"",B224-620)</f>
        <v/>
      </c>
      <c r="C257" s="88" t="str">
        <f t="shared" si="53"/>
        <v/>
      </c>
      <c r="D257" s="88" t="str">
        <f t="shared" si="53"/>
        <v/>
      </c>
      <c r="E257" s="88" t="str">
        <f t="shared" si="53"/>
        <v/>
      </c>
      <c r="F257" s="88" t="str">
        <f t="shared" si="53"/>
        <v/>
      </c>
      <c r="G257" s="88" t="str">
        <f t="shared" si="53"/>
        <v/>
      </c>
      <c r="H257" s="88" t="str">
        <f t="shared" si="53"/>
        <v/>
      </c>
      <c r="I257" s="88" t="str">
        <f t="shared" si="53"/>
        <v/>
      </c>
      <c r="J257" s="88" t="str">
        <f t="shared" si="53"/>
        <v/>
      </c>
      <c r="K257" s="88" t="str">
        <f t="shared" si="53"/>
        <v/>
      </c>
      <c r="L257" s="88" t="str">
        <f t="shared" si="53"/>
        <v/>
      </c>
      <c r="M257" s="88" t="str">
        <f t="shared" si="53"/>
        <v/>
      </c>
      <c r="N257" s="88" t="str">
        <f t="shared" si="53"/>
        <v/>
      </c>
      <c r="O257" s="88" t="str">
        <f t="shared" si="53"/>
        <v/>
      </c>
      <c r="P257" s="88" t="str">
        <f t="shared" si="53"/>
        <v/>
      </c>
      <c r="Q257" s="88" t="str">
        <f t="shared" si="53"/>
        <v/>
      </c>
      <c r="R257" s="88" t="str">
        <f t="shared" si="53"/>
        <v/>
      </c>
      <c r="S257" s="88" t="str">
        <f t="shared" si="53"/>
        <v/>
      </c>
      <c r="T257" s="88" t="str">
        <f t="shared" si="53"/>
        <v/>
      </c>
      <c r="U257" s="88" t="str">
        <f t="shared" si="53"/>
        <v/>
      </c>
      <c r="V257" s="88" t="str">
        <f t="shared" si="53"/>
        <v/>
      </c>
      <c r="W257" s="88" t="str">
        <f t="shared" si="53"/>
        <v/>
      </c>
      <c r="X257" s="88" t="str">
        <f t="shared" si="53"/>
        <v/>
      </c>
      <c r="Y257" s="88" t="str">
        <f t="shared" si="53"/>
        <v/>
      </c>
      <c r="Z257" s="88" t="str">
        <f t="shared" si="53"/>
        <v/>
      </c>
      <c r="AA257" s="88" t="str">
        <f t="shared" si="53"/>
        <v/>
      </c>
      <c r="AB257" s="88" t="str">
        <f t="shared" si="53"/>
        <v/>
      </c>
      <c r="AC257" s="88" t="str">
        <f t="shared" si="53"/>
        <v/>
      </c>
      <c r="AD257" s="88" t="str">
        <f t="shared" si="53"/>
        <v/>
      </c>
      <c r="AE257" s="88" t="str">
        <f t="shared" si="53"/>
        <v/>
      </c>
      <c r="AF257" s="88" t="str">
        <f t="shared" si="53"/>
        <v/>
      </c>
      <c r="AG257" s="179"/>
      <c r="AH257" s="179"/>
      <c r="AJ257"/>
    </row>
    <row r="258" spans="1:36" x14ac:dyDescent="0.25">
      <c r="A258" s="88" t="str">
        <f>A225</f>
        <v>MRS</v>
      </c>
      <c r="B258" s="88" t="str">
        <f t="shared" ref="B258:AF258" si="54">IF(B225&lt;100,"",B225-330)</f>
        <v/>
      </c>
      <c r="C258" s="88" t="str">
        <f t="shared" si="54"/>
        <v/>
      </c>
      <c r="D258" s="88" t="str">
        <f t="shared" si="54"/>
        <v/>
      </c>
      <c r="E258" s="88" t="str">
        <f t="shared" si="54"/>
        <v/>
      </c>
      <c r="F258" s="88" t="str">
        <f t="shared" si="54"/>
        <v/>
      </c>
      <c r="G258" s="88" t="str">
        <f t="shared" si="54"/>
        <v/>
      </c>
      <c r="H258" s="88" t="str">
        <f t="shared" si="54"/>
        <v/>
      </c>
      <c r="I258" s="88" t="str">
        <f t="shared" si="54"/>
        <v/>
      </c>
      <c r="J258" s="88" t="str">
        <f t="shared" si="54"/>
        <v/>
      </c>
      <c r="K258" s="88" t="str">
        <f t="shared" si="54"/>
        <v/>
      </c>
      <c r="L258" s="88" t="str">
        <f t="shared" si="54"/>
        <v/>
      </c>
      <c r="M258" s="88" t="str">
        <f t="shared" si="54"/>
        <v/>
      </c>
      <c r="N258" s="88" t="str">
        <f t="shared" si="54"/>
        <v/>
      </c>
      <c r="O258" s="88" t="str">
        <f t="shared" si="54"/>
        <v/>
      </c>
      <c r="P258" s="88" t="str">
        <f t="shared" si="54"/>
        <v/>
      </c>
      <c r="Q258" s="88" t="str">
        <f t="shared" si="54"/>
        <v/>
      </c>
      <c r="R258" s="88" t="str">
        <f t="shared" si="54"/>
        <v/>
      </c>
      <c r="S258" s="88" t="str">
        <f t="shared" si="54"/>
        <v/>
      </c>
      <c r="T258" s="88" t="str">
        <f t="shared" si="54"/>
        <v/>
      </c>
      <c r="U258" s="88" t="str">
        <f t="shared" si="54"/>
        <v/>
      </c>
      <c r="V258" s="88" t="str">
        <f t="shared" si="54"/>
        <v/>
      </c>
      <c r="W258" s="88" t="str">
        <f t="shared" si="54"/>
        <v/>
      </c>
      <c r="X258" s="88" t="str">
        <f t="shared" si="54"/>
        <v/>
      </c>
      <c r="Y258" s="88" t="str">
        <f t="shared" si="54"/>
        <v/>
      </c>
      <c r="Z258" s="88" t="str">
        <f t="shared" si="54"/>
        <v/>
      </c>
      <c r="AA258" s="88" t="str">
        <f t="shared" si="54"/>
        <v/>
      </c>
      <c r="AB258" s="88" t="str">
        <f t="shared" si="54"/>
        <v/>
      </c>
      <c r="AC258" s="88" t="str">
        <f t="shared" si="54"/>
        <v/>
      </c>
      <c r="AD258" s="88" t="str">
        <f t="shared" si="54"/>
        <v/>
      </c>
      <c r="AE258" s="88" t="str">
        <f t="shared" si="54"/>
        <v/>
      </c>
      <c r="AF258" s="88" t="str">
        <f t="shared" si="54"/>
        <v/>
      </c>
      <c r="AG258" s="179"/>
      <c r="AH258" s="179"/>
      <c r="AJ258"/>
    </row>
    <row r="259" spans="1:36" x14ac:dyDescent="0.25">
      <c r="A259" s="88" t="str">
        <f>A226</f>
        <v>KL 1</v>
      </c>
      <c r="B259" s="88" t="str">
        <f>IF(B226&lt;100,"",B226-1500)</f>
        <v/>
      </c>
      <c r="C259" s="88" t="str">
        <f t="shared" ref="C259:AF259" si="55">IF(C226&lt;100,"",C226-1500)</f>
        <v/>
      </c>
      <c r="D259" s="88" t="str">
        <f t="shared" si="55"/>
        <v/>
      </c>
      <c r="E259" s="88" t="str">
        <f t="shared" si="55"/>
        <v/>
      </c>
      <c r="F259" s="88" t="str">
        <f t="shared" si="55"/>
        <v/>
      </c>
      <c r="G259" s="88" t="str">
        <f t="shared" si="55"/>
        <v/>
      </c>
      <c r="H259" s="88" t="str">
        <f t="shared" si="55"/>
        <v/>
      </c>
      <c r="I259" s="88" t="str">
        <f t="shared" si="55"/>
        <v/>
      </c>
      <c r="J259" s="88" t="str">
        <f t="shared" si="55"/>
        <v/>
      </c>
      <c r="K259" s="88" t="str">
        <f t="shared" si="55"/>
        <v/>
      </c>
      <c r="L259" s="88" t="str">
        <f t="shared" si="55"/>
        <v/>
      </c>
      <c r="M259" s="88" t="str">
        <f t="shared" si="55"/>
        <v/>
      </c>
      <c r="N259" s="88" t="str">
        <f t="shared" si="55"/>
        <v/>
      </c>
      <c r="O259" s="88" t="str">
        <f t="shared" si="55"/>
        <v/>
      </c>
      <c r="P259" s="88" t="str">
        <f t="shared" si="55"/>
        <v/>
      </c>
      <c r="Q259" s="88" t="str">
        <f t="shared" si="55"/>
        <v/>
      </c>
      <c r="R259" s="88" t="str">
        <f t="shared" si="55"/>
        <v/>
      </c>
      <c r="S259" s="88" t="str">
        <f t="shared" si="55"/>
        <v/>
      </c>
      <c r="T259" s="88" t="str">
        <f t="shared" si="55"/>
        <v/>
      </c>
      <c r="U259" s="88" t="str">
        <f t="shared" si="55"/>
        <v/>
      </c>
      <c r="V259" s="88" t="str">
        <f t="shared" si="55"/>
        <v/>
      </c>
      <c r="W259" s="88" t="str">
        <f t="shared" si="55"/>
        <v/>
      </c>
      <c r="X259" s="88" t="str">
        <f t="shared" si="55"/>
        <v/>
      </c>
      <c r="Y259" s="88" t="str">
        <f t="shared" si="55"/>
        <v/>
      </c>
      <c r="Z259" s="88" t="str">
        <f t="shared" si="55"/>
        <v/>
      </c>
      <c r="AA259" s="88" t="str">
        <f t="shared" si="55"/>
        <v/>
      </c>
      <c r="AB259" s="88" t="str">
        <f t="shared" si="55"/>
        <v/>
      </c>
      <c r="AC259" s="88" t="str">
        <f t="shared" si="55"/>
        <v/>
      </c>
      <c r="AD259" s="88" t="str">
        <f t="shared" si="55"/>
        <v/>
      </c>
      <c r="AE259" s="88" t="str">
        <f t="shared" si="55"/>
        <v/>
      </c>
      <c r="AF259" s="88" t="str">
        <f t="shared" si="55"/>
        <v/>
      </c>
      <c r="AG259" s="179"/>
      <c r="AH259" s="179"/>
      <c r="AJ259"/>
    </row>
    <row r="260" spans="1:36" x14ac:dyDescent="0.25"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  <c r="AC260" s="179"/>
      <c r="AD260" s="179"/>
      <c r="AE260" s="179"/>
      <c r="AF260" s="179"/>
      <c r="AG260" s="179"/>
      <c r="AH260" s="179"/>
      <c r="AJ260"/>
    </row>
    <row r="261" spans="1:36" x14ac:dyDescent="0.25"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  <c r="AJ261"/>
    </row>
    <row r="262" spans="1:36" x14ac:dyDescent="0.25"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  <c r="AE262" s="179"/>
      <c r="AF262" s="179"/>
      <c r="AG262" s="179"/>
      <c r="AH262" s="179"/>
      <c r="AJ262"/>
    </row>
    <row r="263" spans="1:36" x14ac:dyDescent="0.25"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  <c r="AC263" s="179"/>
      <c r="AD263" s="179"/>
      <c r="AE263" s="179"/>
      <c r="AF263" s="179"/>
      <c r="AG263" s="179"/>
      <c r="AH263" s="179"/>
      <c r="AJ263"/>
    </row>
    <row r="264" spans="1:36" x14ac:dyDescent="0.25"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  <c r="AC264" s="179"/>
      <c r="AD264" s="179"/>
      <c r="AE264" s="179"/>
      <c r="AF264" s="179"/>
      <c r="AG264" s="179"/>
      <c r="AH264" s="179"/>
      <c r="AJ264"/>
    </row>
    <row r="265" spans="1:36" x14ac:dyDescent="0.25"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  <c r="AC265" s="179"/>
      <c r="AD265" s="179"/>
      <c r="AE265" s="179"/>
      <c r="AF265" s="179"/>
      <c r="AG265" s="179"/>
      <c r="AH265" s="179"/>
      <c r="AJ265"/>
    </row>
    <row r="266" spans="1:36" x14ac:dyDescent="0.25"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  <c r="AC266" s="179"/>
      <c r="AD266" s="179"/>
      <c r="AE266" s="179"/>
      <c r="AF266" s="179"/>
      <c r="AJ266"/>
    </row>
    <row r="490" spans="36:38" x14ac:dyDescent="0.25">
      <c r="AK490" s="1"/>
    </row>
    <row r="491" spans="36:38" x14ac:dyDescent="0.25">
      <c r="AK491" s="1"/>
      <c r="AL491" s="1"/>
    </row>
    <row r="492" spans="36:38" x14ac:dyDescent="0.25">
      <c r="AJ49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1:B23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28">
      <iconSet iconSet="3TrafficLights2" reverse="1">
        <cfvo type="percent" val="0"/>
        <cfvo type="num" val="1"/>
        <cfvo type="num" val="1"/>
      </iconSet>
    </cfRule>
  </conditionalFormatting>
  <conditionalFormatting sqref="D214:AF220 B214:B220 B212:AF212 U233:AF233 C99:AF105 B9:AF10 T11:AF11">
    <cfRule type="expression" dxfId="2480" priority="224">
      <formula>B$9&gt;=20/24</formula>
    </cfRule>
    <cfRule type="expression" dxfId="2479" priority="225">
      <formula>AND(B$9&gt;=14/24,B$9&lt;20/24)</formula>
    </cfRule>
    <cfRule type="expression" dxfId="2478" priority="226">
      <formula>AND(B$9&gt;=8/24,B$9&lt;14/24)</formula>
    </cfRule>
    <cfRule type="expression" dxfId="2477" priority="227">
      <formula>B$9&lt;8/24</formula>
    </cfRule>
  </conditionalFormatting>
  <conditionalFormatting sqref="AL4:AL6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2476" priority="219">
      <formula>S$9&gt;=20/24</formula>
    </cfRule>
    <cfRule type="expression" dxfId="2475" priority="220">
      <formula>AND(S$9&gt;=14/24,S$9&lt;20/24)</formula>
    </cfRule>
    <cfRule type="expression" dxfId="2474" priority="221">
      <formula>AND(S$9&gt;=8/24,S$9&lt;14/24)</formula>
    </cfRule>
    <cfRule type="expression" dxfId="2473" priority="222">
      <formula>S$9&lt;8/24</formula>
    </cfRule>
  </conditionalFormatting>
  <conditionalFormatting sqref="AG55 B12:B16 S37:AF37 B35:AF35 C11:AF16">
    <cfRule type="expression" dxfId="2472" priority="218">
      <formula>B11&gt;$AG11</formula>
    </cfRule>
  </conditionalFormatting>
  <conditionalFormatting sqref="A89:A102 A11:A14 A49:A76 A85:A87 A190:A220 A16:A30 A36:A47 A106:A177 A32:A33 A81:A83 A78:A79">
    <cfRule type="expression" dxfId="2471" priority="217">
      <formula>$AH11=0</formula>
    </cfRule>
  </conditionalFormatting>
  <conditionalFormatting sqref="A103">
    <cfRule type="expression" dxfId="2470" priority="216">
      <formula>$AH103=0</formula>
    </cfRule>
  </conditionalFormatting>
  <conditionalFormatting sqref="AL3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2469" priority="214">
      <formula>$AH35=0</formula>
    </cfRule>
  </conditionalFormatting>
  <conditionalFormatting sqref="A88">
    <cfRule type="expression" dxfId="2468" priority="213">
      <formula>$AH88=0</formula>
    </cfRule>
  </conditionalFormatting>
  <conditionalFormatting sqref="A15">
    <cfRule type="expression" dxfId="2467" priority="212">
      <formula>$AH15=0</formula>
    </cfRule>
  </conditionalFormatting>
  <conditionalFormatting sqref="A184:A189">
    <cfRule type="expression" dxfId="2466" priority="211">
      <formula>$AH184=0</formula>
    </cfRule>
  </conditionalFormatting>
  <conditionalFormatting sqref="A178:A183">
    <cfRule type="expression" dxfId="2465" priority="210">
      <formula>$AH178=0</formula>
    </cfRule>
  </conditionalFormatting>
  <conditionalFormatting sqref="A48">
    <cfRule type="expression" dxfId="2464" priority="209">
      <formula>$AH48=0</formula>
    </cfRule>
  </conditionalFormatting>
  <conditionalFormatting sqref="A84">
    <cfRule type="expression" dxfId="2463" priority="208">
      <formula>$AH84=0</formula>
    </cfRule>
  </conditionalFormatting>
  <conditionalFormatting sqref="C89:AF89">
    <cfRule type="expression" dxfId="2462" priority="204">
      <formula>C$9&gt;=20/24</formula>
    </cfRule>
    <cfRule type="expression" dxfId="2461" priority="205">
      <formula>AND(C$9&gt;=14/24,C$9&lt;20/24)</formula>
    </cfRule>
    <cfRule type="expression" dxfId="2460" priority="206">
      <formula>AND(C$9&gt;=8/24,C$9&lt;14/24)</formula>
    </cfRule>
    <cfRule type="expression" dxfId="2459" priority="207">
      <formula>C$9&lt;8/24</formula>
    </cfRule>
  </conditionalFormatting>
  <conditionalFormatting sqref="AL34">
    <cfRule type="iconSet" priority="20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458" priority="230">
      <formula>C$9&gt;=20/24</formula>
    </cfRule>
    <cfRule type="expression" dxfId="2457" priority="231">
      <formula>AND(C$9&gt;=14/24,C$9&lt;20/24)</formula>
    </cfRule>
    <cfRule type="expression" dxfId="2456" priority="232">
      <formula>AND(C$9&gt;=8/24,C$9&lt;14/24)</formula>
    </cfRule>
    <cfRule type="expression" dxfId="2455" priority="233">
      <formula>C$9&lt;8/24</formula>
    </cfRule>
  </conditionalFormatting>
  <conditionalFormatting sqref="A221">
    <cfRule type="expression" dxfId="2454" priority="234">
      <formula>$AH221=0</formula>
    </cfRule>
  </conditionalFormatting>
  <conditionalFormatting sqref="AG233">
    <cfRule type="expression" dxfId="2453" priority="235">
      <formula>B$9&gt;=20/24</formula>
    </cfRule>
    <cfRule type="expression" dxfId="2452" priority="236">
      <formula>AND(B$9&gt;=14/24,B$9&lt;20/24)</formula>
    </cfRule>
    <cfRule type="expression" dxfId="2451" priority="237">
      <formula>AND(B$9&gt;=8/24,B$9&lt;14/24)</formula>
    </cfRule>
    <cfRule type="expression" dxfId="2450" priority="238">
      <formula>B$9&lt;8/24</formula>
    </cfRule>
  </conditionalFormatting>
  <conditionalFormatting sqref="S8">
    <cfRule type="expression" dxfId="2449" priority="199">
      <formula>U$9&gt;=20/24</formula>
    </cfRule>
    <cfRule type="expression" dxfId="2448" priority="200">
      <formula>AND(U$9&gt;=14/24,U$9&lt;20/24)</formula>
    </cfRule>
    <cfRule type="expression" dxfId="2447" priority="201">
      <formula>AND(U$9&gt;=8/24,U$9&lt;14/24)</formula>
    </cfRule>
    <cfRule type="expression" dxfId="2446" priority="202">
      <formula>U$9&lt;8/24</formula>
    </cfRule>
  </conditionalFormatting>
  <conditionalFormatting sqref="AB8">
    <cfRule type="expression" dxfId="2445" priority="195">
      <formula>AD$9&gt;=20/24</formula>
    </cfRule>
    <cfRule type="expression" dxfId="2444" priority="196">
      <formula>AND(AD$9&gt;=14/24,AD$9&lt;20/24)</formula>
    </cfRule>
    <cfRule type="expression" dxfId="2443" priority="197">
      <formula>AND(AD$9&gt;=8/24,AD$9&lt;14/24)</formula>
    </cfRule>
    <cfRule type="expression" dxfId="2442" priority="198">
      <formula>AD$9&lt;8/24</formula>
    </cfRule>
  </conditionalFormatting>
  <conditionalFormatting sqref="AH233:AX233">
    <cfRule type="expression" dxfId="2441" priority="239">
      <formula>AG$9&gt;=20/24</formula>
    </cfRule>
    <cfRule type="expression" dxfId="2440" priority="240">
      <formula>AND(AG$9&gt;=14/24,AG$9&lt;20/24)</formula>
    </cfRule>
    <cfRule type="expression" dxfId="2439" priority="241">
      <formula>AND(AG$9&gt;=8/24,AG$9&lt;14/24)</formula>
    </cfRule>
    <cfRule type="expression" dxfId="2438" priority="242">
      <formula>AG$9&lt;8/24</formula>
    </cfRule>
  </conditionalFormatting>
  <conditionalFormatting sqref="T233">
    <cfRule type="expression" dxfId="2437" priority="243">
      <formula>AX$9&gt;=20/24</formula>
    </cfRule>
    <cfRule type="expression" dxfId="2436" priority="244">
      <formula>AND(AX$9&gt;=14/24,AX$9&lt;20/24)</formula>
    </cfRule>
    <cfRule type="expression" dxfId="2435" priority="245">
      <formula>AND(AX$9&gt;=8/24,AX$9&lt;14/24)</formula>
    </cfRule>
    <cfRule type="expression" dxfId="2434" priority="246">
      <formula>AX$9&lt;8/24</formula>
    </cfRule>
  </conditionalFormatting>
  <conditionalFormatting sqref="A104:A105">
    <cfRule type="expression" dxfId="2433" priority="194">
      <formula>$AH104=0</formula>
    </cfRule>
  </conditionalFormatting>
  <conditionalFormatting sqref="S44:W45 E44:O45 P45:R45 C61:AF61 AA36:AF36 Y44:AF45">
    <cfRule type="expression" dxfId="2432" priority="190">
      <formula>C$9&gt;=20/24</formula>
    </cfRule>
    <cfRule type="expression" dxfId="2431" priority="191">
      <formula>AND(C$9&gt;=14/24,C$9&lt;20/24)</formula>
    </cfRule>
    <cfRule type="expression" dxfId="2430" priority="192">
      <formula>AND(C$9&gt;=8/24,C$9&lt;14/24)</formula>
    </cfRule>
    <cfRule type="expression" dxfId="2429" priority="193">
      <formula>C$9&lt;8/24</formula>
    </cfRule>
  </conditionalFormatting>
  <conditionalFormatting sqref="S43:W43 E43:M43 Y43:AF43">
    <cfRule type="expression" dxfId="2428" priority="186">
      <formula>E$9&gt;=20/24</formula>
    </cfRule>
    <cfRule type="expression" dxfId="2427" priority="187">
      <formula>AND(E$9&gt;=14/24,E$9&lt;20/24)</formula>
    </cfRule>
    <cfRule type="expression" dxfId="2426" priority="188">
      <formula>AND(E$9&gt;=8/24,E$9&lt;14/24)</formula>
    </cfRule>
    <cfRule type="expression" dxfId="2425" priority="189">
      <formula>E$9&lt;8/24</formula>
    </cfRule>
  </conditionalFormatting>
  <conditionalFormatting sqref="S43:W45 E43:M45 N44:O45 P45:R45 AA36:AF36 Y43:AF45">
    <cfRule type="expression" dxfId="2424" priority="185">
      <formula>E36&gt;$AG36</formula>
    </cfRule>
  </conditionalFormatting>
  <conditionalFormatting sqref="C86:AF86 D62:AA63 C76:AF76 V18:X20 E73:AF75 E71:O71 E64:O67 X21:X22 V21:W21 C36:Z36 P64:AA71 C90:AF96 AA28:AF28 AA24:AF26 AA32:AF32 T16:AF16 Y18:AF22 T12:AF14 E57:AF59 AB62:AF71 AA30:AF30">
    <cfRule type="expression" dxfId="2423" priority="181">
      <formula>C$9&gt;=20/24</formula>
    </cfRule>
    <cfRule type="expression" dxfId="2422" priority="182">
      <formula>AND(C$9&gt;=14/24,C$9&lt;20/24)</formula>
    </cfRule>
    <cfRule type="expression" dxfId="2421" priority="183">
      <formula>AND(C$9&gt;=8/24,C$9&lt;14/24)</formula>
    </cfRule>
    <cfRule type="expression" dxfId="2420" priority="184">
      <formula>C$9&lt;8/24</formula>
    </cfRule>
  </conditionalFormatting>
  <conditionalFormatting sqref="AA33:AF33">
    <cfRule type="expression" dxfId="2419" priority="177">
      <formula>AA$9&gt;=20/24</formula>
    </cfRule>
    <cfRule type="expression" dxfId="2418" priority="178">
      <formula>AND(AA$9&gt;=14/24,AA$9&lt;20/24)</formula>
    </cfRule>
    <cfRule type="expression" dxfId="2417" priority="179">
      <formula>AND(AA$9&gt;=8/24,AA$9&lt;14/24)</formula>
    </cfRule>
    <cfRule type="expression" dxfId="2416" priority="180">
      <formula>AA$9&lt;8/24</formula>
    </cfRule>
  </conditionalFormatting>
  <conditionalFormatting sqref="V18:X20 C55:AF55 E46:G46 C36:R37 H46:S47 X21:X22 V21:W21 S36:Z36 AA24:AF28 AA32:AF33 Y18:AF22 E57:AF59 AA30:AF30">
    <cfRule type="expression" dxfId="2415" priority="176">
      <formula>C18&gt;$AG18</formula>
    </cfRule>
  </conditionalFormatting>
  <conditionalFormatting sqref="AA35:AF35">
    <cfRule type="expression" dxfId="2414" priority="172">
      <formula>AA$9&gt;=20/24</formula>
    </cfRule>
    <cfRule type="expression" dxfId="2413" priority="173">
      <formula>AND(AA$9&gt;=14/24,AA$9&lt;20/24)</formula>
    </cfRule>
    <cfRule type="expression" dxfId="2412" priority="174">
      <formula>AND(AA$9&gt;=8/24,AA$9&lt;14/24)</formula>
    </cfRule>
    <cfRule type="expression" dxfId="2411" priority="175">
      <formula>AA$9&lt;8/24</formula>
    </cfRule>
  </conditionalFormatting>
  <conditionalFormatting sqref="T15:AF15">
    <cfRule type="expression" dxfId="2410" priority="168">
      <formula>T$9&gt;=20/24</formula>
    </cfRule>
    <cfRule type="expression" dxfId="2409" priority="169">
      <formula>AND(T$9&gt;=14/24,T$9&lt;20/24)</formula>
    </cfRule>
    <cfRule type="expression" dxfId="2408" priority="170">
      <formula>AND(T$9&gt;=8/24,T$9&lt;14/24)</formula>
    </cfRule>
    <cfRule type="expression" dxfId="2407" priority="171">
      <formula>T$9&lt;8/24</formula>
    </cfRule>
  </conditionalFormatting>
  <conditionalFormatting sqref="AA34:AF34">
    <cfRule type="expression" dxfId="2406" priority="164">
      <formula>AA$9&gt;=20/24</formula>
    </cfRule>
    <cfRule type="expression" dxfId="2405" priority="165">
      <formula>AND(AA$9&gt;=14/24,AA$9&lt;20/24)</formula>
    </cfRule>
    <cfRule type="expression" dxfId="2404" priority="166">
      <formula>AND(AA$9&gt;=8/24,AA$9&lt;14/24)</formula>
    </cfRule>
    <cfRule type="expression" dxfId="2403" priority="167">
      <formula>AA$9&lt;8/24</formula>
    </cfRule>
  </conditionalFormatting>
  <conditionalFormatting sqref="AA34:AF34">
    <cfRule type="expression" dxfId="2402" priority="163">
      <formula>AA34&gt;$AG34</formula>
    </cfRule>
  </conditionalFormatting>
  <conditionalFormatting sqref="V46:AF47">
    <cfRule type="expression" dxfId="2401" priority="155">
      <formula>V$9&gt;=20/24</formula>
    </cfRule>
    <cfRule type="expression" dxfId="2400" priority="156">
      <formula>AND(V$9&gt;=14/24,V$9&lt;20/24)</formula>
    </cfRule>
    <cfRule type="expression" dxfId="2399" priority="157">
      <formula>AND(V$9&gt;=8/24,V$9&lt;14/24)</formula>
    </cfRule>
    <cfRule type="expression" dxfId="2398" priority="158">
      <formula>V$9&lt;8/24</formula>
    </cfRule>
  </conditionalFormatting>
  <conditionalFormatting sqref="V46:AF47">
    <cfRule type="expression" dxfId="2397" priority="154">
      <formula>V46&gt;$AG46</formula>
    </cfRule>
  </conditionalFormatting>
  <conditionalFormatting sqref="N43:P43 T46:U47 P44 Q43:R44 W48:AF49 W51:AF54">
    <cfRule type="expression" dxfId="2396" priority="150">
      <formula>N$9&gt;=20/24</formula>
    </cfRule>
    <cfRule type="expression" dxfId="2395" priority="151">
      <formula>AND(N$9&gt;=14/24,N$9&lt;20/24)</formula>
    </cfRule>
    <cfRule type="expression" dxfId="2394" priority="152">
      <formula>AND(N$9&gt;=8/24,N$9&lt;14/24)</formula>
    </cfRule>
    <cfRule type="expression" dxfId="2393" priority="153">
      <formula>N$9&lt;8/24</formula>
    </cfRule>
  </conditionalFormatting>
  <conditionalFormatting sqref="N43:P43 T46:U47 P44 Q43:R44 W48:AF49 W51:AF54">
    <cfRule type="expression" dxfId="2392" priority="149">
      <formula>N43&gt;$AG43</formula>
    </cfRule>
  </conditionalFormatting>
  <conditionalFormatting sqref="AA27:AF27">
    <cfRule type="expression" dxfId="2391" priority="145">
      <formula>AA$9&gt;=20/24</formula>
    </cfRule>
    <cfRule type="expression" dxfId="2390" priority="146">
      <formula>AND(AA$9&gt;=14/24,AA$9&lt;20/24)</formula>
    </cfRule>
    <cfRule type="expression" dxfId="2389" priority="147">
      <formula>AND(AA$9&gt;=8/24,AA$9&lt;14/24)</formula>
    </cfRule>
    <cfRule type="expression" dxfId="2388" priority="148">
      <formula>AA$9&lt;8/24</formula>
    </cfRule>
  </conditionalFormatting>
  <conditionalFormatting sqref="C11:S14 D16:S21 T17:U21 C25:Z25 AA23:AF23 V17:AF17">
    <cfRule type="expression" dxfId="2387" priority="141">
      <formula>C$9&gt;=20/24</formula>
    </cfRule>
    <cfRule type="expression" dxfId="2386" priority="142">
      <formula>AND(C$9&gt;=14/24,C$9&lt;20/24)</formula>
    </cfRule>
    <cfRule type="expression" dxfId="2385" priority="143">
      <formula>AND(C$9&gt;=8/24,C$9&lt;14/24)</formula>
    </cfRule>
    <cfRule type="expression" dxfId="2384" priority="144">
      <formula>C$9&lt;8/24</formula>
    </cfRule>
  </conditionalFormatting>
  <conditionalFormatting sqref="D17:U21 C25:Z25 AA23:AF23 V17:AF17">
    <cfRule type="expression" dxfId="2383" priority="136">
      <formula>C17&gt;$AG17</formula>
    </cfRule>
  </conditionalFormatting>
  <conditionalFormatting sqref="C15:S15">
    <cfRule type="expression" dxfId="2382" priority="128">
      <formula>C$9&gt;=20/24</formula>
    </cfRule>
    <cfRule type="expression" dxfId="2381" priority="129">
      <formula>AND(C$9&gt;=14/24,C$9&lt;20/24)</formula>
    </cfRule>
    <cfRule type="expression" dxfId="2380" priority="130">
      <formula>AND(C$9&gt;=8/24,C$9&lt;14/24)</formula>
    </cfRule>
    <cfRule type="expression" dxfId="2379" priority="131">
      <formula>C$9&lt;8/24</formula>
    </cfRule>
  </conditionalFormatting>
  <conditionalFormatting sqref="C44:D45">
    <cfRule type="expression" dxfId="2378" priority="119">
      <formula>C$9&gt;=20/24</formula>
    </cfRule>
    <cfRule type="expression" dxfId="2377" priority="120">
      <formula>AND(C$9&gt;=14/24,C$9&lt;20/24)</formula>
    </cfRule>
    <cfRule type="expression" dxfId="2376" priority="121">
      <formula>AND(C$9&gt;=8/24,C$9&lt;14/24)</formula>
    </cfRule>
    <cfRule type="expression" dxfId="2375" priority="122">
      <formula>C$9&lt;8/24</formula>
    </cfRule>
  </conditionalFormatting>
  <conditionalFormatting sqref="C43:D43">
    <cfRule type="expression" dxfId="2374" priority="115">
      <formula>C$9&gt;=20/24</formula>
    </cfRule>
    <cfRule type="expression" dxfId="2373" priority="116">
      <formula>AND(C$9&gt;=14/24,C$9&lt;20/24)</formula>
    </cfRule>
    <cfRule type="expression" dxfId="2372" priority="117">
      <formula>AND(C$9&gt;=8/24,C$9&lt;14/24)</formula>
    </cfRule>
    <cfRule type="expression" dxfId="2371" priority="118">
      <formula>C$9&lt;8/24</formula>
    </cfRule>
  </conditionalFormatting>
  <conditionalFormatting sqref="C43:D45">
    <cfRule type="expression" dxfId="2370" priority="114">
      <formula>C43&gt;$AG43</formula>
    </cfRule>
  </conditionalFormatting>
  <conditionalFormatting sqref="E68:O70">
    <cfRule type="expression" dxfId="2369" priority="110">
      <formula>E$9&gt;=20/24</formula>
    </cfRule>
    <cfRule type="expression" dxfId="2368" priority="111">
      <formula>AND(E$9&gt;=14/24,E$9&lt;20/24)</formula>
    </cfRule>
    <cfRule type="expression" dxfId="2367" priority="112">
      <formula>AND(E$9&gt;=8/24,E$9&lt;14/24)</formula>
    </cfRule>
    <cfRule type="expression" dxfId="2366" priority="113">
      <formula>E$9&lt;8/24</formula>
    </cfRule>
  </conditionalFormatting>
  <conditionalFormatting sqref="C46:D47 E47:G47">
    <cfRule type="expression" dxfId="2365" priority="109">
      <formula>C46&gt;$AG46</formula>
    </cfRule>
  </conditionalFormatting>
  <conditionalFormatting sqref="C48:V48">
    <cfRule type="expression" dxfId="2364" priority="105">
      <formula>C$9&gt;=20/24</formula>
    </cfRule>
    <cfRule type="expression" dxfId="2363" priority="106">
      <formula>AND(C$9&gt;=14/24,C$9&lt;20/24)</formula>
    </cfRule>
    <cfRule type="expression" dxfId="2362" priority="107">
      <formula>AND(C$9&gt;=8/24,C$9&lt;14/24)</formula>
    </cfRule>
    <cfRule type="expression" dxfId="2361" priority="108">
      <formula>C$9&lt;8/24</formula>
    </cfRule>
  </conditionalFormatting>
  <conditionalFormatting sqref="C48:V48">
    <cfRule type="expression" dxfId="2360" priority="104">
      <formula>C48&gt;$AG48</formula>
    </cfRule>
  </conditionalFormatting>
  <conditionalFormatting sqref="X44:X45">
    <cfRule type="expression" dxfId="2359" priority="100">
      <formula>X$9&gt;=20/24</formula>
    </cfRule>
    <cfRule type="expression" dxfId="2358" priority="101">
      <formula>AND(X$9&gt;=14/24,X$9&lt;20/24)</formula>
    </cfRule>
    <cfRule type="expression" dxfId="2357" priority="102">
      <formula>AND(X$9&gt;=8/24,X$9&lt;14/24)</formula>
    </cfRule>
    <cfRule type="expression" dxfId="2356" priority="103">
      <formula>X$9&lt;8/24</formula>
    </cfRule>
  </conditionalFormatting>
  <conditionalFormatting sqref="X43">
    <cfRule type="expression" dxfId="2355" priority="96">
      <formula>X$9&gt;=20/24</formula>
    </cfRule>
    <cfRule type="expression" dxfId="2354" priority="97">
      <formula>AND(X$9&gt;=14/24,X$9&lt;20/24)</formula>
    </cfRule>
    <cfRule type="expression" dxfId="2353" priority="98">
      <formula>AND(X$9&gt;=8/24,X$9&lt;14/24)</formula>
    </cfRule>
    <cfRule type="expression" dxfId="2352" priority="99">
      <formula>X$9&lt;8/24</formula>
    </cfRule>
  </conditionalFormatting>
  <conditionalFormatting sqref="X43:X45">
    <cfRule type="expression" dxfId="2351" priority="95">
      <formula>X43&gt;$AG43</formula>
    </cfRule>
  </conditionalFormatting>
  <conditionalFormatting sqref="B99:B105 B11 B78:AF78 B87:AF87">
    <cfRule type="expression" dxfId="2350" priority="91">
      <formula>B$9&gt;=20/24</formula>
    </cfRule>
    <cfRule type="expression" dxfId="2349" priority="92">
      <formula>AND(B$9&gt;=14/24,B$9&lt;20/24)</formula>
    </cfRule>
    <cfRule type="expression" dxfId="2348" priority="93">
      <formula>AND(B$9&gt;=8/24,B$9&lt;14/24)</formula>
    </cfRule>
    <cfRule type="expression" dxfId="2347" priority="94">
      <formula>B$9&lt;8/24</formula>
    </cfRule>
  </conditionalFormatting>
  <conditionalFormatting sqref="B37">
    <cfRule type="expression" dxfId="2346" priority="87">
      <formula>B$9&gt;=20/24</formula>
    </cfRule>
    <cfRule type="expression" dxfId="2345" priority="88">
      <formula>AND(B$9&gt;=14/24,B$9&lt;20/24)</formula>
    </cfRule>
    <cfRule type="expression" dxfId="2344" priority="89">
      <formula>AND(B$9&gt;=8/24,B$9&lt;14/24)</formula>
    </cfRule>
    <cfRule type="expression" dxfId="2343" priority="90">
      <formula>B$9&lt;8/24</formula>
    </cfRule>
  </conditionalFormatting>
  <conditionalFormatting sqref="B37 B11">
    <cfRule type="expression" dxfId="2342" priority="86">
      <formula>B11&gt;$AG11</formula>
    </cfRule>
  </conditionalFormatting>
  <conditionalFormatting sqref="B89">
    <cfRule type="expression" dxfId="2341" priority="82">
      <formula>B$9&gt;=20/24</formula>
    </cfRule>
    <cfRule type="expression" dxfId="2340" priority="83">
      <formula>AND(B$9&gt;=14/24,B$9&lt;20/24)</formula>
    </cfRule>
    <cfRule type="expression" dxfId="2339" priority="84">
      <formula>AND(B$9&gt;=8/24,B$9&lt;14/24)</formula>
    </cfRule>
    <cfRule type="expression" dxfId="2338" priority="85">
      <formula>B$9&lt;8/24</formula>
    </cfRule>
  </conditionalFormatting>
  <conditionalFormatting sqref="B44:B45 B36 B61">
    <cfRule type="expression" dxfId="2337" priority="78">
      <formula>B$9&gt;=20/24</formula>
    </cfRule>
    <cfRule type="expression" dxfId="2336" priority="79">
      <formula>AND(B$9&gt;=14/24,B$9&lt;20/24)</formula>
    </cfRule>
    <cfRule type="expression" dxfId="2335" priority="80">
      <formula>AND(B$9&gt;=8/24,B$9&lt;14/24)</formula>
    </cfRule>
    <cfRule type="expression" dxfId="2334" priority="81">
      <formula>B$9&lt;8/24</formula>
    </cfRule>
  </conditionalFormatting>
  <conditionalFormatting sqref="B43">
    <cfRule type="expression" dxfId="2333" priority="74">
      <formula>B$9&gt;=20/24</formula>
    </cfRule>
    <cfRule type="expression" dxfId="2332" priority="75">
      <formula>AND(B$9&gt;=14/24,B$9&lt;20/24)</formula>
    </cfRule>
    <cfRule type="expression" dxfId="2331" priority="76">
      <formula>AND(B$9&gt;=8/24,B$9&lt;14/24)</formula>
    </cfRule>
    <cfRule type="expression" dxfId="2330" priority="77">
      <formula>B$9&lt;8/24</formula>
    </cfRule>
  </conditionalFormatting>
  <conditionalFormatting sqref="B43:B45 B36">
    <cfRule type="expression" dxfId="2329" priority="73">
      <formula>B36&gt;$AG36</formula>
    </cfRule>
  </conditionalFormatting>
  <conditionalFormatting sqref="B90:B96 B12:B14 B24:B26 B57:B60 B73:B77 B79:AF79 B86 C60:AG60 C77:AG77 B88:AF88 B16:C16 B18:C22 B62:C71 C57:D59 D64:D71 C73:D75 D22:W22 C24:Z24 C26:Z26 B32:Z32 B28:Z28 B30:Z30 B29:AF29">
    <cfRule type="expression" dxfId="2328" priority="69">
      <formula>B$9&gt;=20/24</formula>
    </cfRule>
    <cfRule type="expression" dxfId="2327" priority="70">
      <formula>AND(B$9&gt;=14/24,B$9&lt;20/24)</formula>
    </cfRule>
    <cfRule type="expression" dxfId="2326" priority="71">
      <formula>AND(B$9&gt;=8/24,B$9&lt;14/24)</formula>
    </cfRule>
    <cfRule type="expression" dxfId="2325" priority="72">
      <formula>B$9&lt;8/24</formula>
    </cfRule>
  </conditionalFormatting>
  <conditionalFormatting sqref="B33:Z33">
    <cfRule type="expression" dxfId="2324" priority="65">
      <formula>B$9&gt;=20/24</formula>
    </cfRule>
    <cfRule type="expression" dxfId="2323" priority="66">
      <formula>AND(B$9&gt;=14/24,B$9&lt;20/24)</formula>
    </cfRule>
    <cfRule type="expression" dxfId="2322" priority="67">
      <formula>AND(B$9&gt;=8/24,B$9&lt;14/24)</formula>
    </cfRule>
    <cfRule type="expression" dxfId="2321" priority="68">
      <formula>B$9&lt;8/24</formula>
    </cfRule>
  </conditionalFormatting>
  <conditionalFormatting sqref="B46:B47 B24:B30 B55:B60 C56:AG56 C60:AG60 B18:C22 C57:D59 D22:W22 C24:Z24 B32:Z33 B38:AG38 C26:Z28 C30:Z30 C29:AF29">
    <cfRule type="expression" dxfId="2320" priority="64">
      <formula>B18&gt;$AG18</formula>
    </cfRule>
  </conditionalFormatting>
  <conditionalFormatting sqref="B35:Z35">
    <cfRule type="expression" dxfId="2319" priority="60">
      <formula>B$9&gt;=20/24</formula>
    </cfRule>
    <cfRule type="expression" dxfId="2318" priority="61">
      <formula>AND(B$9&gt;=14/24,B$9&lt;20/24)</formula>
    </cfRule>
    <cfRule type="expression" dxfId="2317" priority="62">
      <formula>AND(B$9&gt;=8/24,B$9&lt;14/24)</formula>
    </cfRule>
    <cfRule type="expression" dxfId="2316" priority="63">
      <formula>B$9&lt;8/24</formula>
    </cfRule>
  </conditionalFormatting>
  <conditionalFormatting sqref="B15">
    <cfRule type="expression" dxfId="2315" priority="56">
      <formula>B$9&gt;=20/24</formula>
    </cfRule>
    <cfRule type="expression" dxfId="2314" priority="57">
      <formula>AND(B$9&gt;=14/24,B$9&lt;20/24)</formula>
    </cfRule>
    <cfRule type="expression" dxfId="2313" priority="58">
      <formula>AND(B$9&gt;=8/24,B$9&lt;14/24)</formula>
    </cfRule>
    <cfRule type="expression" dxfId="2312" priority="59">
      <formula>B$9&lt;8/24</formula>
    </cfRule>
  </conditionalFormatting>
  <conditionalFormatting sqref="B34:Z34">
    <cfRule type="expression" dxfId="2311" priority="52">
      <formula>B$9&gt;=20/24</formula>
    </cfRule>
    <cfRule type="expression" dxfId="2310" priority="53">
      <formula>AND(B$9&gt;=14/24,B$9&lt;20/24)</formula>
    </cfRule>
    <cfRule type="expression" dxfId="2309" priority="54">
      <formula>AND(B$9&gt;=8/24,B$9&lt;14/24)</formula>
    </cfRule>
    <cfRule type="expression" dxfId="2308" priority="55">
      <formula>B$9&lt;8/24</formula>
    </cfRule>
  </conditionalFormatting>
  <conditionalFormatting sqref="B34:Z34">
    <cfRule type="expression" dxfId="2307" priority="51">
      <formula>B34&gt;$AG34</formula>
    </cfRule>
  </conditionalFormatting>
  <conditionalFormatting sqref="B48:B54 C49:V49 C51:V54 C50:AF50">
    <cfRule type="expression" dxfId="2306" priority="47">
      <formula>B$9&gt;=20/24</formula>
    </cfRule>
    <cfRule type="expression" dxfId="2305" priority="48">
      <formula>AND(B$9&gt;=14/24,B$9&lt;20/24)</formula>
    </cfRule>
    <cfRule type="expression" dxfId="2304" priority="49">
      <formula>AND(B$9&gt;=8/24,B$9&lt;14/24)</formula>
    </cfRule>
    <cfRule type="expression" dxfId="2303" priority="50">
      <formula>B$9&lt;8/24</formula>
    </cfRule>
  </conditionalFormatting>
  <conditionalFormatting sqref="B48:B54 C49:V49 C51:V54 C50:AF50">
    <cfRule type="expression" dxfId="2302" priority="46">
      <formula>B48&gt;$AG48</formula>
    </cfRule>
  </conditionalFormatting>
  <conditionalFormatting sqref="B27:Z27">
    <cfRule type="expression" dxfId="2301" priority="42">
      <formula>B$9&gt;=20/24</formula>
    </cfRule>
    <cfRule type="expression" dxfId="2300" priority="43">
      <formula>AND(B$9&gt;=14/24,B$9&lt;20/24)</formula>
    </cfRule>
    <cfRule type="expression" dxfId="2299" priority="44">
      <formula>AND(B$9&gt;=8/24,B$9&lt;14/24)</formula>
    </cfRule>
    <cfRule type="expression" dxfId="2298" priority="45">
      <formula>B$9&lt;8/24</formula>
    </cfRule>
  </conditionalFormatting>
  <conditionalFormatting sqref="B17:C17 B23:Z23">
    <cfRule type="expression" dxfId="2297" priority="38">
      <formula>B$9&gt;=20/24</formula>
    </cfRule>
    <cfRule type="expression" dxfId="2296" priority="39">
      <formula>AND(B$9&gt;=14/24,B$9&lt;20/24)</formula>
    </cfRule>
    <cfRule type="expression" dxfId="2295" priority="40">
      <formula>AND(B$9&gt;=8/24,B$9&lt;14/24)</formula>
    </cfRule>
    <cfRule type="expression" dxfId="2294" priority="41">
      <formula>B$9&lt;8/24</formula>
    </cfRule>
  </conditionalFormatting>
  <conditionalFormatting sqref="B17:C17 B23:Z23">
    <cfRule type="expression" dxfId="2293" priority="37">
      <formula>B17&gt;$AG17</formula>
    </cfRule>
  </conditionalFormatting>
  <conditionalFormatting sqref="A34">
    <cfRule type="expression" dxfId="2292" priority="36">
      <formula>$AH34=0</formula>
    </cfRule>
  </conditionalFormatting>
  <conditionalFormatting sqref="B72:AF72">
    <cfRule type="expression" dxfId="2291" priority="32">
      <formula>B$9&gt;=20/24</formula>
    </cfRule>
    <cfRule type="expression" dxfId="2290" priority="33">
      <formula>AND(B$9&gt;=14/24,B$9&lt;20/24)</formula>
    </cfRule>
    <cfRule type="expression" dxfId="2289" priority="34">
      <formula>AND(B$9&gt;=8/24,B$9&lt;14/24)</formula>
    </cfRule>
    <cfRule type="expression" dxfId="2288" priority="35">
      <formula>B$9&lt;8/24</formula>
    </cfRule>
  </conditionalFormatting>
  <conditionalFormatting sqref="B81:AF85">
    <cfRule type="expression" dxfId="2287" priority="28">
      <formula>B$9&gt;=20/24</formula>
    </cfRule>
    <cfRule type="expression" dxfId="2286" priority="29">
      <formula>AND(B$9&gt;=14/24,B$9&lt;20/24)</formula>
    </cfRule>
    <cfRule type="expression" dxfId="2285" priority="30">
      <formula>AND(B$9&gt;=8/24,B$9&lt;14/24)</formula>
    </cfRule>
    <cfRule type="expression" dxfId="2284" priority="31">
      <formula>B$9&lt;8/24</formula>
    </cfRule>
  </conditionalFormatting>
  <conditionalFormatting sqref="AL35 AL7:AL30 AL32">
    <cfRule type="iconSet" priority="247">
      <iconSet iconSet="3TrafficLights2" reverse="1">
        <cfvo type="percent" val="0"/>
        <cfvo type="num" val="1"/>
        <cfvo type="num" val="1"/>
      </iconSet>
    </cfRule>
  </conditionalFormatting>
  <conditionalFormatting sqref="D39:AF41">
    <cfRule type="expression" dxfId="2283" priority="24">
      <formula>D$9&gt;=20/24</formula>
    </cfRule>
    <cfRule type="expression" dxfId="2282" priority="25">
      <formula>AND(D$9&gt;=14/24,D$9&lt;20/24)</formula>
    </cfRule>
    <cfRule type="expression" dxfId="2281" priority="26">
      <formula>AND(D$9&gt;=8/24,D$9&lt;14/24)</formula>
    </cfRule>
    <cfRule type="expression" dxfId="2280" priority="27">
      <formula>D$9&lt;8/24</formula>
    </cfRule>
  </conditionalFormatting>
  <conditionalFormatting sqref="D39:AF41">
    <cfRule type="expression" dxfId="2279" priority="23">
      <formula>D39&gt;$AG39</formula>
    </cfRule>
  </conditionalFormatting>
  <conditionalFormatting sqref="B39:B42 C42:AG42 C39:C41">
    <cfRule type="expression" dxfId="2278" priority="19">
      <formula>B$9&gt;=20/24</formula>
    </cfRule>
    <cfRule type="expression" dxfId="2277" priority="20">
      <formula>AND(B$9&gt;=14/24,B$9&lt;20/24)</formula>
    </cfRule>
    <cfRule type="expression" dxfId="2276" priority="21">
      <formula>AND(B$9&gt;=8/24,B$9&lt;14/24)</formula>
    </cfRule>
    <cfRule type="expression" dxfId="2275" priority="22">
      <formula>B$9&lt;8/24</formula>
    </cfRule>
  </conditionalFormatting>
  <conditionalFormatting sqref="B39:B42 C42:AG42 C39:C41">
    <cfRule type="expression" dxfId="2274" priority="18">
      <formula>B39&gt;$AG39</formula>
    </cfRule>
  </conditionalFormatting>
  <conditionalFormatting sqref="C97:AF97">
    <cfRule type="expression" dxfId="2273" priority="14">
      <formula>C$9&gt;=20/24</formula>
    </cfRule>
    <cfRule type="expression" dxfId="2272" priority="15">
      <formula>AND(C$9&gt;=14/24,C$9&lt;20/24)</formula>
    </cfRule>
    <cfRule type="expression" dxfId="2271" priority="16">
      <formula>AND(C$9&gt;=8/24,C$9&lt;14/24)</formula>
    </cfRule>
    <cfRule type="expression" dxfId="2270" priority="17">
      <formula>C$9&lt;8/24</formula>
    </cfRule>
  </conditionalFormatting>
  <conditionalFormatting sqref="B97">
    <cfRule type="expression" dxfId="2269" priority="10">
      <formula>B$9&gt;=20/24</formula>
    </cfRule>
    <cfRule type="expression" dxfId="2268" priority="11">
      <formula>AND(B$9&gt;=14/24,B$9&lt;20/24)</formula>
    </cfRule>
    <cfRule type="expression" dxfId="2267" priority="12">
      <formula>AND(B$9&gt;=8/24,B$9&lt;14/24)</formula>
    </cfRule>
    <cfRule type="expression" dxfId="2266" priority="13">
      <formula>B$9&lt;8/24</formula>
    </cfRule>
  </conditionalFormatting>
  <conditionalFormatting sqref="AL31">
    <cfRule type="iconSet" priority="9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2265" priority="3">
      <formula>$AH31=0</formula>
    </cfRule>
  </conditionalFormatting>
  <conditionalFormatting sqref="A80">
    <cfRule type="expression" dxfId="2264" priority="1">
      <formula>$AH80=0</formula>
    </cfRule>
  </conditionalFormatting>
  <conditionalFormatting sqref="A77">
    <cfRule type="expression" dxfId="2263" priority="2">
      <formula>$AH77=0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C58B0ED1-A02F-408D-BC80-AAC89C06045E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" id="{D76FE148-CB5B-47B6-86C6-0CC0C7C33619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" id="{A3A66C0C-3420-4CF4-A5BF-5A6BFD1D90D1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" id="{566D08C3-BF0F-49E8-A0E9-C07E335137AD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4" id="{F4835121-8B1C-48DE-B6DB-4F466FFDE154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2"/>
  <sheetViews>
    <sheetView zoomScale="90" zoomScaleNormal="90" workbookViewId="0">
      <pane xSplit="1" ySplit="10" topLeftCell="B98" activePane="bottomRight" state="frozen"/>
      <selection activeCell="AF88" sqref="AF88"/>
      <selection pane="topRight" activeCell="AF88" sqref="AF88"/>
      <selection pane="bottomLeft" activeCell="AF88" sqref="AF88"/>
      <selection pane="bottomRight" activeCell="M104" sqref="M104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2079/02/23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("&amp;ROUND(B237,0)&amp;" MW)"&amp;"    IPP   = "&amp;ROUND(B232,0)&amp;" MW     NEA RoR = "&amp;ROUND(B233,0)&amp;" MWImport   = "&amp;ROUND(B235,0)&amp;" MW      KL1+KL2+K3 = "&amp;ROUND(B234,0) &amp;" MW    EXPORT = "&amp;ROUND(B236,0)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73</v>
      </c>
      <c r="C5" s="32">
        <f t="shared" si="0"/>
        <v>78</v>
      </c>
      <c r="D5" s="32">
        <f t="shared" si="0"/>
        <v>82</v>
      </c>
      <c r="E5" s="32">
        <f t="shared" si="0"/>
        <v>85</v>
      </c>
      <c r="F5" s="32">
        <f t="shared" si="0"/>
        <v>83</v>
      </c>
      <c r="G5" s="32">
        <f t="shared" si="0"/>
        <v>82</v>
      </c>
      <c r="H5" s="32">
        <f t="shared" si="0"/>
        <v>71</v>
      </c>
      <c r="I5" s="32">
        <f t="shared" si="0"/>
        <v>55</v>
      </c>
      <c r="J5" s="32">
        <f t="shared" si="0"/>
        <v>54</v>
      </c>
      <c r="K5" s="32">
        <f t="shared" si="0"/>
        <v>62</v>
      </c>
      <c r="L5" s="32">
        <f t="shared" si="0"/>
        <v>70</v>
      </c>
      <c r="M5" s="32">
        <f t="shared" si="0"/>
        <v>43</v>
      </c>
      <c r="N5" s="32">
        <f t="shared" si="0"/>
        <v>44.4</v>
      </c>
      <c r="O5" s="32">
        <f t="shared" si="0"/>
        <v>73.5</v>
      </c>
      <c r="P5" s="32">
        <f t="shared" si="0"/>
        <v>73.5</v>
      </c>
      <c r="Q5" s="32">
        <f t="shared" si="0"/>
        <v>67.400000000000006</v>
      </c>
      <c r="R5" s="32">
        <f t="shared" si="0"/>
        <v>67.400000000000006</v>
      </c>
      <c r="S5" s="32">
        <f t="shared" si="0"/>
        <v>35</v>
      </c>
      <c r="T5" s="32">
        <f t="shared" si="0"/>
        <v>35</v>
      </c>
      <c r="U5" s="32">
        <f t="shared" si="0"/>
        <v>49</v>
      </c>
      <c r="V5" s="32">
        <f t="shared" si="0"/>
        <v>47.3</v>
      </c>
      <c r="W5" s="32">
        <f t="shared" si="0"/>
        <v>56.3</v>
      </c>
      <c r="X5" s="32">
        <f t="shared" si="0"/>
        <v>66.2</v>
      </c>
      <c r="Y5" s="32">
        <f t="shared" si="0"/>
        <v>60.3</v>
      </c>
      <c r="Z5" s="32">
        <f t="shared" si="0"/>
        <v>77.7</v>
      </c>
      <c r="AA5" s="32">
        <f t="shared" si="0"/>
        <v>50</v>
      </c>
      <c r="AB5" s="32">
        <f t="shared" si="0"/>
        <v>46</v>
      </c>
      <c r="AC5" s="32">
        <f t="shared" si="0"/>
        <v>47</v>
      </c>
      <c r="AD5" s="32">
        <f t="shared" si="0"/>
        <v>49</v>
      </c>
      <c r="AE5" s="32">
        <f t="shared" si="0"/>
        <v>96</v>
      </c>
      <c r="AF5" s="32">
        <f>B72</f>
        <v>73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9.5" customHeight="1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"&amp;ROUND(B237,0)&amp;"MW at "&amp;TRUNC(B238*24,0)&amp;":"&amp;ROUND((B238*24-TRUNC(B238*24,0))*60,0)&amp;"hr at "&amp;ROUND(B239,1)&amp;"Hz     "&amp;A229&amp;" "&amp;ROUND(B229,0)&amp;"MW at "&amp;TRUNC(C229*24,0)&amp;":"&amp;ROUND((C229*24-TRUNC(C229*24,0))*6,0)&amp;"0hr"</f>
        <v>Evening Peak 0MW at 0:0hr at 0Hz     Morning Peak 1847MW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Load=1718</v>
      </c>
      <c r="B7" s="37">
        <f>B79</f>
        <v>1864.2400000000002</v>
      </c>
      <c r="C7" s="37">
        <f t="shared" ref="C7:AF7" si="1">C79</f>
        <v>1761.5400000000002</v>
      </c>
      <c r="D7" s="37">
        <f t="shared" si="1"/>
        <v>1751.0400000000002</v>
      </c>
      <c r="E7" s="37">
        <f t="shared" si="1"/>
        <v>1755.6400000000003</v>
      </c>
      <c r="F7" s="37">
        <f t="shared" si="1"/>
        <v>1764.6400000000003</v>
      </c>
      <c r="G7" s="37">
        <f t="shared" si="1"/>
        <v>1771.6400000000003</v>
      </c>
      <c r="H7" s="37">
        <f t="shared" si="1"/>
        <v>1766.3400000000001</v>
      </c>
      <c r="I7" s="37">
        <f t="shared" si="1"/>
        <v>1743.7400000000002</v>
      </c>
      <c r="J7" s="37">
        <f t="shared" si="1"/>
        <v>1772.8400000000001</v>
      </c>
      <c r="K7" s="37">
        <f t="shared" si="1"/>
        <v>1825.8400000000001</v>
      </c>
      <c r="L7" s="37">
        <f t="shared" si="1"/>
        <v>1794.64</v>
      </c>
      <c r="M7" s="37">
        <f t="shared" si="1"/>
        <v>1846.94</v>
      </c>
      <c r="N7" s="37">
        <f t="shared" si="1"/>
        <v>1823.44</v>
      </c>
      <c r="O7" s="37">
        <f t="shared" si="1"/>
        <v>1827.5400000000002</v>
      </c>
      <c r="P7" s="37">
        <f t="shared" si="1"/>
        <v>1881.54</v>
      </c>
      <c r="Q7" s="37">
        <f t="shared" si="1"/>
        <v>1882.04</v>
      </c>
      <c r="R7" s="37">
        <f t="shared" si="1"/>
        <v>1825.1400000000003</v>
      </c>
      <c r="S7" s="37">
        <f t="shared" si="1"/>
        <v>1827.54</v>
      </c>
      <c r="T7" s="37">
        <f t="shared" si="1"/>
        <v>1745.8400000000001</v>
      </c>
      <c r="U7" s="37">
        <f t="shared" si="1"/>
        <v>1717.84</v>
      </c>
      <c r="V7" s="37">
        <f t="shared" si="1"/>
        <v>1735.54</v>
      </c>
      <c r="W7" s="37">
        <f t="shared" si="1"/>
        <v>1734.5399999999997</v>
      </c>
      <c r="X7" s="37">
        <f t="shared" si="1"/>
        <v>1740.0399999999997</v>
      </c>
      <c r="Y7" s="37">
        <f t="shared" si="1"/>
        <v>1750.54</v>
      </c>
      <c r="Z7" s="37">
        <f t="shared" si="1"/>
        <v>1744.54</v>
      </c>
      <c r="AA7" s="37">
        <f t="shared" si="1"/>
        <v>1761.94</v>
      </c>
      <c r="AB7" s="37">
        <f t="shared" si="1"/>
        <v>1857.24</v>
      </c>
      <c r="AC7" s="37">
        <f t="shared" si="1"/>
        <v>1892.34</v>
      </c>
      <c r="AD7" s="37">
        <f t="shared" si="1"/>
        <v>1893.6399999999999</v>
      </c>
      <c r="AE7" s="37">
        <f t="shared" si="1"/>
        <v>1852.84</v>
      </c>
      <c r="AF7" s="37">
        <f t="shared" si="1"/>
        <v>1829.64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179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0">
        <v>54.2</v>
      </c>
      <c r="C11" s="50">
        <v>54.2</v>
      </c>
      <c r="D11" s="50">
        <v>54.2</v>
      </c>
      <c r="E11" s="50">
        <v>54.2</v>
      </c>
      <c r="F11" s="50">
        <v>54.2</v>
      </c>
      <c r="G11" s="50">
        <v>54.2</v>
      </c>
      <c r="H11" s="50">
        <v>54.2</v>
      </c>
      <c r="I11" s="50">
        <v>54.2</v>
      </c>
      <c r="J11" s="50">
        <v>54.2</v>
      </c>
      <c r="K11" s="50">
        <v>54.2</v>
      </c>
      <c r="L11" s="51">
        <v>54.1</v>
      </c>
      <c r="M11" s="51">
        <v>54.1</v>
      </c>
      <c r="N11" s="51">
        <v>54.1</v>
      </c>
      <c r="O11" s="51">
        <v>54.1</v>
      </c>
      <c r="P11" s="51">
        <v>54.1</v>
      </c>
      <c r="Q11" s="51">
        <v>54.1</v>
      </c>
      <c r="R11" s="51">
        <v>53.9</v>
      </c>
      <c r="S11" s="51">
        <v>53.9</v>
      </c>
      <c r="T11" s="51">
        <v>53.9</v>
      </c>
      <c r="U11" s="51">
        <v>53.9</v>
      </c>
      <c r="V11" s="51">
        <v>53.9</v>
      </c>
      <c r="W11" s="51">
        <v>54</v>
      </c>
      <c r="X11" s="51">
        <v>54</v>
      </c>
      <c r="Y11" s="51">
        <v>54</v>
      </c>
      <c r="Z11" s="52">
        <v>54</v>
      </c>
      <c r="AA11" s="52">
        <v>54</v>
      </c>
      <c r="AB11" s="52">
        <v>54</v>
      </c>
      <c r="AC11" s="52">
        <v>54</v>
      </c>
      <c r="AD11" s="52">
        <v>54</v>
      </c>
      <c r="AE11" s="52">
        <v>54</v>
      </c>
      <c r="AF11" s="52">
        <v>54</v>
      </c>
      <c r="AG11" s="133">
        <v>52.4</v>
      </c>
      <c r="AH11" s="54">
        <f>MAX(B11:AF11)</f>
        <v>54.2</v>
      </c>
      <c r="AI11" s="55">
        <f>MIN(B11:AF11)</f>
        <v>53.9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50.3</v>
      </c>
      <c r="C12" s="50">
        <v>50.3</v>
      </c>
      <c r="D12" s="50">
        <v>50.3</v>
      </c>
      <c r="E12" s="50">
        <v>50.3</v>
      </c>
      <c r="F12" s="50">
        <v>50.3</v>
      </c>
      <c r="G12" s="50">
        <v>50.3</v>
      </c>
      <c r="H12" s="50">
        <v>50.3</v>
      </c>
      <c r="I12" s="50">
        <v>50.3</v>
      </c>
      <c r="J12" s="50">
        <v>50.3</v>
      </c>
      <c r="K12" s="50">
        <v>50.3</v>
      </c>
      <c r="L12" s="50">
        <v>50.4</v>
      </c>
      <c r="M12" s="50">
        <v>50.4</v>
      </c>
      <c r="N12" s="50">
        <v>50.4</v>
      </c>
      <c r="O12" s="50">
        <v>50.4</v>
      </c>
      <c r="P12" s="50">
        <v>50.4</v>
      </c>
      <c r="Q12" s="50">
        <v>50.4</v>
      </c>
      <c r="R12" s="50">
        <v>50.4</v>
      </c>
      <c r="S12" s="50">
        <v>50.4</v>
      </c>
      <c r="T12" s="50">
        <v>50.4</v>
      </c>
      <c r="U12" s="50">
        <v>50.4</v>
      </c>
      <c r="V12" s="50">
        <v>50.3</v>
      </c>
      <c r="W12" s="50">
        <v>50.4</v>
      </c>
      <c r="X12" s="50">
        <v>50.4</v>
      </c>
      <c r="Y12" s="50">
        <v>50.4</v>
      </c>
      <c r="Z12" s="50">
        <v>50.5</v>
      </c>
      <c r="AA12" s="50">
        <v>50.5</v>
      </c>
      <c r="AB12" s="50">
        <v>50.5</v>
      </c>
      <c r="AC12" s="50">
        <v>50.5</v>
      </c>
      <c r="AD12" s="50">
        <v>50.5</v>
      </c>
      <c r="AE12" s="50">
        <v>50.5</v>
      </c>
      <c r="AF12" s="50">
        <v>50.5</v>
      </c>
      <c r="AG12" s="134">
        <v>50</v>
      </c>
      <c r="AH12" s="54">
        <f t="shared" ref="AH12:AH79" si="2">MAX(B12:AF12)</f>
        <v>50.5</v>
      </c>
      <c r="AI12" s="55">
        <f t="shared" ref="AI12:AI79" si="3">MIN(B12:AF12)</f>
        <v>50.3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45.8</v>
      </c>
      <c r="C13" s="50">
        <v>45.8</v>
      </c>
      <c r="D13" s="50">
        <v>45.8</v>
      </c>
      <c r="E13" s="50">
        <v>45.8</v>
      </c>
      <c r="F13" s="50">
        <v>45.8</v>
      </c>
      <c r="G13" s="50">
        <v>45.8</v>
      </c>
      <c r="H13" s="50">
        <v>45.8</v>
      </c>
      <c r="I13" s="50">
        <v>45.8</v>
      </c>
      <c r="J13" s="50">
        <v>45.8</v>
      </c>
      <c r="K13" s="50">
        <v>45.8</v>
      </c>
      <c r="L13" s="50">
        <v>45.9</v>
      </c>
      <c r="M13" s="50">
        <v>45.9</v>
      </c>
      <c r="N13" s="50">
        <v>45.9</v>
      </c>
      <c r="O13" s="50">
        <v>45.9</v>
      </c>
      <c r="P13" s="50">
        <v>45.9</v>
      </c>
      <c r="Q13" s="50">
        <v>45.9</v>
      </c>
      <c r="R13" s="50">
        <v>45.9</v>
      </c>
      <c r="S13" s="50">
        <v>45.9</v>
      </c>
      <c r="T13" s="50">
        <v>45.9</v>
      </c>
      <c r="U13" s="50">
        <v>45.9</v>
      </c>
      <c r="V13" s="50">
        <v>45.8</v>
      </c>
      <c r="W13" s="50">
        <v>44.6</v>
      </c>
      <c r="X13" s="50">
        <v>44.6</v>
      </c>
      <c r="Y13" s="50">
        <v>44.6</v>
      </c>
      <c r="Z13" s="50">
        <v>45.7</v>
      </c>
      <c r="AA13" s="50">
        <v>45.7</v>
      </c>
      <c r="AB13" s="50">
        <v>45.7</v>
      </c>
      <c r="AC13" s="50">
        <v>45.7</v>
      </c>
      <c r="AD13" s="50">
        <v>45.7</v>
      </c>
      <c r="AE13" s="50">
        <v>45.7</v>
      </c>
      <c r="AF13" s="50">
        <v>45.7</v>
      </c>
      <c r="AG13" s="134">
        <v>45</v>
      </c>
      <c r="AH13" s="54">
        <f t="shared" si="2"/>
        <v>45.9</v>
      </c>
      <c r="AI13" s="55">
        <f t="shared" si="3"/>
        <v>44.6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28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28</v>
      </c>
      <c r="Q14" s="50">
        <v>28</v>
      </c>
      <c r="R14" s="50">
        <v>28</v>
      </c>
      <c r="S14" s="50">
        <v>38</v>
      </c>
      <c r="T14" s="50">
        <v>28</v>
      </c>
      <c r="U14" s="50">
        <v>28</v>
      </c>
      <c r="V14" s="50">
        <v>28</v>
      </c>
      <c r="W14" s="50">
        <v>29.5</v>
      </c>
      <c r="X14" s="50">
        <v>28</v>
      </c>
      <c r="Y14" s="50">
        <v>28</v>
      </c>
      <c r="Z14" s="50">
        <v>28</v>
      </c>
      <c r="AA14" s="50">
        <v>28</v>
      </c>
      <c r="AB14" s="50">
        <v>28</v>
      </c>
      <c r="AC14" s="50">
        <v>28</v>
      </c>
      <c r="AD14" s="50">
        <v>28</v>
      </c>
      <c r="AE14" s="50">
        <v>28</v>
      </c>
      <c r="AF14" s="50">
        <v>28</v>
      </c>
      <c r="AG14" s="134">
        <v>42</v>
      </c>
      <c r="AH14" s="54">
        <f t="shared" si="2"/>
        <v>38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30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5</v>
      </c>
      <c r="N15" s="50">
        <v>5</v>
      </c>
      <c r="O15" s="50">
        <v>5</v>
      </c>
      <c r="P15" s="50">
        <v>30</v>
      </c>
      <c r="Q15" s="50">
        <v>23</v>
      </c>
      <c r="R15" s="50">
        <v>23</v>
      </c>
      <c r="S15" s="50">
        <v>24</v>
      </c>
      <c r="T15" s="50">
        <v>2.5</v>
      </c>
      <c r="U15" s="50">
        <v>2.6</v>
      </c>
      <c r="V15" s="50">
        <v>2.6</v>
      </c>
      <c r="W15" s="50">
        <v>2.6</v>
      </c>
      <c r="X15" s="50">
        <v>2.6</v>
      </c>
      <c r="Y15" s="50">
        <v>2.6</v>
      </c>
      <c r="Z15" s="50">
        <v>2.6</v>
      </c>
      <c r="AA15" s="50">
        <v>2.6</v>
      </c>
      <c r="AB15" s="50">
        <v>29.4</v>
      </c>
      <c r="AC15" s="50">
        <v>29.4</v>
      </c>
      <c r="AD15" s="50">
        <v>29.4</v>
      </c>
      <c r="AE15" s="50">
        <v>29.4</v>
      </c>
      <c r="AF15" s="50">
        <v>29.4</v>
      </c>
      <c r="AG15" s="135">
        <v>30</v>
      </c>
      <c r="AH15" s="54">
        <f t="shared" si="2"/>
        <v>30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26.1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6</v>
      </c>
      <c r="J16" s="50">
        <v>13.2</v>
      </c>
      <c r="K16" s="50">
        <v>13.2</v>
      </c>
      <c r="L16" s="50">
        <v>13.3</v>
      </c>
      <c r="M16" s="50">
        <v>13.3</v>
      </c>
      <c r="N16" s="50">
        <v>13.3</v>
      </c>
      <c r="O16" s="50">
        <v>13.3</v>
      </c>
      <c r="P16" s="50">
        <v>26</v>
      </c>
      <c r="Q16" s="50">
        <v>26</v>
      </c>
      <c r="R16" s="50">
        <v>26</v>
      </c>
      <c r="S16" s="50">
        <v>26</v>
      </c>
      <c r="T16" s="50">
        <v>26</v>
      </c>
      <c r="U16" s="50">
        <v>26</v>
      </c>
      <c r="V16" s="50">
        <v>26</v>
      </c>
      <c r="W16" s="50">
        <v>26</v>
      </c>
      <c r="X16" s="50">
        <v>26</v>
      </c>
      <c r="Y16" s="50">
        <v>26</v>
      </c>
      <c r="Z16" s="50">
        <v>26</v>
      </c>
      <c r="AA16" s="50">
        <v>26</v>
      </c>
      <c r="AB16" s="50">
        <v>26</v>
      </c>
      <c r="AC16" s="50">
        <v>26</v>
      </c>
      <c r="AD16" s="50">
        <v>26</v>
      </c>
      <c r="AE16" s="50">
        <v>26</v>
      </c>
      <c r="AF16" s="50">
        <v>26</v>
      </c>
      <c r="AG16" s="134">
        <v>25</v>
      </c>
      <c r="AH16" s="54">
        <f t="shared" si="2"/>
        <v>26.1</v>
      </c>
      <c r="AI16" s="55">
        <f t="shared" si="3"/>
        <v>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25</v>
      </c>
      <c r="D18" s="50">
        <v>25</v>
      </c>
      <c r="E18" s="50">
        <v>25</v>
      </c>
      <c r="F18" s="50">
        <v>25</v>
      </c>
      <c r="G18" s="50">
        <v>25</v>
      </c>
      <c r="H18" s="50">
        <v>25</v>
      </c>
      <c r="I18" s="50">
        <v>25</v>
      </c>
      <c r="J18" s="50">
        <v>25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25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33.299999999999997</v>
      </c>
      <c r="C19" s="50">
        <v>33.299999999999997</v>
      </c>
      <c r="D19" s="50">
        <v>33.299999999999997</v>
      </c>
      <c r="E19" s="50">
        <v>33.299999999999997</v>
      </c>
      <c r="F19" s="50">
        <v>33.299999999999997</v>
      </c>
      <c r="G19" s="50">
        <v>33.299999999999997</v>
      </c>
      <c r="H19" s="50">
        <v>33.299999999999997</v>
      </c>
      <c r="I19" s="50">
        <v>33.299999999999997</v>
      </c>
      <c r="J19" s="50">
        <v>33.299999999999997</v>
      </c>
      <c r="K19" s="50">
        <v>33.299999999999997</v>
      </c>
      <c r="L19" s="50">
        <v>33.299999999999997</v>
      </c>
      <c r="M19" s="50">
        <v>33.299999999999997</v>
      </c>
      <c r="N19" s="50">
        <v>33.299999999999997</v>
      </c>
      <c r="O19" s="50">
        <v>33.299999999999997</v>
      </c>
      <c r="P19" s="50">
        <v>33.299999999999997</v>
      </c>
      <c r="Q19" s="50">
        <v>33.299999999999997</v>
      </c>
      <c r="R19" s="50">
        <v>33.299999999999997</v>
      </c>
      <c r="S19" s="50">
        <v>33.299999999999997</v>
      </c>
      <c r="T19" s="50">
        <v>33.299999999999997</v>
      </c>
      <c r="U19" s="50">
        <v>33.299999999999997</v>
      </c>
      <c r="V19" s="50">
        <v>33.299999999999997</v>
      </c>
      <c r="W19" s="50">
        <v>33.299999999999997</v>
      </c>
      <c r="X19" s="50">
        <v>33.299999999999997</v>
      </c>
      <c r="Y19" s="50">
        <v>33.299999999999997</v>
      </c>
      <c r="Z19" s="50">
        <v>33.299999999999997</v>
      </c>
      <c r="AA19" s="50">
        <v>33.299999999999997</v>
      </c>
      <c r="AB19" s="50">
        <v>33.299999999999997</v>
      </c>
      <c r="AC19" s="50">
        <v>33.299999999999997</v>
      </c>
      <c r="AD19" s="50">
        <v>33.299999999999997</v>
      </c>
      <c r="AE19" s="50">
        <v>33.299999999999997</v>
      </c>
      <c r="AF19" s="50">
        <v>33.299999999999997</v>
      </c>
      <c r="AG19" s="134">
        <v>24.2</v>
      </c>
      <c r="AH19" s="54">
        <f t="shared" si="2"/>
        <v>33.299999999999997</v>
      </c>
      <c r="AI19" s="55">
        <f t="shared" si="3"/>
        <v>33.299999999999997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24.1</v>
      </c>
      <c r="C20" s="50">
        <v>24.1</v>
      </c>
      <c r="D20" s="50">
        <v>24.1</v>
      </c>
      <c r="E20" s="50">
        <v>24.1</v>
      </c>
      <c r="F20" s="50">
        <v>24.1</v>
      </c>
      <c r="G20" s="50">
        <v>24.1</v>
      </c>
      <c r="H20" s="50">
        <v>24.1</v>
      </c>
      <c r="I20" s="50">
        <v>24.1</v>
      </c>
      <c r="J20" s="50">
        <v>24.1</v>
      </c>
      <c r="K20" s="50">
        <v>24.1</v>
      </c>
      <c r="L20" s="50">
        <v>24.1</v>
      </c>
      <c r="M20" s="50">
        <v>24.1</v>
      </c>
      <c r="N20" s="50">
        <v>24.1</v>
      </c>
      <c r="O20" s="50">
        <v>24.1</v>
      </c>
      <c r="P20" s="50">
        <v>24.1</v>
      </c>
      <c r="Q20" s="50">
        <v>24.1</v>
      </c>
      <c r="R20" s="50">
        <v>24.1</v>
      </c>
      <c r="S20" s="50">
        <v>24.1</v>
      </c>
      <c r="T20" s="50">
        <v>24.1</v>
      </c>
      <c r="U20" s="50">
        <v>24.1</v>
      </c>
      <c r="V20" s="50">
        <v>24.1</v>
      </c>
      <c r="W20" s="50">
        <v>24.1</v>
      </c>
      <c r="X20" s="50">
        <v>24.1</v>
      </c>
      <c r="Y20" s="50">
        <v>24.1</v>
      </c>
      <c r="Z20" s="50">
        <v>24.1</v>
      </c>
      <c r="AA20" s="50">
        <v>24.1</v>
      </c>
      <c r="AB20" s="50">
        <v>24.1</v>
      </c>
      <c r="AC20" s="50">
        <v>24.1</v>
      </c>
      <c r="AD20" s="50">
        <v>24.1</v>
      </c>
      <c r="AE20" s="50">
        <v>24.1</v>
      </c>
      <c r="AF20" s="50">
        <v>24.1</v>
      </c>
      <c r="AG20" s="134">
        <v>23.5</v>
      </c>
      <c r="AH20" s="54">
        <f t="shared" si="2"/>
        <v>24.1</v>
      </c>
      <c r="AI20" s="55">
        <f t="shared" si="3"/>
        <v>24.1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16</v>
      </c>
      <c r="C21" s="50">
        <v>16</v>
      </c>
      <c r="D21" s="50">
        <v>16</v>
      </c>
      <c r="E21" s="50">
        <v>16</v>
      </c>
      <c r="F21" s="50">
        <v>16</v>
      </c>
      <c r="G21" s="50">
        <v>16</v>
      </c>
      <c r="H21" s="50">
        <v>16</v>
      </c>
      <c r="I21" s="50">
        <v>16</v>
      </c>
      <c r="J21" s="50">
        <v>16</v>
      </c>
      <c r="K21" s="50">
        <v>16</v>
      </c>
      <c r="L21" s="50">
        <v>16</v>
      </c>
      <c r="M21" s="50">
        <v>16</v>
      </c>
      <c r="N21" s="50">
        <v>16</v>
      </c>
      <c r="O21" s="50">
        <v>16</v>
      </c>
      <c r="P21" s="50">
        <v>16</v>
      </c>
      <c r="Q21" s="50">
        <v>0</v>
      </c>
      <c r="R21" s="50">
        <v>16</v>
      </c>
      <c r="S21" s="50">
        <v>16</v>
      </c>
      <c r="T21" s="50">
        <v>16</v>
      </c>
      <c r="U21" s="50">
        <v>16</v>
      </c>
      <c r="V21" s="50">
        <v>16</v>
      </c>
      <c r="W21" s="50">
        <v>16</v>
      </c>
      <c r="X21" s="50">
        <v>16</v>
      </c>
      <c r="Y21" s="50">
        <v>16</v>
      </c>
      <c r="Z21" s="50">
        <v>16</v>
      </c>
      <c r="AA21" s="50">
        <v>16</v>
      </c>
      <c r="AB21" s="50">
        <v>16</v>
      </c>
      <c r="AC21" s="50">
        <v>16</v>
      </c>
      <c r="AD21" s="50">
        <v>16</v>
      </c>
      <c r="AE21" s="50">
        <v>16</v>
      </c>
      <c r="AF21" s="50">
        <v>16</v>
      </c>
      <c r="AG21" s="134">
        <v>22.2</v>
      </c>
      <c r="AH21" s="54">
        <f t="shared" si="2"/>
        <v>16</v>
      </c>
      <c r="AI21" s="55">
        <f t="shared" si="3"/>
        <v>0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134">
        <v>22.1</v>
      </c>
      <c r="AH22" s="54">
        <f t="shared" si="2"/>
        <v>22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22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22</v>
      </c>
      <c r="AI24" s="55">
        <f t="shared" si="3"/>
        <v>22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13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4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134">
        <v>20</v>
      </c>
      <c r="AH25" s="54">
        <f t="shared" si="2"/>
        <v>13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7.8</v>
      </c>
      <c r="C26" s="50">
        <v>7.8</v>
      </c>
      <c r="D26" s="50">
        <v>7.8</v>
      </c>
      <c r="E26" s="50">
        <v>7.8</v>
      </c>
      <c r="F26" s="50">
        <v>7.8</v>
      </c>
      <c r="G26" s="50">
        <v>7.8</v>
      </c>
      <c r="H26" s="50">
        <v>7.8</v>
      </c>
      <c r="I26" s="50">
        <v>7.8</v>
      </c>
      <c r="J26" s="50">
        <v>7.8</v>
      </c>
      <c r="K26" s="50">
        <v>7.8</v>
      </c>
      <c r="L26" s="50">
        <v>7.8</v>
      </c>
      <c r="M26" s="50">
        <v>7.8</v>
      </c>
      <c r="N26" s="50">
        <v>7.8</v>
      </c>
      <c r="O26" s="50">
        <v>7.8</v>
      </c>
      <c r="P26" s="50">
        <v>7.8</v>
      </c>
      <c r="Q26" s="50">
        <v>7.8</v>
      </c>
      <c r="R26" s="50">
        <v>7.8</v>
      </c>
      <c r="S26" s="50">
        <v>7.8</v>
      </c>
      <c r="T26" s="50">
        <v>7.8</v>
      </c>
      <c r="U26" s="50">
        <v>7.8</v>
      </c>
      <c r="V26" s="50">
        <v>7.8</v>
      </c>
      <c r="W26" s="50">
        <v>7.8</v>
      </c>
      <c r="X26" s="50">
        <v>7.8</v>
      </c>
      <c r="Y26" s="50">
        <v>7.8</v>
      </c>
      <c r="Z26" s="50">
        <v>7.8</v>
      </c>
      <c r="AA26" s="50">
        <v>7.8</v>
      </c>
      <c r="AB26" s="50">
        <v>7.8</v>
      </c>
      <c r="AC26" s="50">
        <v>7.8</v>
      </c>
      <c r="AD26" s="50">
        <v>7.8</v>
      </c>
      <c r="AE26" s="50">
        <v>7.8</v>
      </c>
      <c r="AF26" s="50">
        <v>7.8</v>
      </c>
      <c r="AG26" s="134">
        <v>14.9</v>
      </c>
      <c r="AH26" s="54">
        <f t="shared" si="2"/>
        <v>7.8</v>
      </c>
      <c r="AI26" s="55">
        <f t="shared" si="3"/>
        <v>7.8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12</v>
      </c>
      <c r="C27" s="50">
        <v>12</v>
      </c>
      <c r="D27" s="50">
        <v>12</v>
      </c>
      <c r="E27" s="50">
        <v>12</v>
      </c>
      <c r="F27" s="50">
        <v>12</v>
      </c>
      <c r="G27" s="50">
        <v>12</v>
      </c>
      <c r="H27" s="50">
        <v>12</v>
      </c>
      <c r="I27" s="50">
        <v>12</v>
      </c>
      <c r="J27" s="50">
        <v>12</v>
      </c>
      <c r="K27" s="50">
        <v>12</v>
      </c>
      <c r="L27" s="50">
        <v>12</v>
      </c>
      <c r="M27" s="50">
        <v>0</v>
      </c>
      <c r="N27" s="50">
        <v>0</v>
      </c>
      <c r="O27" s="50">
        <v>0</v>
      </c>
      <c r="P27" s="50">
        <v>0</v>
      </c>
      <c r="Q27" s="50">
        <v>12</v>
      </c>
      <c r="R27" s="50">
        <v>12</v>
      </c>
      <c r="S27" s="50">
        <v>12</v>
      </c>
      <c r="T27" s="50">
        <v>12</v>
      </c>
      <c r="U27" s="50">
        <v>12</v>
      </c>
      <c r="V27" s="50">
        <v>12</v>
      </c>
      <c r="W27" s="50">
        <v>12</v>
      </c>
      <c r="X27" s="50">
        <v>12</v>
      </c>
      <c r="Y27" s="50">
        <v>12</v>
      </c>
      <c r="Z27" s="50">
        <v>12</v>
      </c>
      <c r="AA27" s="50">
        <v>12</v>
      </c>
      <c r="AB27" s="50">
        <v>12</v>
      </c>
      <c r="AC27" s="50">
        <v>12</v>
      </c>
      <c r="AD27" s="50">
        <v>12</v>
      </c>
      <c r="AE27" s="50">
        <v>12</v>
      </c>
      <c r="AF27" s="50">
        <v>12</v>
      </c>
      <c r="AG27" s="134">
        <v>13.6</v>
      </c>
      <c r="AH27" s="54">
        <f t="shared" si="2"/>
        <v>12</v>
      </c>
      <c r="AI27" s="55">
        <f t="shared" si="3"/>
        <v>0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12</v>
      </c>
      <c r="C28" s="50">
        <v>6</v>
      </c>
      <c r="D28" s="50">
        <v>6</v>
      </c>
      <c r="E28" s="50">
        <v>6</v>
      </c>
      <c r="F28" s="50">
        <v>6</v>
      </c>
      <c r="G28" s="50">
        <v>6</v>
      </c>
      <c r="H28" s="50">
        <v>6</v>
      </c>
      <c r="I28" s="50">
        <v>6</v>
      </c>
      <c r="J28" s="50">
        <v>12</v>
      </c>
      <c r="K28" s="50">
        <v>12</v>
      </c>
      <c r="L28" s="50">
        <v>12</v>
      </c>
      <c r="M28" s="50">
        <v>12</v>
      </c>
      <c r="N28" s="50">
        <v>12</v>
      </c>
      <c r="O28" s="50">
        <v>12</v>
      </c>
      <c r="P28" s="50">
        <v>12</v>
      </c>
      <c r="Q28" s="50">
        <v>12</v>
      </c>
      <c r="R28" s="50">
        <v>12</v>
      </c>
      <c r="S28" s="50">
        <v>12</v>
      </c>
      <c r="T28" s="50">
        <v>12</v>
      </c>
      <c r="U28" s="50">
        <v>12</v>
      </c>
      <c r="V28" s="50">
        <v>12</v>
      </c>
      <c r="W28" s="50">
        <v>12</v>
      </c>
      <c r="X28" s="50">
        <v>12</v>
      </c>
      <c r="Y28" s="50">
        <v>12</v>
      </c>
      <c r="Z28" s="50">
        <v>12</v>
      </c>
      <c r="AA28" s="50">
        <v>12</v>
      </c>
      <c r="AB28" s="50">
        <v>12</v>
      </c>
      <c r="AC28" s="50">
        <v>12</v>
      </c>
      <c r="AD28" s="50">
        <v>12</v>
      </c>
      <c r="AE28" s="50">
        <v>12</v>
      </c>
      <c r="AF28" s="50">
        <v>12</v>
      </c>
      <c r="AG28" s="134">
        <v>13</v>
      </c>
      <c r="AH28" s="54">
        <f t="shared" si="2"/>
        <v>12</v>
      </c>
      <c r="AI28" s="55">
        <f t="shared" si="3"/>
        <v>6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12</v>
      </c>
      <c r="C29" s="50">
        <v>12</v>
      </c>
      <c r="D29" s="50">
        <v>12</v>
      </c>
      <c r="E29" s="50">
        <v>12</v>
      </c>
      <c r="F29" s="50">
        <v>12</v>
      </c>
      <c r="G29" s="50">
        <v>12</v>
      </c>
      <c r="H29" s="50">
        <v>12</v>
      </c>
      <c r="I29" s="50">
        <v>12</v>
      </c>
      <c r="J29" s="50">
        <v>12</v>
      </c>
      <c r="K29" s="50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0</v>
      </c>
      <c r="AG29" s="134">
        <v>12</v>
      </c>
      <c r="AH29" s="54">
        <f t="shared" si="2"/>
        <v>12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7</v>
      </c>
      <c r="C30" s="50">
        <v>7</v>
      </c>
      <c r="D30" s="50">
        <v>7</v>
      </c>
      <c r="E30" s="50">
        <v>7</v>
      </c>
      <c r="F30" s="50">
        <v>7</v>
      </c>
      <c r="G30" s="50">
        <v>7</v>
      </c>
      <c r="H30" s="50">
        <v>7</v>
      </c>
      <c r="I30" s="50">
        <v>7</v>
      </c>
      <c r="J30" s="50">
        <v>7</v>
      </c>
      <c r="K30" s="50">
        <v>7</v>
      </c>
      <c r="L30" s="50">
        <v>7</v>
      </c>
      <c r="M30" s="50">
        <v>7</v>
      </c>
      <c r="N30" s="50">
        <v>7</v>
      </c>
      <c r="O30" s="50">
        <v>7</v>
      </c>
      <c r="P30" s="50">
        <v>7</v>
      </c>
      <c r="Q30" s="50">
        <v>7</v>
      </c>
      <c r="R30" s="50">
        <v>7</v>
      </c>
      <c r="S30" s="50">
        <v>7</v>
      </c>
      <c r="T30" s="50">
        <v>7</v>
      </c>
      <c r="U30" s="50">
        <v>7</v>
      </c>
      <c r="V30" s="50">
        <v>7</v>
      </c>
      <c r="W30" s="50">
        <v>7</v>
      </c>
      <c r="X30" s="50">
        <v>7</v>
      </c>
      <c r="Y30" s="50">
        <v>7</v>
      </c>
      <c r="Z30" s="50">
        <v>7</v>
      </c>
      <c r="AA30" s="50">
        <v>7</v>
      </c>
      <c r="AB30" s="50">
        <v>7</v>
      </c>
      <c r="AC30" s="50">
        <v>7</v>
      </c>
      <c r="AD30" s="50">
        <v>7</v>
      </c>
      <c r="AE30" s="50">
        <v>7</v>
      </c>
      <c r="AF30" s="50">
        <v>7</v>
      </c>
      <c r="AG30" s="134">
        <v>12</v>
      </c>
      <c r="AH30" s="54">
        <f t="shared" si="2"/>
        <v>7</v>
      </c>
      <c r="AI30" s="55">
        <f t="shared" si="3"/>
        <v>7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12</v>
      </c>
      <c r="C31" s="50">
        <v>12</v>
      </c>
      <c r="D31" s="50">
        <v>12</v>
      </c>
      <c r="E31" s="50">
        <v>12</v>
      </c>
      <c r="F31" s="50">
        <v>12</v>
      </c>
      <c r="G31" s="50">
        <v>12</v>
      </c>
      <c r="H31" s="50">
        <v>12</v>
      </c>
      <c r="I31" s="50">
        <v>12</v>
      </c>
      <c r="J31" s="50">
        <v>12</v>
      </c>
      <c r="K31" s="50">
        <v>12</v>
      </c>
      <c r="L31" s="50">
        <v>12</v>
      </c>
      <c r="M31" s="50">
        <v>12</v>
      </c>
      <c r="N31" s="50">
        <v>12</v>
      </c>
      <c r="O31" s="50">
        <v>12</v>
      </c>
      <c r="P31" s="50">
        <v>12</v>
      </c>
      <c r="Q31" s="50">
        <v>12</v>
      </c>
      <c r="R31" s="50">
        <v>12</v>
      </c>
      <c r="S31" s="50">
        <v>12</v>
      </c>
      <c r="T31" s="50">
        <v>12</v>
      </c>
      <c r="U31" s="50">
        <v>12</v>
      </c>
      <c r="V31" s="50">
        <v>12</v>
      </c>
      <c r="W31" s="50">
        <v>12</v>
      </c>
      <c r="X31" s="50">
        <v>12</v>
      </c>
      <c r="Y31" s="50">
        <v>12</v>
      </c>
      <c r="Z31" s="50">
        <v>12</v>
      </c>
      <c r="AA31" s="50">
        <v>12</v>
      </c>
      <c r="AB31" s="50">
        <v>12</v>
      </c>
      <c r="AC31" s="50">
        <v>12</v>
      </c>
      <c r="AD31" s="50">
        <v>12</v>
      </c>
      <c r="AE31" s="50">
        <v>12</v>
      </c>
      <c r="AF31" s="50">
        <v>12</v>
      </c>
      <c r="AG31" s="178">
        <v>22</v>
      </c>
      <c r="AH31" s="54">
        <f>MAX(B31:AF31)</f>
        <v>12</v>
      </c>
      <c r="AI31" s="55">
        <f>MIN(B31:AF31)</f>
        <v>12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11</v>
      </c>
      <c r="C32" s="50">
        <v>6</v>
      </c>
      <c r="D32" s="50">
        <v>6</v>
      </c>
      <c r="E32" s="50">
        <v>6</v>
      </c>
      <c r="F32" s="50">
        <v>6</v>
      </c>
      <c r="G32" s="50">
        <v>6</v>
      </c>
      <c r="H32" s="50">
        <v>6</v>
      </c>
      <c r="I32" s="50">
        <v>6</v>
      </c>
      <c r="J32" s="50">
        <v>6</v>
      </c>
      <c r="K32" s="50">
        <v>6</v>
      </c>
      <c r="L32" s="50">
        <v>6</v>
      </c>
      <c r="M32" s="50">
        <v>0</v>
      </c>
      <c r="N32" s="50">
        <v>0</v>
      </c>
      <c r="O32" s="50">
        <v>0</v>
      </c>
      <c r="P32" s="50">
        <v>0</v>
      </c>
      <c r="Q32" s="50">
        <v>11.5</v>
      </c>
      <c r="R32" s="50">
        <v>11.5</v>
      </c>
      <c r="S32" s="50">
        <v>11.5</v>
      </c>
      <c r="T32" s="50">
        <v>11.5</v>
      </c>
      <c r="U32" s="50">
        <v>11.5</v>
      </c>
      <c r="V32" s="50">
        <v>11.5</v>
      </c>
      <c r="W32" s="50">
        <v>11.5</v>
      </c>
      <c r="X32" s="50">
        <v>11.5</v>
      </c>
      <c r="Y32" s="50">
        <v>11.5</v>
      </c>
      <c r="Z32" s="50">
        <v>11.5</v>
      </c>
      <c r="AA32" s="50">
        <v>11.5</v>
      </c>
      <c r="AB32" s="50">
        <v>11.5</v>
      </c>
      <c r="AC32" s="50">
        <v>11.5</v>
      </c>
      <c r="AD32" s="50">
        <v>11.5</v>
      </c>
      <c r="AE32" s="50">
        <v>11.5</v>
      </c>
      <c r="AF32" s="50">
        <v>11.5</v>
      </c>
      <c r="AG32" s="135">
        <v>11.88</v>
      </c>
      <c r="AH32" s="54">
        <f t="shared" si="2"/>
        <v>11.5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9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8.3000000000000007</v>
      </c>
      <c r="C34" s="50">
        <v>8.3000000000000007</v>
      </c>
      <c r="D34" s="50">
        <v>8.3000000000000007</v>
      </c>
      <c r="E34" s="50">
        <v>8.3000000000000007</v>
      </c>
      <c r="F34" s="50">
        <v>8.3000000000000007</v>
      </c>
      <c r="G34" s="50">
        <v>8.3000000000000007</v>
      </c>
      <c r="H34" s="50">
        <v>8.3000000000000007</v>
      </c>
      <c r="I34" s="50">
        <v>8.3000000000000007</v>
      </c>
      <c r="J34" s="50">
        <v>8.3000000000000007</v>
      </c>
      <c r="K34" s="50">
        <v>8.3000000000000007</v>
      </c>
      <c r="L34" s="50">
        <v>8.3000000000000007</v>
      </c>
      <c r="M34" s="50">
        <v>8.3000000000000007</v>
      </c>
      <c r="N34" s="50">
        <v>8.3000000000000007</v>
      </c>
      <c r="O34" s="50">
        <v>8.3000000000000007</v>
      </c>
      <c r="P34" s="50">
        <v>8.3000000000000007</v>
      </c>
      <c r="Q34" s="50">
        <v>8.3000000000000007</v>
      </c>
      <c r="R34" s="50">
        <v>8.3000000000000007</v>
      </c>
      <c r="S34" s="50">
        <v>8.3000000000000007</v>
      </c>
      <c r="T34" s="50">
        <v>8.3000000000000007</v>
      </c>
      <c r="U34" s="50">
        <v>8.3000000000000007</v>
      </c>
      <c r="V34" s="50">
        <v>8.3000000000000007</v>
      </c>
      <c r="W34" s="50">
        <v>8.3000000000000007</v>
      </c>
      <c r="X34" s="50">
        <v>8.3000000000000007</v>
      </c>
      <c r="Y34" s="50">
        <v>8.3000000000000007</v>
      </c>
      <c r="Z34" s="50">
        <v>8.3000000000000007</v>
      </c>
      <c r="AA34" s="50">
        <v>8.3000000000000007</v>
      </c>
      <c r="AB34" s="50">
        <v>8.3000000000000007</v>
      </c>
      <c r="AC34" s="50">
        <v>8.3000000000000007</v>
      </c>
      <c r="AD34" s="50">
        <v>8.3000000000000007</v>
      </c>
      <c r="AE34" s="50">
        <v>8.3000000000000007</v>
      </c>
      <c r="AF34" s="50">
        <v>8.3000000000000007</v>
      </c>
      <c r="AG34" s="136">
        <v>10</v>
      </c>
      <c r="AH34" s="54">
        <f t="shared" si="2"/>
        <v>8.3000000000000007</v>
      </c>
      <c r="AI34" s="55">
        <f t="shared" si="3"/>
        <v>8.3000000000000007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136">
        <v>10</v>
      </c>
      <c r="AH35" s="54">
        <f t="shared" si="2"/>
        <v>2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300</v>
      </c>
      <c r="C36" s="62">
        <v>300</v>
      </c>
      <c r="D36" s="62">
        <v>300</v>
      </c>
      <c r="E36" s="62">
        <v>300</v>
      </c>
      <c r="F36" s="62">
        <v>300</v>
      </c>
      <c r="G36" s="62">
        <v>300</v>
      </c>
      <c r="H36" s="62">
        <v>300</v>
      </c>
      <c r="I36" s="62">
        <v>300</v>
      </c>
      <c r="J36" s="62">
        <v>300</v>
      </c>
      <c r="K36" s="62">
        <v>300</v>
      </c>
      <c r="L36" s="62">
        <v>300</v>
      </c>
      <c r="M36" s="62">
        <v>300</v>
      </c>
      <c r="N36" s="62">
        <v>300</v>
      </c>
      <c r="O36" s="62">
        <v>300</v>
      </c>
      <c r="P36" s="62">
        <v>300</v>
      </c>
      <c r="Q36" s="62">
        <v>300</v>
      </c>
      <c r="R36" s="62">
        <v>300</v>
      </c>
      <c r="S36" s="62">
        <v>300</v>
      </c>
      <c r="T36" s="62">
        <v>300</v>
      </c>
      <c r="U36" s="62">
        <v>300</v>
      </c>
      <c r="V36" s="62">
        <v>300</v>
      </c>
      <c r="W36" s="62">
        <v>300</v>
      </c>
      <c r="X36" s="62">
        <v>300</v>
      </c>
      <c r="Y36" s="62">
        <v>300</v>
      </c>
      <c r="Z36" s="62">
        <v>300</v>
      </c>
      <c r="AA36" s="62">
        <v>300</v>
      </c>
      <c r="AB36" s="62">
        <v>300</v>
      </c>
      <c r="AC36" s="62">
        <v>300</v>
      </c>
      <c r="AD36" s="62">
        <v>300</v>
      </c>
      <c r="AE36" s="62">
        <v>300</v>
      </c>
      <c r="AF36" s="62">
        <v>300</v>
      </c>
      <c r="AG36" s="136">
        <v>85</v>
      </c>
      <c r="AH36" s="54">
        <f t="shared" si="2"/>
        <v>300</v>
      </c>
      <c r="AI36" s="55">
        <f t="shared" si="3"/>
        <v>300</v>
      </c>
      <c r="AK36" s="56"/>
    </row>
    <row r="37" spans="1:88" ht="15.75" thickBot="1" x14ac:dyDescent="0.3">
      <c r="A37" s="63" t="s">
        <v>21</v>
      </c>
      <c r="B37" s="64">
        <v>161.55000000000001</v>
      </c>
      <c r="C37" s="64">
        <v>161.55000000000001</v>
      </c>
      <c r="D37" s="64">
        <v>161.55000000000001</v>
      </c>
      <c r="E37" s="64">
        <v>161.55000000000001</v>
      </c>
      <c r="F37" s="64">
        <v>161.55000000000001</v>
      </c>
      <c r="G37" s="64">
        <v>161.55000000000001</v>
      </c>
      <c r="H37" s="64">
        <v>161.55000000000001</v>
      </c>
      <c r="I37" s="64">
        <v>161.55000000000001</v>
      </c>
      <c r="J37" s="64">
        <v>161.55000000000001</v>
      </c>
      <c r="K37" s="64">
        <v>161.55000000000001</v>
      </c>
      <c r="L37" s="62">
        <f>72.6+79.8</f>
        <v>152.39999999999998</v>
      </c>
      <c r="M37" s="62">
        <f>151</f>
        <v>151</v>
      </c>
      <c r="N37" s="62"/>
      <c r="O37" s="62"/>
      <c r="P37" s="62"/>
      <c r="Q37" s="62"/>
      <c r="R37" s="62"/>
      <c r="S37" s="62"/>
      <c r="T37" s="64"/>
      <c r="U37" s="64"/>
      <c r="V37" s="64"/>
      <c r="W37" s="64"/>
      <c r="X37" s="64"/>
      <c r="Y37" s="64"/>
      <c r="Z37" s="64"/>
      <c r="AA37" s="64"/>
      <c r="AB37" s="64">
        <f>94+62</f>
        <v>156</v>
      </c>
      <c r="AC37" s="64">
        <v>157</v>
      </c>
      <c r="AD37" s="64">
        <v>157</v>
      </c>
      <c r="AE37" s="64">
        <v>157</v>
      </c>
      <c r="AF37" s="64">
        <v>157</v>
      </c>
      <c r="AG37" s="136">
        <v>240</v>
      </c>
      <c r="AH37" s="54">
        <f t="shared" si="2"/>
        <v>161.55000000000001</v>
      </c>
      <c r="AI37" s="55">
        <f t="shared" si="3"/>
        <v>151</v>
      </c>
      <c r="AK37" s="56"/>
    </row>
    <row r="38" spans="1:88" ht="15.75" thickBot="1" x14ac:dyDescent="0.3">
      <c r="A38" s="131" t="s">
        <v>22</v>
      </c>
      <c r="B38" s="66">
        <f t="shared" ref="B38:AG38" si="4">SUM(B11:B36)</f>
        <v>829.9</v>
      </c>
      <c r="C38" s="66">
        <f t="shared" si="4"/>
        <v>710.80000000000007</v>
      </c>
      <c r="D38" s="66">
        <f t="shared" si="4"/>
        <v>710.80000000000007</v>
      </c>
      <c r="E38" s="66">
        <f t="shared" si="4"/>
        <v>710.80000000000007</v>
      </c>
      <c r="F38" s="66">
        <f t="shared" si="4"/>
        <v>710.80000000000007</v>
      </c>
      <c r="G38" s="66">
        <f t="shared" si="4"/>
        <v>710.80000000000007</v>
      </c>
      <c r="H38" s="66">
        <f t="shared" si="4"/>
        <v>710.80000000000007</v>
      </c>
      <c r="I38" s="66">
        <f t="shared" si="4"/>
        <v>716.80000000000007</v>
      </c>
      <c r="J38" s="66">
        <f t="shared" si="4"/>
        <v>730</v>
      </c>
      <c r="K38" s="66">
        <f t="shared" si="4"/>
        <v>730</v>
      </c>
      <c r="L38" s="66">
        <f t="shared" si="4"/>
        <v>730.2</v>
      </c>
      <c r="M38" s="66">
        <f t="shared" si="4"/>
        <v>728.2</v>
      </c>
      <c r="N38" s="66">
        <f t="shared" si="4"/>
        <v>694.2</v>
      </c>
      <c r="O38" s="66">
        <f t="shared" si="4"/>
        <v>694.2</v>
      </c>
      <c r="P38" s="66">
        <f t="shared" si="4"/>
        <v>759.90000000000009</v>
      </c>
      <c r="Q38" s="66">
        <f t="shared" si="4"/>
        <v>760.40000000000009</v>
      </c>
      <c r="R38" s="66">
        <f t="shared" si="4"/>
        <v>776.2</v>
      </c>
      <c r="S38" s="66">
        <f t="shared" si="4"/>
        <v>787.2</v>
      </c>
      <c r="T38" s="66">
        <f t="shared" si="4"/>
        <v>755.7</v>
      </c>
      <c r="U38" s="66">
        <f t="shared" si="4"/>
        <v>755.8</v>
      </c>
      <c r="V38" s="66">
        <f t="shared" si="4"/>
        <v>759.6</v>
      </c>
      <c r="W38" s="66">
        <f t="shared" si="4"/>
        <v>764.1</v>
      </c>
      <c r="X38" s="66">
        <f t="shared" si="4"/>
        <v>762.6</v>
      </c>
      <c r="Y38" s="66">
        <f t="shared" si="4"/>
        <v>762.6</v>
      </c>
      <c r="Z38" s="66">
        <f t="shared" si="4"/>
        <v>763.8</v>
      </c>
      <c r="AA38" s="66">
        <f t="shared" si="4"/>
        <v>763.8</v>
      </c>
      <c r="AB38" s="66">
        <f t="shared" si="4"/>
        <v>816.6</v>
      </c>
      <c r="AC38" s="66">
        <f t="shared" si="4"/>
        <v>816.6</v>
      </c>
      <c r="AD38" s="66">
        <f t="shared" si="4"/>
        <v>816.6</v>
      </c>
      <c r="AE38" s="66">
        <f t="shared" si="4"/>
        <v>816.6</v>
      </c>
      <c r="AF38" s="66">
        <f t="shared" si="4"/>
        <v>804.60000000000014</v>
      </c>
      <c r="AG38" s="143">
        <f t="shared" si="4"/>
        <v>665.78</v>
      </c>
      <c r="AH38" s="54">
        <f t="shared" si="2"/>
        <v>829.9</v>
      </c>
      <c r="AI38" s="55">
        <f t="shared" si="3"/>
        <v>694.2</v>
      </c>
      <c r="AK38" s="56"/>
    </row>
    <row r="39" spans="1:88" x14ac:dyDescent="0.25">
      <c r="A39" s="159" t="s">
        <v>130</v>
      </c>
      <c r="B39" s="50">
        <v>456</v>
      </c>
      <c r="C39" s="50">
        <v>456</v>
      </c>
      <c r="D39" s="50">
        <v>456</v>
      </c>
      <c r="E39" s="50">
        <v>456</v>
      </c>
      <c r="F39" s="50">
        <v>456</v>
      </c>
      <c r="G39" s="50">
        <v>456</v>
      </c>
      <c r="H39" s="50">
        <v>456</v>
      </c>
      <c r="I39" s="50">
        <v>456</v>
      </c>
      <c r="J39" s="50">
        <v>456</v>
      </c>
      <c r="K39" s="50">
        <v>456</v>
      </c>
      <c r="L39" s="50">
        <v>456</v>
      </c>
      <c r="M39" s="50">
        <v>456</v>
      </c>
      <c r="N39" s="50">
        <v>456</v>
      </c>
      <c r="O39" s="50">
        <v>456</v>
      </c>
      <c r="P39" s="50">
        <v>456</v>
      </c>
      <c r="Q39" s="50">
        <v>456</v>
      </c>
      <c r="R39" s="50">
        <v>456</v>
      </c>
      <c r="S39" s="50">
        <v>456</v>
      </c>
      <c r="T39" s="50">
        <v>456</v>
      </c>
      <c r="U39" s="50">
        <v>456</v>
      </c>
      <c r="V39" s="50">
        <v>456</v>
      </c>
      <c r="W39" s="50">
        <v>456</v>
      </c>
      <c r="X39" s="50">
        <v>456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456</v>
      </c>
      <c r="AF39" s="50">
        <v>456</v>
      </c>
      <c r="AG39" s="135">
        <v>456</v>
      </c>
      <c r="AH39" s="54">
        <f t="shared" si="2"/>
        <v>456</v>
      </c>
      <c r="AI39" s="55">
        <f t="shared" si="3"/>
        <v>456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f>SUM(B39:B41)</f>
        <v>538</v>
      </c>
      <c r="C42" s="66">
        <f t="shared" ref="C42:AG42" si="5">SUM(C39:C41)</f>
        <v>538</v>
      </c>
      <c r="D42" s="66">
        <f t="shared" si="5"/>
        <v>538</v>
      </c>
      <c r="E42" s="66">
        <f t="shared" si="5"/>
        <v>538</v>
      </c>
      <c r="F42" s="66">
        <f t="shared" si="5"/>
        <v>538</v>
      </c>
      <c r="G42" s="66">
        <f t="shared" si="5"/>
        <v>538</v>
      </c>
      <c r="H42" s="66">
        <f t="shared" si="5"/>
        <v>538</v>
      </c>
      <c r="I42" s="66">
        <f t="shared" si="5"/>
        <v>538</v>
      </c>
      <c r="J42" s="66">
        <f t="shared" si="5"/>
        <v>538</v>
      </c>
      <c r="K42" s="66">
        <f t="shared" si="5"/>
        <v>538</v>
      </c>
      <c r="L42" s="66">
        <f t="shared" si="5"/>
        <v>538</v>
      </c>
      <c r="M42" s="66">
        <f t="shared" si="5"/>
        <v>538</v>
      </c>
      <c r="N42" s="66">
        <f t="shared" si="5"/>
        <v>538</v>
      </c>
      <c r="O42" s="66">
        <f t="shared" si="5"/>
        <v>538</v>
      </c>
      <c r="P42" s="66">
        <f t="shared" si="5"/>
        <v>538</v>
      </c>
      <c r="Q42" s="66">
        <f t="shared" si="5"/>
        <v>538</v>
      </c>
      <c r="R42" s="66">
        <f t="shared" si="5"/>
        <v>538</v>
      </c>
      <c r="S42" s="66">
        <f t="shared" si="5"/>
        <v>538</v>
      </c>
      <c r="T42" s="66">
        <f t="shared" si="5"/>
        <v>538</v>
      </c>
      <c r="U42" s="66">
        <f t="shared" si="5"/>
        <v>538</v>
      </c>
      <c r="V42" s="66">
        <f t="shared" si="5"/>
        <v>538</v>
      </c>
      <c r="W42" s="66">
        <f t="shared" si="5"/>
        <v>538</v>
      </c>
      <c r="X42" s="66">
        <f t="shared" si="5"/>
        <v>538</v>
      </c>
      <c r="Y42" s="66">
        <f t="shared" si="5"/>
        <v>538</v>
      </c>
      <c r="Z42" s="66">
        <f t="shared" si="5"/>
        <v>538</v>
      </c>
      <c r="AA42" s="66">
        <f t="shared" si="5"/>
        <v>538</v>
      </c>
      <c r="AB42" s="66">
        <f t="shared" si="5"/>
        <v>538</v>
      </c>
      <c r="AC42" s="66">
        <f t="shared" si="5"/>
        <v>538</v>
      </c>
      <c r="AD42" s="66">
        <f t="shared" si="5"/>
        <v>538</v>
      </c>
      <c r="AE42" s="66">
        <f t="shared" si="5"/>
        <v>538</v>
      </c>
      <c r="AF42" s="66">
        <f t="shared" si="5"/>
        <v>538</v>
      </c>
      <c r="AG42" s="143">
        <f t="shared" si="5"/>
        <v>538.1</v>
      </c>
      <c r="AH42" s="54">
        <f t="shared" si="2"/>
        <v>538</v>
      </c>
      <c r="AI42" s="55">
        <f t="shared" si="3"/>
        <v>538</v>
      </c>
      <c r="AK42" s="56"/>
    </row>
    <row r="43" spans="1:88" x14ac:dyDescent="0.25">
      <c r="A43" s="57" t="s">
        <v>23</v>
      </c>
      <c r="B43" s="50">
        <v>139.6</v>
      </c>
      <c r="C43" s="50">
        <v>138</v>
      </c>
      <c r="D43" s="50">
        <v>138</v>
      </c>
      <c r="E43" s="50">
        <v>138</v>
      </c>
      <c r="F43" s="50">
        <v>138</v>
      </c>
      <c r="G43" s="50">
        <v>138</v>
      </c>
      <c r="H43" s="50">
        <v>138</v>
      </c>
      <c r="I43" s="50">
        <v>138</v>
      </c>
      <c r="J43" s="50">
        <v>138</v>
      </c>
      <c r="K43" s="50">
        <v>138</v>
      </c>
      <c r="L43" s="50">
        <v>137.6</v>
      </c>
      <c r="M43" s="50">
        <v>138.1</v>
      </c>
      <c r="N43" s="50">
        <v>138.1</v>
      </c>
      <c r="O43" s="50">
        <v>138.1</v>
      </c>
      <c r="P43" s="50">
        <v>138.1</v>
      </c>
      <c r="Q43" s="50">
        <v>138.1</v>
      </c>
      <c r="R43" s="50">
        <v>136.80000000000001</v>
      </c>
      <c r="S43" s="50">
        <v>138</v>
      </c>
      <c r="T43" s="50">
        <v>138</v>
      </c>
      <c r="U43" s="50">
        <v>138</v>
      </c>
      <c r="V43" s="50">
        <v>137.80000000000001</v>
      </c>
      <c r="W43" s="50">
        <v>137.80000000000001</v>
      </c>
      <c r="X43" s="50">
        <v>139</v>
      </c>
      <c r="Y43" s="50">
        <v>139.6</v>
      </c>
      <c r="Z43" s="50">
        <v>139.4</v>
      </c>
      <c r="AA43" s="50">
        <v>139.4</v>
      </c>
      <c r="AB43" s="50">
        <v>139.4</v>
      </c>
      <c r="AC43" s="50">
        <v>139.4</v>
      </c>
      <c r="AD43" s="50">
        <v>139.4</v>
      </c>
      <c r="AE43" s="50">
        <v>139.4</v>
      </c>
      <c r="AF43" s="50">
        <v>110</v>
      </c>
      <c r="AG43" s="135">
        <v>144</v>
      </c>
      <c r="AH43" s="54">
        <f t="shared" si="2"/>
        <v>139.6</v>
      </c>
      <c r="AI43" s="55">
        <f t="shared" si="3"/>
        <v>110</v>
      </c>
      <c r="AK43" s="56"/>
    </row>
    <row r="44" spans="1:88" x14ac:dyDescent="0.25">
      <c r="A44" s="60" t="s">
        <v>24</v>
      </c>
      <c r="B44" s="48">
        <v>55</v>
      </c>
      <c r="C44" s="48">
        <v>55</v>
      </c>
      <c r="D44" s="48">
        <v>55</v>
      </c>
      <c r="E44" s="48">
        <v>55</v>
      </c>
      <c r="F44" s="48">
        <v>65</v>
      </c>
      <c r="G44" s="48">
        <v>65</v>
      </c>
      <c r="H44" s="48">
        <v>70</v>
      </c>
      <c r="I44" s="48">
        <v>70</v>
      </c>
      <c r="J44" s="48">
        <v>70</v>
      </c>
      <c r="K44" s="48">
        <v>70</v>
      </c>
      <c r="L44" s="48">
        <v>71.2</v>
      </c>
      <c r="M44" s="48">
        <v>72</v>
      </c>
      <c r="N44" s="48">
        <v>72</v>
      </c>
      <c r="O44" s="48">
        <v>72</v>
      </c>
      <c r="P44" s="48">
        <v>72</v>
      </c>
      <c r="Q44" s="48">
        <v>72</v>
      </c>
      <c r="R44" s="50">
        <v>70.3</v>
      </c>
      <c r="S44" s="50">
        <v>70.7</v>
      </c>
      <c r="T44" s="50">
        <v>70.7</v>
      </c>
      <c r="U44" s="50">
        <v>70.7</v>
      </c>
      <c r="V44" s="50">
        <v>70.5</v>
      </c>
      <c r="W44" s="48">
        <v>70.5</v>
      </c>
      <c r="X44" s="48">
        <v>71.2</v>
      </c>
      <c r="Y44" s="48">
        <v>71.2</v>
      </c>
      <c r="Z44" s="48">
        <v>70.099999999999994</v>
      </c>
      <c r="AA44" s="48">
        <v>70.099999999999994</v>
      </c>
      <c r="AB44" s="48">
        <v>70.099999999999994</v>
      </c>
      <c r="AC44" s="48">
        <v>70.099999999999994</v>
      </c>
      <c r="AD44" s="48">
        <v>70.099999999999994</v>
      </c>
      <c r="AE44" s="48">
        <v>70.099999999999994</v>
      </c>
      <c r="AF44" s="48">
        <v>70.099999999999994</v>
      </c>
      <c r="AG44" s="136">
        <v>70</v>
      </c>
      <c r="AH44" s="54">
        <f t="shared" si="2"/>
        <v>72</v>
      </c>
      <c r="AI44" s="55">
        <f t="shared" si="3"/>
        <v>55</v>
      </c>
      <c r="AK44" s="56"/>
    </row>
    <row r="45" spans="1:88" x14ac:dyDescent="0.25">
      <c r="A45" s="60" t="s">
        <v>25</v>
      </c>
      <c r="B45" s="48">
        <v>61.5</v>
      </c>
      <c r="C45" s="48">
        <v>61.5</v>
      </c>
      <c r="D45" s="48">
        <v>61.5</v>
      </c>
      <c r="E45" s="48">
        <v>61.5</v>
      </c>
      <c r="F45" s="48">
        <v>61.5</v>
      </c>
      <c r="G45" s="48">
        <v>61.5</v>
      </c>
      <c r="H45" s="48">
        <v>61.5</v>
      </c>
      <c r="I45" s="48">
        <v>61.5</v>
      </c>
      <c r="J45" s="48">
        <v>61.5</v>
      </c>
      <c r="K45" s="48">
        <v>61.5</v>
      </c>
      <c r="L45" s="48">
        <v>62.4</v>
      </c>
      <c r="M45" s="48">
        <v>62.2</v>
      </c>
      <c r="N45" s="48">
        <v>62.2</v>
      </c>
      <c r="O45" s="48">
        <v>62.2</v>
      </c>
      <c r="P45" s="48">
        <v>62.2</v>
      </c>
      <c r="Q45" s="48">
        <v>62.2</v>
      </c>
      <c r="R45" s="50">
        <v>62.7</v>
      </c>
      <c r="S45" s="50">
        <v>62.4</v>
      </c>
      <c r="T45" s="50">
        <v>62.4</v>
      </c>
      <c r="U45" s="50">
        <v>62.4</v>
      </c>
      <c r="V45" s="50">
        <v>62.5</v>
      </c>
      <c r="W45" s="48">
        <v>62.2</v>
      </c>
      <c r="X45" s="48">
        <v>62.2</v>
      </c>
      <c r="Y45" s="48">
        <v>62.2</v>
      </c>
      <c r="Z45" s="48">
        <v>62.4</v>
      </c>
      <c r="AA45" s="48">
        <v>62.4</v>
      </c>
      <c r="AB45" s="48">
        <v>62.4</v>
      </c>
      <c r="AC45" s="48">
        <v>62.4</v>
      </c>
      <c r="AD45" s="48">
        <v>62.4</v>
      </c>
      <c r="AE45" s="48">
        <v>62.4</v>
      </c>
      <c r="AF45" s="48">
        <v>62.4</v>
      </c>
      <c r="AG45" s="136">
        <v>69</v>
      </c>
      <c r="AH45" s="54">
        <f t="shared" si="2"/>
        <v>62.7</v>
      </c>
      <c r="AI45" s="55">
        <f t="shared" si="3"/>
        <v>61.5</v>
      </c>
      <c r="AK45" s="56"/>
    </row>
    <row r="46" spans="1:88" x14ac:dyDescent="0.25">
      <c r="A46" s="60" t="s">
        <v>26</v>
      </c>
      <c r="B46" s="62">
        <v>60</v>
      </c>
      <c r="C46" s="62">
        <v>60</v>
      </c>
      <c r="D46" s="62">
        <v>60</v>
      </c>
      <c r="E46" s="62">
        <v>60</v>
      </c>
      <c r="F46" s="62">
        <v>60</v>
      </c>
      <c r="G46" s="62">
        <v>60</v>
      </c>
      <c r="H46" s="62">
        <v>60</v>
      </c>
      <c r="I46" s="62">
        <v>60</v>
      </c>
      <c r="J46" s="62">
        <v>60</v>
      </c>
      <c r="K46" s="62">
        <v>60</v>
      </c>
      <c r="L46" s="62">
        <v>60</v>
      </c>
      <c r="M46" s="50">
        <v>60</v>
      </c>
      <c r="N46" s="50">
        <v>60</v>
      </c>
      <c r="O46" s="50">
        <v>60</v>
      </c>
      <c r="P46" s="50">
        <v>60</v>
      </c>
      <c r="Q46" s="50">
        <v>60</v>
      </c>
      <c r="R46" s="50">
        <v>60</v>
      </c>
      <c r="S46" s="50">
        <v>60</v>
      </c>
      <c r="T46" s="50">
        <v>60</v>
      </c>
      <c r="U46" s="50">
        <v>60</v>
      </c>
      <c r="V46" s="50">
        <v>60.2</v>
      </c>
      <c r="W46" s="48">
        <v>60.7</v>
      </c>
      <c r="X46" s="48">
        <v>60.4</v>
      </c>
      <c r="Y46" s="48">
        <v>60.4</v>
      </c>
      <c r="Z46" s="48">
        <v>60.2</v>
      </c>
      <c r="AA46" s="48">
        <v>60.2</v>
      </c>
      <c r="AB46" s="48">
        <v>60.2</v>
      </c>
      <c r="AC46" s="48">
        <v>60.2</v>
      </c>
      <c r="AD46" s="48">
        <v>60.2</v>
      </c>
      <c r="AE46" s="48">
        <v>60.2</v>
      </c>
      <c r="AF46" s="48">
        <v>60.2</v>
      </c>
      <c r="AG46" s="136">
        <v>60</v>
      </c>
      <c r="AH46" s="54">
        <f t="shared" si="2"/>
        <v>60.7</v>
      </c>
      <c r="AI46" s="55">
        <f t="shared" si="3"/>
        <v>60</v>
      </c>
      <c r="AK46" s="56"/>
    </row>
    <row r="47" spans="1:88" x14ac:dyDescent="0.25">
      <c r="A47" s="60" t="s">
        <v>27</v>
      </c>
      <c r="B47" s="62">
        <v>28.4</v>
      </c>
      <c r="C47" s="62">
        <v>28.4</v>
      </c>
      <c r="D47" s="62">
        <v>28.4</v>
      </c>
      <c r="E47" s="62">
        <v>26</v>
      </c>
      <c r="F47" s="62">
        <v>22</v>
      </c>
      <c r="G47" s="62">
        <v>22</v>
      </c>
      <c r="H47" s="62">
        <v>22</v>
      </c>
      <c r="I47" s="62">
        <v>22</v>
      </c>
      <c r="J47" s="62">
        <v>22</v>
      </c>
      <c r="K47" s="62">
        <v>22</v>
      </c>
      <c r="L47" s="62">
        <v>28.1</v>
      </c>
      <c r="M47" s="50">
        <v>28.1</v>
      </c>
      <c r="N47" s="50">
        <v>28.1</v>
      </c>
      <c r="O47" s="50">
        <v>28.1</v>
      </c>
      <c r="P47" s="50">
        <v>28.1</v>
      </c>
      <c r="Q47" s="50">
        <v>28.1</v>
      </c>
      <c r="R47" s="50">
        <v>28.1</v>
      </c>
      <c r="S47" s="50">
        <v>28.1</v>
      </c>
      <c r="T47" s="50">
        <v>28.1</v>
      </c>
      <c r="U47" s="50">
        <v>0</v>
      </c>
      <c r="V47" s="50">
        <v>0</v>
      </c>
      <c r="W47" s="48">
        <v>0</v>
      </c>
      <c r="X47" s="48">
        <v>0</v>
      </c>
      <c r="Y47" s="48">
        <v>0</v>
      </c>
      <c r="Z47" s="48">
        <v>0</v>
      </c>
      <c r="AA47" s="48">
        <v>0</v>
      </c>
      <c r="AB47" s="48">
        <v>0</v>
      </c>
      <c r="AC47" s="48">
        <v>28.6</v>
      </c>
      <c r="AD47" s="48">
        <v>28.9</v>
      </c>
      <c r="AE47" s="48">
        <v>28.8</v>
      </c>
      <c r="AF47" s="48">
        <v>0</v>
      </c>
      <c r="AG47" s="136">
        <v>30</v>
      </c>
      <c r="AH47" s="54">
        <f t="shared" si="2"/>
        <v>28.9</v>
      </c>
      <c r="AI47" s="55">
        <f t="shared" si="3"/>
        <v>0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62">
        <v>4</v>
      </c>
      <c r="M48" s="50">
        <v>8</v>
      </c>
      <c r="N48" s="50">
        <v>8</v>
      </c>
      <c r="O48" s="50">
        <v>8</v>
      </c>
      <c r="P48" s="50">
        <v>8</v>
      </c>
      <c r="Q48" s="50">
        <v>8</v>
      </c>
      <c r="R48" s="50">
        <v>8</v>
      </c>
      <c r="S48" s="50">
        <v>8</v>
      </c>
      <c r="T48" s="50">
        <v>8</v>
      </c>
      <c r="U48" s="50">
        <v>8</v>
      </c>
      <c r="V48" s="50">
        <v>8</v>
      </c>
      <c r="W48" s="50">
        <v>4</v>
      </c>
      <c r="X48" s="50">
        <v>0</v>
      </c>
      <c r="Y48" s="50">
        <v>0</v>
      </c>
      <c r="Z48" s="50">
        <v>0</v>
      </c>
      <c r="AA48" s="50">
        <v>0</v>
      </c>
      <c r="AB48" s="50">
        <v>0</v>
      </c>
      <c r="AC48" s="50">
        <v>0</v>
      </c>
      <c r="AD48" s="50">
        <v>0</v>
      </c>
      <c r="AE48" s="50">
        <v>0</v>
      </c>
      <c r="AF48" s="50">
        <v>0</v>
      </c>
      <c r="AG48" s="136">
        <v>25</v>
      </c>
      <c r="AH48" s="54">
        <f t="shared" si="2"/>
        <v>8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16.3</v>
      </c>
      <c r="C49" s="48">
        <v>16.3</v>
      </c>
      <c r="D49" s="48">
        <v>16.3</v>
      </c>
      <c r="E49" s="48">
        <v>16.3</v>
      </c>
      <c r="F49" s="48">
        <v>16.3</v>
      </c>
      <c r="G49" s="48">
        <v>16.3</v>
      </c>
      <c r="H49" s="48">
        <v>16.3</v>
      </c>
      <c r="I49" s="48">
        <v>16.3</v>
      </c>
      <c r="J49" s="48">
        <v>16.3</v>
      </c>
      <c r="K49" s="48">
        <v>16.3</v>
      </c>
      <c r="L49" s="48">
        <v>16.600000000000001</v>
      </c>
      <c r="M49" s="48">
        <v>16.600000000000001</v>
      </c>
      <c r="N49" s="48">
        <v>16.600000000000001</v>
      </c>
      <c r="O49" s="48">
        <v>16.600000000000001</v>
      </c>
      <c r="P49" s="48">
        <v>16.600000000000001</v>
      </c>
      <c r="Q49" s="48">
        <v>16.600000000000001</v>
      </c>
      <c r="R49" s="48">
        <v>13.4</v>
      </c>
      <c r="S49" s="48">
        <v>13.4</v>
      </c>
      <c r="T49" s="48">
        <v>13.4</v>
      </c>
      <c r="U49" s="48">
        <v>13.4</v>
      </c>
      <c r="V49" s="48">
        <v>13.4</v>
      </c>
      <c r="W49" s="50">
        <v>13.4</v>
      </c>
      <c r="X49" s="50">
        <v>13.8</v>
      </c>
      <c r="Y49" s="50">
        <v>13.8</v>
      </c>
      <c r="Z49" s="50">
        <v>13.8</v>
      </c>
      <c r="AA49" s="50">
        <v>13.8</v>
      </c>
      <c r="AB49" s="50">
        <v>13.8</v>
      </c>
      <c r="AC49" s="50">
        <v>13.8</v>
      </c>
      <c r="AD49" s="50">
        <v>13.8</v>
      </c>
      <c r="AE49" s="50">
        <v>13.8</v>
      </c>
      <c r="AF49" s="50">
        <v>13.8</v>
      </c>
      <c r="AG49" s="136">
        <v>24</v>
      </c>
      <c r="AH49" s="54">
        <f t="shared" si="2"/>
        <v>16.600000000000001</v>
      </c>
      <c r="AI49" s="55">
        <f t="shared" si="3"/>
        <v>13.4</v>
      </c>
      <c r="AK49" s="56"/>
    </row>
    <row r="50" spans="1:41" x14ac:dyDescent="0.25">
      <c r="A50" s="60" t="s">
        <v>30</v>
      </c>
      <c r="B50" s="48">
        <v>0</v>
      </c>
      <c r="C50" s="48">
        <v>0</v>
      </c>
      <c r="D50" s="48">
        <v>2.5</v>
      </c>
      <c r="E50" s="48">
        <v>2.5</v>
      </c>
      <c r="F50" s="48">
        <v>2.5</v>
      </c>
      <c r="G50" s="48">
        <v>2.5</v>
      </c>
      <c r="H50" s="48">
        <v>2.5</v>
      </c>
      <c r="I50" s="48">
        <v>2.5</v>
      </c>
      <c r="J50" s="48">
        <v>2.5</v>
      </c>
      <c r="K50" s="48">
        <v>2.5</v>
      </c>
      <c r="L50" s="48">
        <v>2.5</v>
      </c>
      <c r="M50" s="48">
        <v>2.5</v>
      </c>
      <c r="N50" s="48">
        <v>0</v>
      </c>
      <c r="O50" s="48">
        <v>2.7</v>
      </c>
      <c r="P50" s="48">
        <v>5</v>
      </c>
      <c r="Q50" s="48">
        <v>5</v>
      </c>
      <c r="R50" s="48">
        <v>5</v>
      </c>
      <c r="S50" s="48">
        <v>5</v>
      </c>
      <c r="T50" s="48">
        <v>5</v>
      </c>
      <c r="U50" s="48">
        <v>5</v>
      </c>
      <c r="V50" s="48">
        <v>5</v>
      </c>
      <c r="W50" s="50">
        <v>5</v>
      </c>
      <c r="X50" s="50">
        <v>5</v>
      </c>
      <c r="Y50" s="50">
        <v>5</v>
      </c>
      <c r="Z50" s="50">
        <v>5</v>
      </c>
      <c r="AA50" s="50">
        <v>5</v>
      </c>
      <c r="AB50" s="50">
        <v>5</v>
      </c>
      <c r="AC50" s="50">
        <v>5</v>
      </c>
      <c r="AD50" s="50">
        <v>5</v>
      </c>
      <c r="AE50" s="50">
        <v>5</v>
      </c>
      <c r="AF50" s="50">
        <v>5</v>
      </c>
      <c r="AG50" s="136">
        <v>15</v>
      </c>
      <c r="AH50" s="54">
        <f t="shared" si="2"/>
        <v>5</v>
      </c>
      <c r="AI50" s="55">
        <f t="shared" si="3"/>
        <v>0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12.7</v>
      </c>
      <c r="C51" s="48">
        <v>12.7</v>
      </c>
      <c r="D51" s="48">
        <v>12.7</v>
      </c>
      <c r="E51" s="48">
        <v>12.7</v>
      </c>
      <c r="F51" s="48">
        <v>12.7</v>
      </c>
      <c r="G51" s="48">
        <v>12.7</v>
      </c>
      <c r="H51" s="48">
        <v>12.7</v>
      </c>
      <c r="I51" s="48">
        <v>12.7</v>
      </c>
      <c r="J51" s="48">
        <v>12.7</v>
      </c>
      <c r="K51" s="48">
        <v>12.7</v>
      </c>
      <c r="L51" s="48">
        <v>12.7</v>
      </c>
      <c r="M51" s="48">
        <v>12.7</v>
      </c>
      <c r="N51" s="48">
        <v>12.7</v>
      </c>
      <c r="O51" s="48">
        <v>12.7</v>
      </c>
      <c r="P51" s="48">
        <v>12.7</v>
      </c>
      <c r="Q51" s="48">
        <v>12.7</v>
      </c>
      <c r="R51" s="48">
        <v>12.7</v>
      </c>
      <c r="S51" s="48">
        <v>12.7</v>
      </c>
      <c r="T51" s="48">
        <v>12.7</v>
      </c>
      <c r="U51" s="48">
        <v>12.7</v>
      </c>
      <c r="V51" s="48">
        <v>12.7</v>
      </c>
      <c r="W51" s="50">
        <v>12.7</v>
      </c>
      <c r="X51" s="50">
        <v>12.7</v>
      </c>
      <c r="Y51" s="50">
        <v>12.7</v>
      </c>
      <c r="Z51" s="50">
        <v>12.7</v>
      </c>
      <c r="AA51" s="50">
        <v>12.7</v>
      </c>
      <c r="AB51" s="50">
        <v>12.7</v>
      </c>
      <c r="AC51" s="50">
        <v>12.7</v>
      </c>
      <c r="AD51" s="50">
        <v>12.7</v>
      </c>
      <c r="AE51" s="50">
        <v>12.7</v>
      </c>
      <c r="AF51" s="50">
        <v>12.7</v>
      </c>
      <c r="AG51" s="136">
        <v>14.1</v>
      </c>
      <c r="AH51" s="54">
        <f t="shared" si="2"/>
        <v>12.7</v>
      </c>
      <c r="AI51" s="55">
        <f t="shared" si="3"/>
        <v>12.7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14</v>
      </c>
      <c r="C52" s="48">
        <v>0</v>
      </c>
      <c r="D52" s="48">
        <v>0</v>
      </c>
      <c r="E52" s="48">
        <v>0</v>
      </c>
      <c r="F52" s="48">
        <v>0</v>
      </c>
      <c r="G52" s="48">
        <v>0</v>
      </c>
      <c r="H52" s="48">
        <v>0</v>
      </c>
      <c r="I52" s="48">
        <v>0</v>
      </c>
      <c r="J52" s="48">
        <v>0</v>
      </c>
      <c r="K52" s="48">
        <v>0</v>
      </c>
      <c r="L52" s="48">
        <v>0</v>
      </c>
      <c r="M52" s="48">
        <v>0</v>
      </c>
      <c r="N52" s="48">
        <v>0</v>
      </c>
      <c r="O52" s="48">
        <v>0</v>
      </c>
      <c r="P52" s="48">
        <v>0</v>
      </c>
      <c r="Q52" s="48">
        <v>0</v>
      </c>
      <c r="R52" s="48">
        <v>0</v>
      </c>
      <c r="S52" s="48">
        <v>0</v>
      </c>
      <c r="T52" s="48">
        <v>0</v>
      </c>
      <c r="U52" s="48">
        <v>0</v>
      </c>
      <c r="V52" s="48">
        <v>0</v>
      </c>
      <c r="W52" s="50">
        <v>0</v>
      </c>
      <c r="X52" s="50">
        <v>0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136">
        <v>14</v>
      </c>
      <c r="AH52" s="54">
        <f t="shared" si="2"/>
        <v>14</v>
      </c>
      <c r="AI52" s="55">
        <f t="shared" si="3"/>
        <v>0</v>
      </c>
      <c r="AK52" s="56"/>
    </row>
    <row r="53" spans="1:41" x14ac:dyDescent="0.25">
      <c r="A53" s="60" t="s">
        <v>33</v>
      </c>
      <c r="B53" s="48">
        <v>9.1</v>
      </c>
      <c r="C53" s="48">
        <v>9.1</v>
      </c>
      <c r="D53" s="48">
        <v>9.1</v>
      </c>
      <c r="E53" s="48">
        <v>9.1</v>
      </c>
      <c r="F53" s="48">
        <v>9.1</v>
      </c>
      <c r="G53" s="48">
        <v>9.1</v>
      </c>
      <c r="H53" s="48">
        <v>9.1</v>
      </c>
      <c r="I53" s="48">
        <v>9.1</v>
      </c>
      <c r="J53" s="48">
        <v>9.1</v>
      </c>
      <c r="K53" s="48">
        <v>9.1</v>
      </c>
      <c r="L53" s="48">
        <v>9.1</v>
      </c>
      <c r="M53" s="48">
        <v>9.1</v>
      </c>
      <c r="N53" s="48">
        <v>9.1</v>
      </c>
      <c r="O53" s="48">
        <v>9.1</v>
      </c>
      <c r="P53" s="48">
        <v>9.1</v>
      </c>
      <c r="Q53" s="48">
        <v>9.1</v>
      </c>
      <c r="R53" s="48">
        <v>9.1</v>
      </c>
      <c r="S53" s="48">
        <v>9.1</v>
      </c>
      <c r="T53" s="48">
        <v>9.1</v>
      </c>
      <c r="U53" s="48">
        <v>9.1</v>
      </c>
      <c r="V53" s="48">
        <v>9.1</v>
      </c>
      <c r="W53" s="50">
        <v>9.1</v>
      </c>
      <c r="X53" s="50">
        <v>9.1</v>
      </c>
      <c r="Y53" s="50">
        <v>9.1</v>
      </c>
      <c r="Z53" s="50">
        <v>9.1</v>
      </c>
      <c r="AA53" s="50">
        <v>9.1</v>
      </c>
      <c r="AB53" s="50">
        <v>9.1</v>
      </c>
      <c r="AC53" s="50">
        <v>9.1</v>
      </c>
      <c r="AD53" s="50">
        <v>9.1</v>
      </c>
      <c r="AE53" s="50">
        <v>9.1</v>
      </c>
      <c r="AF53" s="50">
        <v>9.1</v>
      </c>
      <c r="AG53" s="136">
        <v>10.050000000000001</v>
      </c>
      <c r="AH53" s="54">
        <f t="shared" si="2"/>
        <v>9.1</v>
      </c>
      <c r="AI53" s="55">
        <f t="shared" si="3"/>
        <v>9.1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48">
        <v>6.2</v>
      </c>
      <c r="N54" s="48">
        <v>6.2</v>
      </c>
      <c r="O54" s="48">
        <v>6.2</v>
      </c>
      <c r="P54" s="48">
        <v>6.2</v>
      </c>
      <c r="Q54" s="48">
        <v>6.2</v>
      </c>
      <c r="R54" s="48">
        <v>6.2</v>
      </c>
      <c r="S54" s="48">
        <v>6.2</v>
      </c>
      <c r="T54" s="48">
        <v>6.2</v>
      </c>
      <c r="U54" s="48">
        <v>6.2</v>
      </c>
      <c r="V54" s="48">
        <v>6.2</v>
      </c>
      <c r="W54" s="50">
        <v>6.2</v>
      </c>
      <c r="X54" s="50">
        <v>6.2</v>
      </c>
      <c r="Y54" s="50">
        <v>6.2</v>
      </c>
      <c r="Z54" s="50">
        <v>6.2</v>
      </c>
      <c r="AA54" s="50">
        <v>6.2</v>
      </c>
      <c r="AB54" s="50">
        <v>6.2</v>
      </c>
      <c r="AC54" s="50">
        <v>6.2</v>
      </c>
      <c r="AD54" s="50">
        <v>6.2</v>
      </c>
      <c r="AE54" s="50">
        <v>6.2</v>
      </c>
      <c r="AF54" s="50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6">AG220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>SUM(B43:B55)</f>
        <v>406.34000000000003</v>
      </c>
      <c r="C56" s="66">
        <f t="shared" ref="C56:AG56" si="7">SUM(C43:C55)</f>
        <v>390.74</v>
      </c>
      <c r="D56" s="66">
        <f t="shared" si="7"/>
        <v>393.24</v>
      </c>
      <c r="E56" s="66">
        <f t="shared" si="7"/>
        <v>390.84000000000003</v>
      </c>
      <c r="F56" s="66">
        <f t="shared" si="7"/>
        <v>396.84000000000003</v>
      </c>
      <c r="G56" s="66">
        <f t="shared" si="7"/>
        <v>396.84000000000003</v>
      </c>
      <c r="H56" s="66">
        <f t="shared" si="7"/>
        <v>401.84000000000003</v>
      </c>
      <c r="I56" s="66">
        <f t="shared" si="7"/>
        <v>401.84000000000003</v>
      </c>
      <c r="J56" s="66">
        <f t="shared" si="7"/>
        <v>401.84000000000003</v>
      </c>
      <c r="K56" s="66">
        <f t="shared" si="7"/>
        <v>401.84000000000003</v>
      </c>
      <c r="L56" s="66">
        <f t="shared" si="7"/>
        <v>413.94000000000005</v>
      </c>
      <c r="M56" s="66">
        <f t="shared" si="7"/>
        <v>419.04000000000008</v>
      </c>
      <c r="N56" s="66">
        <f t="shared" si="7"/>
        <v>416.54000000000008</v>
      </c>
      <c r="O56" s="66">
        <f t="shared" si="7"/>
        <v>419.24000000000007</v>
      </c>
      <c r="P56" s="66">
        <f t="shared" si="7"/>
        <v>421.54000000000008</v>
      </c>
      <c r="Q56" s="66">
        <f t="shared" si="7"/>
        <v>421.54000000000008</v>
      </c>
      <c r="R56" s="66">
        <f t="shared" si="7"/>
        <v>415.84000000000003</v>
      </c>
      <c r="S56" s="66">
        <f t="shared" si="7"/>
        <v>417.14</v>
      </c>
      <c r="T56" s="66">
        <f t="shared" si="7"/>
        <v>417.14</v>
      </c>
      <c r="U56" s="66">
        <f t="shared" si="7"/>
        <v>389.03999999999996</v>
      </c>
      <c r="V56" s="66">
        <f t="shared" si="7"/>
        <v>388.94</v>
      </c>
      <c r="W56" s="66">
        <f t="shared" si="7"/>
        <v>385.14</v>
      </c>
      <c r="X56" s="66">
        <f t="shared" si="7"/>
        <v>383.14</v>
      </c>
      <c r="Y56" s="66">
        <f t="shared" si="7"/>
        <v>383.74</v>
      </c>
      <c r="Z56" s="66">
        <f t="shared" si="7"/>
        <v>382.44</v>
      </c>
      <c r="AA56" s="66">
        <f t="shared" si="7"/>
        <v>382.44</v>
      </c>
      <c r="AB56" s="66">
        <f t="shared" si="7"/>
        <v>382.44</v>
      </c>
      <c r="AC56" s="66">
        <f t="shared" si="7"/>
        <v>411.04</v>
      </c>
      <c r="AD56" s="66">
        <f t="shared" si="7"/>
        <v>411.34</v>
      </c>
      <c r="AE56" s="66">
        <f t="shared" si="7"/>
        <v>411.24</v>
      </c>
      <c r="AF56" s="66">
        <f t="shared" si="7"/>
        <v>353.04</v>
      </c>
      <c r="AG56" s="143">
        <f t="shared" si="7"/>
        <v>489.91</v>
      </c>
      <c r="AH56" s="54">
        <f t="shared" si="2"/>
        <v>421.54000000000008</v>
      </c>
      <c r="AI56" s="55">
        <f t="shared" si="3"/>
        <v>353.04</v>
      </c>
      <c r="AK56" s="56"/>
    </row>
    <row r="57" spans="1:41" x14ac:dyDescent="0.25">
      <c r="A57" s="57" t="s">
        <v>37</v>
      </c>
      <c r="B57" s="50">
        <v>10</v>
      </c>
      <c r="C57" s="50">
        <v>30</v>
      </c>
      <c r="D57" s="50">
        <v>20</v>
      </c>
      <c r="E57" s="50">
        <v>20</v>
      </c>
      <c r="F57" s="50">
        <v>20</v>
      </c>
      <c r="G57" s="50">
        <v>25</v>
      </c>
      <c r="H57" s="50">
        <v>20</v>
      </c>
      <c r="I57" s="50">
        <v>10</v>
      </c>
      <c r="J57" s="50">
        <v>29</v>
      </c>
      <c r="K57" s="50">
        <v>59</v>
      </c>
      <c r="L57" s="50">
        <v>30</v>
      </c>
      <c r="M57" s="50">
        <v>55.8</v>
      </c>
      <c r="N57" s="50">
        <v>55.8</v>
      </c>
      <c r="O57" s="50">
        <v>55.8</v>
      </c>
      <c r="P57" s="50">
        <v>50</v>
      </c>
      <c r="Q57" s="50">
        <v>50</v>
      </c>
      <c r="R57" s="50">
        <v>12.7</v>
      </c>
      <c r="S57" s="50">
        <v>10.4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0</v>
      </c>
      <c r="AB57" s="50">
        <v>40</v>
      </c>
      <c r="AC57" s="50">
        <v>50</v>
      </c>
      <c r="AD57" s="50">
        <v>50</v>
      </c>
      <c r="AE57" s="50">
        <v>20</v>
      </c>
      <c r="AF57" s="50">
        <v>20</v>
      </c>
      <c r="AG57" s="135">
        <v>60</v>
      </c>
      <c r="AH57" s="54">
        <f t="shared" si="2"/>
        <v>59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5</v>
      </c>
      <c r="C58" s="48">
        <v>15</v>
      </c>
      <c r="D58" s="48">
        <v>8</v>
      </c>
      <c r="E58" s="48">
        <v>10</v>
      </c>
      <c r="F58" s="48">
        <v>10</v>
      </c>
      <c r="G58" s="48">
        <v>13</v>
      </c>
      <c r="H58" s="48">
        <v>10</v>
      </c>
      <c r="I58" s="48">
        <v>4.5</v>
      </c>
      <c r="J58" s="48">
        <v>14</v>
      </c>
      <c r="K58" s="48">
        <v>31</v>
      </c>
      <c r="L58" s="48">
        <v>15</v>
      </c>
      <c r="M58" s="48">
        <v>26.3</v>
      </c>
      <c r="N58" s="48">
        <v>26.3</v>
      </c>
      <c r="O58" s="48">
        <v>26.3</v>
      </c>
      <c r="P58" s="48">
        <v>28.3</v>
      </c>
      <c r="Q58" s="48">
        <v>28.3</v>
      </c>
      <c r="R58" s="48">
        <v>11</v>
      </c>
      <c r="S58" s="48">
        <v>5.4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22</v>
      </c>
      <c r="AC58" s="48">
        <v>22.5</v>
      </c>
      <c r="AD58" s="48">
        <v>22.5</v>
      </c>
      <c r="AE58" s="48">
        <v>13</v>
      </c>
      <c r="AF58" s="48">
        <v>13</v>
      </c>
      <c r="AG58" s="136">
        <v>32</v>
      </c>
      <c r="AH58" s="54">
        <f t="shared" si="2"/>
        <v>31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2</v>
      </c>
      <c r="C59" s="70">
        <v>4</v>
      </c>
      <c r="D59" s="70">
        <v>3</v>
      </c>
      <c r="E59" s="70">
        <v>4</v>
      </c>
      <c r="F59" s="70">
        <v>4</v>
      </c>
      <c r="G59" s="70">
        <v>5</v>
      </c>
      <c r="H59" s="70">
        <v>3.7</v>
      </c>
      <c r="I59" s="70">
        <v>1.6</v>
      </c>
      <c r="J59" s="70">
        <v>5</v>
      </c>
      <c r="K59" s="70">
        <v>12</v>
      </c>
      <c r="L59" s="70">
        <v>5.5</v>
      </c>
      <c r="M59" s="70">
        <v>9.6</v>
      </c>
      <c r="N59" s="70">
        <v>9.6</v>
      </c>
      <c r="O59" s="70">
        <v>9.6</v>
      </c>
      <c r="P59" s="70">
        <v>10.3</v>
      </c>
      <c r="Q59" s="70">
        <v>10.3</v>
      </c>
      <c r="R59" s="70">
        <v>4</v>
      </c>
      <c r="S59" s="70">
        <v>2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70">
        <v>0</v>
      </c>
      <c r="AB59" s="70">
        <v>8.1999999999999993</v>
      </c>
      <c r="AC59" s="70">
        <v>8.1999999999999993</v>
      </c>
      <c r="AD59" s="70">
        <v>8.1999999999999993</v>
      </c>
      <c r="AE59" s="70">
        <v>5</v>
      </c>
      <c r="AF59" s="70">
        <v>5</v>
      </c>
      <c r="AG59" s="137">
        <v>14</v>
      </c>
      <c r="AH59" s="54">
        <f t="shared" si="2"/>
        <v>12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>SUM(B57:B59)</f>
        <v>17</v>
      </c>
      <c r="C60" s="66">
        <f t="shared" ref="C60:AG60" si="8">SUM(C57:C59)</f>
        <v>49</v>
      </c>
      <c r="D60" s="66">
        <f t="shared" si="8"/>
        <v>31</v>
      </c>
      <c r="E60" s="66">
        <f t="shared" si="8"/>
        <v>34</v>
      </c>
      <c r="F60" s="66">
        <f t="shared" si="8"/>
        <v>34</v>
      </c>
      <c r="G60" s="66">
        <f t="shared" si="8"/>
        <v>43</v>
      </c>
      <c r="H60" s="66">
        <f t="shared" si="8"/>
        <v>33.700000000000003</v>
      </c>
      <c r="I60" s="66">
        <f t="shared" si="8"/>
        <v>16.100000000000001</v>
      </c>
      <c r="J60" s="66">
        <f t="shared" si="8"/>
        <v>48</v>
      </c>
      <c r="K60" s="66">
        <f t="shared" si="8"/>
        <v>102</v>
      </c>
      <c r="L60" s="66">
        <f t="shared" si="8"/>
        <v>50.5</v>
      </c>
      <c r="M60" s="66">
        <f t="shared" si="8"/>
        <v>91.699999999999989</v>
      </c>
      <c r="N60" s="66">
        <f t="shared" si="8"/>
        <v>91.699999999999989</v>
      </c>
      <c r="O60" s="66">
        <f t="shared" si="8"/>
        <v>91.699999999999989</v>
      </c>
      <c r="P60" s="66">
        <f t="shared" si="8"/>
        <v>88.6</v>
      </c>
      <c r="Q60" s="66">
        <f t="shared" si="8"/>
        <v>88.6</v>
      </c>
      <c r="R60" s="66">
        <f t="shared" si="8"/>
        <v>27.7</v>
      </c>
      <c r="S60" s="66">
        <f t="shared" si="8"/>
        <v>17.8</v>
      </c>
      <c r="T60" s="66">
        <f t="shared" si="8"/>
        <v>0</v>
      </c>
      <c r="U60" s="66">
        <f t="shared" si="8"/>
        <v>0</v>
      </c>
      <c r="V60" s="66">
        <f t="shared" si="8"/>
        <v>0</v>
      </c>
      <c r="W60" s="66">
        <f t="shared" si="8"/>
        <v>0</v>
      </c>
      <c r="X60" s="66">
        <f t="shared" si="8"/>
        <v>0</v>
      </c>
      <c r="Y60" s="66">
        <f t="shared" si="8"/>
        <v>0</v>
      </c>
      <c r="Z60" s="66">
        <f t="shared" si="8"/>
        <v>0</v>
      </c>
      <c r="AA60" s="66">
        <f t="shared" si="8"/>
        <v>0</v>
      </c>
      <c r="AB60" s="66">
        <f t="shared" si="8"/>
        <v>70.2</v>
      </c>
      <c r="AC60" s="66">
        <f t="shared" si="8"/>
        <v>80.7</v>
      </c>
      <c r="AD60" s="66">
        <f t="shared" si="8"/>
        <v>80.7</v>
      </c>
      <c r="AE60" s="66">
        <f t="shared" si="8"/>
        <v>38</v>
      </c>
      <c r="AF60" s="66">
        <f t="shared" si="8"/>
        <v>38</v>
      </c>
      <c r="AG60" s="143">
        <f t="shared" si="8"/>
        <v>106</v>
      </c>
      <c r="AH60" s="54">
        <f t="shared" si="2"/>
        <v>102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68</v>
      </c>
      <c r="C61" s="50">
        <v>68</v>
      </c>
      <c r="D61" s="50">
        <v>58</v>
      </c>
      <c r="E61" s="50">
        <v>62</v>
      </c>
      <c r="F61" s="50">
        <v>65</v>
      </c>
      <c r="G61" s="50">
        <v>63</v>
      </c>
      <c r="H61" s="50">
        <v>61</v>
      </c>
      <c r="I61" s="50">
        <v>50</v>
      </c>
      <c r="J61" s="50">
        <v>40</v>
      </c>
      <c r="K61" s="50">
        <v>39</v>
      </c>
      <c r="L61" s="50">
        <v>47</v>
      </c>
      <c r="M61" s="50">
        <v>55</v>
      </c>
      <c r="N61" s="50">
        <v>38</v>
      </c>
      <c r="O61" s="50">
        <v>39.4</v>
      </c>
      <c r="P61" s="50">
        <v>68.5</v>
      </c>
      <c r="Q61" s="50">
        <v>68.5</v>
      </c>
      <c r="R61" s="50">
        <v>62.4</v>
      </c>
      <c r="S61" s="50">
        <v>62.4</v>
      </c>
      <c r="T61" s="50">
        <v>30</v>
      </c>
      <c r="U61" s="50">
        <v>30</v>
      </c>
      <c r="V61" s="50">
        <v>44</v>
      </c>
      <c r="W61" s="50">
        <v>42.3</v>
      </c>
      <c r="X61" s="50">
        <v>51.3</v>
      </c>
      <c r="Y61" s="50">
        <v>61.2</v>
      </c>
      <c r="Z61" s="50">
        <v>55.3</v>
      </c>
      <c r="AA61" s="50">
        <v>72.7</v>
      </c>
      <c r="AB61" s="50">
        <v>45</v>
      </c>
      <c r="AC61" s="50">
        <v>41</v>
      </c>
      <c r="AD61" s="50">
        <v>42</v>
      </c>
      <c r="AE61" s="50">
        <v>44</v>
      </c>
      <c r="AF61" s="50">
        <v>76</v>
      </c>
      <c r="AG61" s="135"/>
      <c r="AH61" s="54">
        <f t="shared" si="2"/>
        <v>76</v>
      </c>
      <c r="AI61" s="55">
        <f t="shared" si="3"/>
        <v>30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-325</v>
      </c>
      <c r="C63" s="48">
        <v>-325</v>
      </c>
      <c r="D63" s="48">
        <v>-363</v>
      </c>
      <c r="E63" s="48">
        <v>-352</v>
      </c>
      <c r="F63" s="48">
        <v>-360</v>
      </c>
      <c r="G63" s="48">
        <v>-370</v>
      </c>
      <c r="H63" s="48">
        <v>-360</v>
      </c>
      <c r="I63" s="48">
        <v>-373</v>
      </c>
      <c r="J63" s="48">
        <v>-330</v>
      </c>
      <c r="K63" s="48">
        <v>-363</v>
      </c>
      <c r="L63" s="48">
        <v>-256</v>
      </c>
      <c r="M63" s="48">
        <v>-259.2</v>
      </c>
      <c r="N63" s="48">
        <v>-259.2</v>
      </c>
      <c r="O63" s="48">
        <v>-259.2</v>
      </c>
      <c r="P63" s="48">
        <v>-250.2</v>
      </c>
      <c r="Q63" s="48">
        <v>-250.2</v>
      </c>
      <c r="R63" s="48">
        <v>-255</v>
      </c>
      <c r="S63" s="48">
        <v>-255</v>
      </c>
      <c r="T63" s="48">
        <v>-350</v>
      </c>
      <c r="U63" s="48">
        <v>-344</v>
      </c>
      <c r="V63" s="48">
        <v>-337</v>
      </c>
      <c r="W63" s="48">
        <v>-324.89999999999998</v>
      </c>
      <c r="X63" s="48">
        <v>-296</v>
      </c>
      <c r="Y63" s="48">
        <v>-292</v>
      </c>
      <c r="Z63" s="48">
        <v>-305</v>
      </c>
      <c r="AA63" s="48">
        <v>-230</v>
      </c>
      <c r="AB63" s="48">
        <v>-230</v>
      </c>
      <c r="AC63" s="48">
        <v>-258</v>
      </c>
      <c r="AD63" s="48">
        <v>-258</v>
      </c>
      <c r="AE63" s="48">
        <v>-341</v>
      </c>
      <c r="AF63" s="48">
        <v>-326</v>
      </c>
      <c r="AG63" s="140"/>
      <c r="AH63" s="54">
        <f t="shared" si="2"/>
        <v>-230</v>
      </c>
      <c r="AI63" s="55">
        <f t="shared" si="3"/>
        <v>-373</v>
      </c>
      <c r="AK63" s="56"/>
    </row>
    <row r="64" spans="1:41" x14ac:dyDescent="0.25">
      <c r="A64" s="60" t="s">
        <v>44</v>
      </c>
      <c r="B64" s="71">
        <v>0</v>
      </c>
      <c r="C64" s="71">
        <v>0</v>
      </c>
      <c r="D64" s="71">
        <v>15</v>
      </c>
      <c r="E64" s="71">
        <v>15</v>
      </c>
      <c r="F64" s="71">
        <v>15</v>
      </c>
      <c r="G64" s="71">
        <v>15</v>
      </c>
      <c r="H64" s="71">
        <v>16</v>
      </c>
      <c r="I64" s="71">
        <v>16</v>
      </c>
      <c r="J64" s="71">
        <v>10</v>
      </c>
      <c r="K64" s="71">
        <v>10</v>
      </c>
      <c r="L64" s="71">
        <v>10</v>
      </c>
      <c r="M64" s="71">
        <v>10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12</v>
      </c>
      <c r="AG64" s="140"/>
      <c r="AH64" s="54">
        <f t="shared" si="2"/>
        <v>16</v>
      </c>
      <c r="AI64" s="55">
        <f t="shared" si="3"/>
        <v>0</v>
      </c>
      <c r="AK64" s="56"/>
    </row>
    <row r="65" spans="1:88" x14ac:dyDescent="0.25">
      <c r="A65" s="60" t="s">
        <v>45</v>
      </c>
      <c r="B65" s="71">
        <v>0</v>
      </c>
      <c r="C65" s="71">
        <v>0</v>
      </c>
      <c r="D65" s="71">
        <v>0</v>
      </c>
      <c r="E65" s="71">
        <v>0</v>
      </c>
      <c r="F65" s="71">
        <v>0</v>
      </c>
      <c r="G65" s="71">
        <v>0</v>
      </c>
      <c r="H65" s="71">
        <v>0</v>
      </c>
      <c r="I65" s="71">
        <v>0</v>
      </c>
      <c r="J65" s="71">
        <v>0</v>
      </c>
      <c r="K65" s="71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1">
        <v>5</v>
      </c>
      <c r="C66" s="71">
        <v>5</v>
      </c>
      <c r="D66" s="71">
        <v>5</v>
      </c>
      <c r="E66" s="71">
        <v>5</v>
      </c>
      <c r="F66" s="71">
        <v>5</v>
      </c>
      <c r="G66" s="71">
        <v>5</v>
      </c>
      <c r="H66" s="71">
        <v>5</v>
      </c>
      <c r="I66" s="71">
        <v>5</v>
      </c>
      <c r="J66" s="71">
        <v>5</v>
      </c>
      <c r="K66" s="71">
        <v>5</v>
      </c>
      <c r="L66" s="71">
        <v>5</v>
      </c>
      <c r="M66" s="72">
        <v>5</v>
      </c>
      <c r="N66" s="72">
        <v>5</v>
      </c>
      <c r="O66" s="72">
        <v>5</v>
      </c>
      <c r="P66" s="72">
        <v>5</v>
      </c>
      <c r="Q66" s="72">
        <v>5</v>
      </c>
      <c r="R66" s="72">
        <v>5</v>
      </c>
      <c r="S66" s="72">
        <v>5</v>
      </c>
      <c r="T66" s="72">
        <v>5</v>
      </c>
      <c r="U66" s="72">
        <v>5</v>
      </c>
      <c r="V66" s="72">
        <v>5</v>
      </c>
      <c r="W66" s="72">
        <v>5</v>
      </c>
      <c r="X66" s="72">
        <v>5</v>
      </c>
      <c r="Y66" s="72">
        <v>5</v>
      </c>
      <c r="Z66" s="72">
        <v>5</v>
      </c>
      <c r="AA66" s="72">
        <v>5</v>
      </c>
      <c r="AB66" s="72">
        <v>5</v>
      </c>
      <c r="AC66" s="72">
        <v>5</v>
      </c>
      <c r="AD66" s="72">
        <v>5</v>
      </c>
      <c r="AE66" s="72">
        <v>5</v>
      </c>
      <c r="AF66" s="72">
        <v>8</v>
      </c>
      <c r="AG66" s="140"/>
      <c r="AH66" s="54">
        <f t="shared" si="2"/>
        <v>8</v>
      </c>
      <c r="AI66" s="55">
        <f t="shared" si="3"/>
        <v>5</v>
      </c>
      <c r="AK66" s="56"/>
    </row>
    <row r="67" spans="1:88" x14ac:dyDescent="0.25">
      <c r="A67" s="60" t="s">
        <v>47</v>
      </c>
      <c r="B67" s="71">
        <v>0</v>
      </c>
      <c r="C67" s="71">
        <v>0</v>
      </c>
      <c r="D67" s="71">
        <v>0</v>
      </c>
      <c r="E67" s="71">
        <v>0</v>
      </c>
      <c r="F67" s="71">
        <v>0</v>
      </c>
      <c r="G67" s="71">
        <v>0</v>
      </c>
      <c r="H67" s="71">
        <v>0</v>
      </c>
      <c r="I67" s="71">
        <v>0</v>
      </c>
      <c r="J67" s="71">
        <v>0</v>
      </c>
      <c r="K67" s="71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1">
        <v>0</v>
      </c>
      <c r="D68" s="71">
        <v>0</v>
      </c>
      <c r="E68" s="71">
        <v>0</v>
      </c>
      <c r="F68" s="71">
        <v>0</v>
      </c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1">
        <v>0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1">
        <v>0</v>
      </c>
      <c r="C70" s="71">
        <v>0</v>
      </c>
      <c r="D70" s="71">
        <v>0</v>
      </c>
      <c r="E70" s="71">
        <v>0</v>
      </c>
      <c r="F70" s="71">
        <v>0</v>
      </c>
      <c r="G70" s="71">
        <v>0</v>
      </c>
      <c r="H70" s="71">
        <v>0</v>
      </c>
      <c r="I70" s="71">
        <v>0</v>
      </c>
      <c r="J70" s="71">
        <v>0</v>
      </c>
      <c r="K70" s="71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1">
        <v>0</v>
      </c>
      <c r="C71" s="71">
        <v>0</v>
      </c>
      <c r="D71" s="71">
        <v>0</v>
      </c>
      <c r="E71" s="71">
        <v>0</v>
      </c>
      <c r="F71" s="71">
        <v>0</v>
      </c>
      <c r="G71" s="71">
        <v>0</v>
      </c>
      <c r="H71" s="71">
        <v>0</v>
      </c>
      <c r="I71" s="71">
        <v>0</v>
      </c>
      <c r="J71" s="71">
        <v>0</v>
      </c>
      <c r="K71" s="71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>SUMIF(B61:B71,"&gt;0")</f>
        <v>73</v>
      </c>
      <c r="C72" s="66">
        <f t="shared" ref="C72:L72" si="9">SUMIF(C61:C71,"&gt;0")</f>
        <v>73</v>
      </c>
      <c r="D72" s="66">
        <f t="shared" si="9"/>
        <v>78</v>
      </c>
      <c r="E72" s="66">
        <f t="shared" si="9"/>
        <v>82</v>
      </c>
      <c r="F72" s="66">
        <f t="shared" si="9"/>
        <v>85</v>
      </c>
      <c r="G72" s="66">
        <f t="shared" si="9"/>
        <v>83</v>
      </c>
      <c r="H72" s="66">
        <f t="shared" si="9"/>
        <v>82</v>
      </c>
      <c r="I72" s="66">
        <f t="shared" si="9"/>
        <v>71</v>
      </c>
      <c r="J72" s="66">
        <f t="shared" si="9"/>
        <v>55</v>
      </c>
      <c r="K72" s="66">
        <f t="shared" si="9"/>
        <v>54</v>
      </c>
      <c r="L72" s="66">
        <f t="shared" si="9"/>
        <v>62</v>
      </c>
      <c r="M72" s="66">
        <f>SUMIF(M61:M71,"&gt;0")</f>
        <v>70</v>
      </c>
      <c r="N72" s="66">
        <f t="shared" ref="N72:AF72" si="10">SUMIF(N61:N71,"&gt;0")</f>
        <v>43</v>
      </c>
      <c r="O72" s="66">
        <f t="shared" si="10"/>
        <v>44.4</v>
      </c>
      <c r="P72" s="66">
        <f t="shared" si="10"/>
        <v>73.5</v>
      </c>
      <c r="Q72" s="66">
        <f t="shared" si="10"/>
        <v>73.5</v>
      </c>
      <c r="R72" s="66">
        <f t="shared" si="10"/>
        <v>67.400000000000006</v>
      </c>
      <c r="S72" s="66">
        <f t="shared" si="10"/>
        <v>67.400000000000006</v>
      </c>
      <c r="T72" s="66">
        <f t="shared" si="10"/>
        <v>35</v>
      </c>
      <c r="U72" s="66">
        <f t="shared" si="10"/>
        <v>35</v>
      </c>
      <c r="V72" s="66">
        <f t="shared" si="10"/>
        <v>49</v>
      </c>
      <c r="W72" s="66">
        <f t="shared" si="10"/>
        <v>47.3</v>
      </c>
      <c r="X72" s="66">
        <f t="shared" si="10"/>
        <v>56.3</v>
      </c>
      <c r="Y72" s="66">
        <f t="shared" si="10"/>
        <v>66.2</v>
      </c>
      <c r="Z72" s="66">
        <f t="shared" si="10"/>
        <v>60.3</v>
      </c>
      <c r="AA72" s="66">
        <f t="shared" si="10"/>
        <v>77.7</v>
      </c>
      <c r="AB72" s="66">
        <f t="shared" si="10"/>
        <v>50</v>
      </c>
      <c r="AC72" s="66">
        <f t="shared" si="10"/>
        <v>46</v>
      </c>
      <c r="AD72" s="66">
        <f t="shared" si="10"/>
        <v>47</v>
      </c>
      <c r="AE72" s="66">
        <f t="shared" si="10"/>
        <v>49</v>
      </c>
      <c r="AF72" s="66">
        <f t="shared" si="10"/>
        <v>96</v>
      </c>
      <c r="AG72" s="138">
        <f>SUM(AG61:AG71)</f>
        <v>0</v>
      </c>
      <c r="AH72" s="54">
        <f t="shared" si="2"/>
        <v>96</v>
      </c>
      <c r="AI72" s="55">
        <f t="shared" si="3"/>
        <v>35</v>
      </c>
      <c r="AK72" s="56"/>
    </row>
    <row r="73" spans="1:88" x14ac:dyDescent="0.25">
      <c r="A73" s="57" t="s">
        <v>53</v>
      </c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>B38+B42+B60+B56+B72+B76</f>
        <v>1864.2400000000002</v>
      </c>
      <c r="C77" s="75">
        <f t="shared" ref="C77:AF77" si="11">C38+C42+C60+C56+C72+C76</f>
        <v>1761.5400000000002</v>
      </c>
      <c r="D77" s="75">
        <f t="shared" si="11"/>
        <v>1751.0400000000002</v>
      </c>
      <c r="E77" s="75">
        <f t="shared" si="11"/>
        <v>1755.6400000000003</v>
      </c>
      <c r="F77" s="75">
        <f t="shared" si="11"/>
        <v>1764.6400000000003</v>
      </c>
      <c r="G77" s="75">
        <f t="shared" si="11"/>
        <v>1771.6400000000003</v>
      </c>
      <c r="H77" s="75">
        <f t="shared" si="11"/>
        <v>1766.3400000000001</v>
      </c>
      <c r="I77" s="75">
        <f t="shared" si="11"/>
        <v>1743.7400000000002</v>
      </c>
      <c r="J77" s="75">
        <f t="shared" si="11"/>
        <v>1772.8400000000001</v>
      </c>
      <c r="K77" s="75">
        <f t="shared" si="11"/>
        <v>1825.8400000000001</v>
      </c>
      <c r="L77" s="75">
        <f t="shared" si="11"/>
        <v>1794.64</v>
      </c>
      <c r="M77" s="75">
        <f t="shared" si="11"/>
        <v>1846.94</v>
      </c>
      <c r="N77" s="75">
        <f t="shared" si="11"/>
        <v>1783.44</v>
      </c>
      <c r="O77" s="75">
        <f t="shared" si="11"/>
        <v>1787.5400000000002</v>
      </c>
      <c r="P77" s="75">
        <f t="shared" si="11"/>
        <v>1881.54</v>
      </c>
      <c r="Q77" s="75">
        <f t="shared" si="11"/>
        <v>1882.04</v>
      </c>
      <c r="R77" s="75">
        <f t="shared" si="11"/>
        <v>1825.1400000000003</v>
      </c>
      <c r="S77" s="75">
        <f t="shared" si="11"/>
        <v>1827.54</v>
      </c>
      <c r="T77" s="75">
        <f t="shared" si="11"/>
        <v>1745.8400000000001</v>
      </c>
      <c r="U77" s="75">
        <f t="shared" si="11"/>
        <v>1717.84</v>
      </c>
      <c r="V77" s="75">
        <f t="shared" si="11"/>
        <v>1735.54</v>
      </c>
      <c r="W77" s="75">
        <f t="shared" si="11"/>
        <v>1734.5399999999997</v>
      </c>
      <c r="X77" s="75">
        <f t="shared" si="11"/>
        <v>1740.0399999999997</v>
      </c>
      <c r="Y77" s="75">
        <f t="shared" si="11"/>
        <v>1750.54</v>
      </c>
      <c r="Z77" s="75">
        <f t="shared" si="11"/>
        <v>1744.54</v>
      </c>
      <c r="AA77" s="75">
        <f t="shared" si="11"/>
        <v>1761.94</v>
      </c>
      <c r="AB77" s="75">
        <f t="shared" si="11"/>
        <v>1857.24</v>
      </c>
      <c r="AC77" s="75">
        <f t="shared" si="11"/>
        <v>1892.34</v>
      </c>
      <c r="AD77" s="75">
        <f t="shared" si="11"/>
        <v>1893.6399999999999</v>
      </c>
      <c r="AE77" s="75">
        <f t="shared" si="11"/>
        <v>1852.84</v>
      </c>
      <c r="AF77" s="75">
        <f t="shared" si="11"/>
        <v>1829.64</v>
      </c>
      <c r="AG77" s="143">
        <f>AG38+AG42+AG60+AG56+AG72+AG76</f>
        <v>1855.1900000000003</v>
      </c>
      <c r="AH77" s="54">
        <f t="shared" si="2"/>
        <v>1893.6399999999999</v>
      </c>
      <c r="AI77" s="55">
        <f t="shared" si="3"/>
        <v>1717.84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>
        <v>40</v>
      </c>
      <c r="O78" s="77">
        <v>40</v>
      </c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40</v>
      </c>
      <c r="AI78" s="55">
        <f t="shared" si="3"/>
        <v>40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>B77+B78</f>
        <v>1864.2400000000002</v>
      </c>
      <c r="C79" s="75">
        <f t="shared" ref="C79:AF79" si="12">C77+C78</f>
        <v>1761.5400000000002</v>
      </c>
      <c r="D79" s="75">
        <f t="shared" si="12"/>
        <v>1751.0400000000002</v>
      </c>
      <c r="E79" s="75">
        <f t="shared" si="12"/>
        <v>1755.6400000000003</v>
      </c>
      <c r="F79" s="75">
        <f t="shared" si="12"/>
        <v>1764.6400000000003</v>
      </c>
      <c r="G79" s="75">
        <f t="shared" si="12"/>
        <v>1771.6400000000003</v>
      </c>
      <c r="H79" s="75">
        <f t="shared" si="12"/>
        <v>1766.3400000000001</v>
      </c>
      <c r="I79" s="75">
        <f t="shared" si="12"/>
        <v>1743.7400000000002</v>
      </c>
      <c r="J79" s="75">
        <f t="shared" si="12"/>
        <v>1772.8400000000001</v>
      </c>
      <c r="K79" s="75">
        <f t="shared" si="12"/>
        <v>1825.8400000000001</v>
      </c>
      <c r="L79" s="75">
        <f t="shared" si="12"/>
        <v>1794.64</v>
      </c>
      <c r="M79" s="75">
        <f t="shared" si="12"/>
        <v>1846.94</v>
      </c>
      <c r="N79" s="75">
        <f t="shared" si="12"/>
        <v>1823.44</v>
      </c>
      <c r="O79" s="75">
        <f t="shared" si="12"/>
        <v>1827.5400000000002</v>
      </c>
      <c r="P79" s="75">
        <f t="shared" si="12"/>
        <v>1881.54</v>
      </c>
      <c r="Q79" s="75">
        <f t="shared" si="12"/>
        <v>1882.04</v>
      </c>
      <c r="R79" s="75">
        <f t="shared" si="12"/>
        <v>1825.1400000000003</v>
      </c>
      <c r="S79" s="75">
        <f t="shared" si="12"/>
        <v>1827.54</v>
      </c>
      <c r="T79" s="75">
        <f t="shared" si="12"/>
        <v>1745.8400000000001</v>
      </c>
      <c r="U79" s="75">
        <f t="shared" si="12"/>
        <v>1717.84</v>
      </c>
      <c r="V79" s="75">
        <f t="shared" si="12"/>
        <v>1735.54</v>
      </c>
      <c r="W79" s="75">
        <f t="shared" si="12"/>
        <v>1734.5399999999997</v>
      </c>
      <c r="X79" s="75">
        <f t="shared" si="12"/>
        <v>1740.0399999999997</v>
      </c>
      <c r="Y79" s="75">
        <f t="shared" si="12"/>
        <v>1750.54</v>
      </c>
      <c r="Z79" s="75">
        <f t="shared" si="12"/>
        <v>1744.54</v>
      </c>
      <c r="AA79" s="75">
        <f t="shared" si="12"/>
        <v>1761.94</v>
      </c>
      <c r="AB79" s="75">
        <f t="shared" si="12"/>
        <v>1857.24</v>
      </c>
      <c r="AC79" s="75">
        <f t="shared" si="12"/>
        <v>1892.34</v>
      </c>
      <c r="AD79" s="75">
        <f t="shared" si="12"/>
        <v>1893.6399999999999</v>
      </c>
      <c r="AE79" s="75">
        <f t="shared" si="12"/>
        <v>1852.84</v>
      </c>
      <c r="AF79" s="75">
        <f t="shared" si="12"/>
        <v>1829.64</v>
      </c>
      <c r="AG79" s="138">
        <f>AG76+AG72+AG60+AG56+AG38+AG78</f>
        <v>1317.0900000000001</v>
      </c>
      <c r="AH79" s="54">
        <f t="shared" si="2"/>
        <v>1893.6399999999999</v>
      </c>
      <c r="AI79" s="55">
        <f t="shared" si="3"/>
        <v>1717.84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:AF80" si="13">B79-B87</f>
        <v>1539.2400000000002</v>
      </c>
      <c r="C80" s="75">
        <f t="shared" si="13"/>
        <v>1436.5400000000002</v>
      </c>
      <c r="D80" s="75">
        <f t="shared" si="13"/>
        <v>1388.0400000000002</v>
      </c>
      <c r="E80" s="75">
        <f t="shared" si="13"/>
        <v>1403.6400000000003</v>
      </c>
      <c r="F80" s="75">
        <f t="shared" si="13"/>
        <v>1404.6400000000003</v>
      </c>
      <c r="G80" s="75">
        <f t="shared" si="13"/>
        <v>1401.6400000000003</v>
      </c>
      <c r="H80" s="75">
        <f t="shared" si="13"/>
        <v>1406.3400000000001</v>
      </c>
      <c r="I80" s="75">
        <f t="shared" si="13"/>
        <v>1370.7400000000002</v>
      </c>
      <c r="J80" s="75">
        <f t="shared" si="13"/>
        <v>1442.8400000000001</v>
      </c>
      <c r="K80" s="75">
        <f t="shared" si="13"/>
        <v>1462.8400000000001</v>
      </c>
      <c r="L80" s="75">
        <f t="shared" si="13"/>
        <v>1538.64</v>
      </c>
      <c r="M80" s="75">
        <f t="shared" si="13"/>
        <v>1587.74</v>
      </c>
      <c r="N80" s="75">
        <f t="shared" si="13"/>
        <v>1564.24</v>
      </c>
      <c r="O80" s="75">
        <f t="shared" si="13"/>
        <v>1568.3400000000001</v>
      </c>
      <c r="P80" s="75">
        <f t="shared" si="13"/>
        <v>1631.34</v>
      </c>
      <c r="Q80" s="75">
        <f t="shared" si="13"/>
        <v>1631.84</v>
      </c>
      <c r="R80" s="75">
        <f t="shared" si="13"/>
        <v>1570.1400000000003</v>
      </c>
      <c r="S80" s="75">
        <f t="shared" si="13"/>
        <v>1572.54</v>
      </c>
      <c r="T80" s="75">
        <f t="shared" si="13"/>
        <v>1395.8400000000001</v>
      </c>
      <c r="U80" s="75">
        <f t="shared" si="13"/>
        <v>1373.84</v>
      </c>
      <c r="V80" s="75">
        <f t="shared" si="13"/>
        <v>1398.54</v>
      </c>
      <c r="W80" s="75">
        <f t="shared" si="13"/>
        <v>1409.6399999999999</v>
      </c>
      <c r="X80" s="75">
        <f t="shared" si="13"/>
        <v>1444.0399999999997</v>
      </c>
      <c r="Y80" s="75">
        <f t="shared" si="13"/>
        <v>1458.54</v>
      </c>
      <c r="Z80" s="75">
        <f t="shared" si="13"/>
        <v>1439.54</v>
      </c>
      <c r="AA80" s="75">
        <f t="shared" si="13"/>
        <v>1531.94</v>
      </c>
      <c r="AB80" s="75">
        <f t="shared" si="13"/>
        <v>1627.24</v>
      </c>
      <c r="AC80" s="75">
        <f t="shared" si="13"/>
        <v>1634.34</v>
      </c>
      <c r="AD80" s="75">
        <f t="shared" si="13"/>
        <v>1635.6399999999999</v>
      </c>
      <c r="AE80" s="75">
        <f t="shared" si="13"/>
        <v>1511.84</v>
      </c>
      <c r="AF80" s="75">
        <f t="shared" si="13"/>
        <v>1503.64</v>
      </c>
      <c r="AG80" s="138"/>
      <c r="AH80" s="54">
        <f t="shared" ref="AH80:AH97" si="14">MAX(B80:AF80)</f>
        <v>1635.6399999999999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>IF(B64&lt;0,B64*-1,0)</f>
        <v>0</v>
      </c>
      <c r="C81" s="71">
        <f t="shared" ref="C81:AF81" si="15">IF(C64&lt;0,C64*-1,0)</f>
        <v>0</v>
      </c>
      <c r="D81" s="71">
        <f t="shared" si="15"/>
        <v>0</v>
      </c>
      <c r="E81" s="71">
        <f t="shared" si="15"/>
        <v>0</v>
      </c>
      <c r="F81" s="71">
        <f t="shared" si="15"/>
        <v>0</v>
      </c>
      <c r="G81" s="71">
        <f t="shared" si="15"/>
        <v>0</v>
      </c>
      <c r="H81" s="71">
        <f t="shared" si="15"/>
        <v>0</v>
      </c>
      <c r="I81" s="71">
        <f t="shared" si="15"/>
        <v>0</v>
      </c>
      <c r="J81" s="71">
        <f t="shared" si="15"/>
        <v>0</v>
      </c>
      <c r="K81" s="71">
        <f t="shared" si="15"/>
        <v>0</v>
      </c>
      <c r="L81" s="71">
        <f t="shared" si="15"/>
        <v>0</v>
      </c>
      <c r="M81" s="71">
        <f t="shared" si="15"/>
        <v>0</v>
      </c>
      <c r="N81" s="71">
        <f t="shared" si="15"/>
        <v>0</v>
      </c>
      <c r="O81" s="71">
        <f t="shared" si="15"/>
        <v>0</v>
      </c>
      <c r="P81" s="71">
        <f t="shared" si="15"/>
        <v>0</v>
      </c>
      <c r="Q81" s="71">
        <f t="shared" si="15"/>
        <v>0</v>
      </c>
      <c r="R81" s="71">
        <f t="shared" si="15"/>
        <v>0</v>
      </c>
      <c r="S81" s="71">
        <f t="shared" si="15"/>
        <v>0</v>
      </c>
      <c r="T81" s="71">
        <f t="shared" si="15"/>
        <v>0</v>
      </c>
      <c r="U81" s="71">
        <f t="shared" si="15"/>
        <v>0</v>
      </c>
      <c r="V81" s="71">
        <f t="shared" si="15"/>
        <v>0</v>
      </c>
      <c r="W81" s="71">
        <f t="shared" si="15"/>
        <v>0</v>
      </c>
      <c r="X81" s="71">
        <f t="shared" si="15"/>
        <v>0</v>
      </c>
      <c r="Y81" s="71">
        <f t="shared" si="15"/>
        <v>0</v>
      </c>
      <c r="Z81" s="71">
        <f t="shared" si="15"/>
        <v>0</v>
      </c>
      <c r="AA81" s="71">
        <f t="shared" si="15"/>
        <v>0</v>
      </c>
      <c r="AB81" s="71">
        <f t="shared" si="15"/>
        <v>0</v>
      </c>
      <c r="AC81" s="71">
        <f t="shared" si="15"/>
        <v>0</v>
      </c>
      <c r="AD81" s="71">
        <f t="shared" si="15"/>
        <v>0</v>
      </c>
      <c r="AE81" s="71">
        <f t="shared" si="15"/>
        <v>0</v>
      </c>
      <c r="AF81" s="71">
        <f t="shared" si="15"/>
        <v>0</v>
      </c>
      <c r="AG81" s="135"/>
      <c r="AH81" s="54">
        <f t="shared" si="14"/>
        <v>0</v>
      </c>
      <c r="AI81" s="55">
        <f t="shared" ref="AI81:AI97" si="16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>IF(B62&lt;0,B62*-1,0)</f>
        <v>0</v>
      </c>
      <c r="C82" s="71">
        <f t="shared" ref="C82:AF82" si="17">IF(C62&lt;0,C62*-1,0)</f>
        <v>0</v>
      </c>
      <c r="D82" s="71">
        <f t="shared" si="17"/>
        <v>0</v>
      </c>
      <c r="E82" s="71">
        <f t="shared" si="17"/>
        <v>0</v>
      </c>
      <c r="F82" s="71">
        <f t="shared" si="17"/>
        <v>0</v>
      </c>
      <c r="G82" s="71">
        <f t="shared" si="17"/>
        <v>0</v>
      </c>
      <c r="H82" s="71">
        <f t="shared" si="17"/>
        <v>0</v>
      </c>
      <c r="I82" s="71">
        <f t="shared" si="17"/>
        <v>0</v>
      </c>
      <c r="J82" s="71">
        <f t="shared" si="17"/>
        <v>0</v>
      </c>
      <c r="K82" s="71">
        <f t="shared" si="17"/>
        <v>0</v>
      </c>
      <c r="L82" s="71">
        <f t="shared" si="17"/>
        <v>0</v>
      </c>
      <c r="M82" s="71">
        <f t="shared" si="17"/>
        <v>0</v>
      </c>
      <c r="N82" s="71">
        <f t="shared" si="17"/>
        <v>0</v>
      </c>
      <c r="O82" s="71">
        <f t="shared" si="17"/>
        <v>0</v>
      </c>
      <c r="P82" s="71">
        <f t="shared" si="17"/>
        <v>0</v>
      </c>
      <c r="Q82" s="71">
        <f t="shared" si="17"/>
        <v>0</v>
      </c>
      <c r="R82" s="71">
        <f t="shared" si="17"/>
        <v>0</v>
      </c>
      <c r="S82" s="71">
        <f t="shared" si="17"/>
        <v>0</v>
      </c>
      <c r="T82" s="71">
        <f t="shared" si="17"/>
        <v>0</v>
      </c>
      <c r="U82" s="71">
        <f t="shared" si="17"/>
        <v>0</v>
      </c>
      <c r="V82" s="71">
        <f t="shared" si="17"/>
        <v>0</v>
      </c>
      <c r="W82" s="71">
        <f t="shared" si="17"/>
        <v>0</v>
      </c>
      <c r="X82" s="71">
        <f t="shared" si="17"/>
        <v>0</v>
      </c>
      <c r="Y82" s="71">
        <f t="shared" si="17"/>
        <v>0</v>
      </c>
      <c r="Z82" s="71">
        <f t="shared" si="17"/>
        <v>0</v>
      </c>
      <c r="AA82" s="71">
        <f t="shared" si="17"/>
        <v>0</v>
      </c>
      <c r="AB82" s="71">
        <f t="shared" si="17"/>
        <v>0</v>
      </c>
      <c r="AC82" s="71">
        <f t="shared" si="17"/>
        <v>0</v>
      </c>
      <c r="AD82" s="71">
        <f t="shared" si="17"/>
        <v>0</v>
      </c>
      <c r="AE82" s="71">
        <f t="shared" si="17"/>
        <v>0</v>
      </c>
      <c r="AF82" s="71">
        <f t="shared" si="17"/>
        <v>0</v>
      </c>
      <c r="AG82" s="136"/>
      <c r="AH82" s="54">
        <f t="shared" si="14"/>
        <v>0</v>
      </c>
      <c r="AI82" s="55">
        <f t="shared" si="16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>IF(B65&lt;0,B65*-1,0)</f>
        <v>0</v>
      </c>
      <c r="C83" s="71">
        <f t="shared" ref="C83:AF83" si="18">IF(C65&lt;0,C65*-1,0)</f>
        <v>0</v>
      </c>
      <c r="D83" s="71">
        <f t="shared" si="18"/>
        <v>0</v>
      </c>
      <c r="E83" s="71">
        <f t="shared" si="18"/>
        <v>0</v>
      </c>
      <c r="F83" s="71">
        <f t="shared" si="18"/>
        <v>0</v>
      </c>
      <c r="G83" s="71">
        <f t="shared" si="18"/>
        <v>0</v>
      </c>
      <c r="H83" s="71">
        <f t="shared" si="18"/>
        <v>0</v>
      </c>
      <c r="I83" s="71">
        <f t="shared" si="18"/>
        <v>0</v>
      </c>
      <c r="J83" s="71">
        <f t="shared" si="18"/>
        <v>0</v>
      </c>
      <c r="K83" s="71">
        <f t="shared" si="18"/>
        <v>0</v>
      </c>
      <c r="L83" s="71">
        <f t="shared" si="18"/>
        <v>0</v>
      </c>
      <c r="M83" s="71">
        <f t="shared" si="18"/>
        <v>0</v>
      </c>
      <c r="N83" s="71">
        <f t="shared" si="18"/>
        <v>0</v>
      </c>
      <c r="O83" s="71">
        <f t="shared" si="18"/>
        <v>0</v>
      </c>
      <c r="P83" s="71">
        <f t="shared" si="18"/>
        <v>0</v>
      </c>
      <c r="Q83" s="71">
        <f t="shared" si="18"/>
        <v>0</v>
      </c>
      <c r="R83" s="71">
        <f t="shared" si="18"/>
        <v>0</v>
      </c>
      <c r="S83" s="71">
        <f t="shared" si="18"/>
        <v>0</v>
      </c>
      <c r="T83" s="71">
        <f t="shared" si="18"/>
        <v>0</v>
      </c>
      <c r="U83" s="71">
        <f t="shared" si="18"/>
        <v>0</v>
      </c>
      <c r="V83" s="71">
        <f t="shared" si="18"/>
        <v>0</v>
      </c>
      <c r="W83" s="71">
        <f t="shared" si="18"/>
        <v>0</v>
      </c>
      <c r="X83" s="71">
        <f t="shared" si="18"/>
        <v>0</v>
      </c>
      <c r="Y83" s="71">
        <f t="shared" si="18"/>
        <v>0</v>
      </c>
      <c r="Z83" s="71">
        <f t="shared" si="18"/>
        <v>0</v>
      </c>
      <c r="AA83" s="71">
        <f t="shared" si="18"/>
        <v>0</v>
      </c>
      <c r="AB83" s="71">
        <f t="shared" si="18"/>
        <v>0</v>
      </c>
      <c r="AC83" s="71">
        <f t="shared" si="18"/>
        <v>0</v>
      </c>
      <c r="AD83" s="71">
        <f t="shared" si="18"/>
        <v>0</v>
      </c>
      <c r="AE83" s="71">
        <f t="shared" si="18"/>
        <v>0</v>
      </c>
      <c r="AF83" s="71">
        <f t="shared" si="18"/>
        <v>0</v>
      </c>
      <c r="AG83" s="144"/>
      <c r="AH83" s="54">
        <f t="shared" si="14"/>
        <v>0</v>
      </c>
      <c r="AI83" s="55">
        <f t="shared" si="16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>IF(B63&lt;0,B63*-1,0)</f>
        <v>325</v>
      </c>
      <c r="C84" s="71">
        <f t="shared" ref="C84:AF84" si="19">IF(C63&lt;0,C63*-1,0)</f>
        <v>325</v>
      </c>
      <c r="D84" s="71">
        <f t="shared" si="19"/>
        <v>363</v>
      </c>
      <c r="E84" s="71">
        <f t="shared" si="19"/>
        <v>352</v>
      </c>
      <c r="F84" s="71">
        <f t="shared" si="19"/>
        <v>360</v>
      </c>
      <c r="G84" s="71">
        <f t="shared" si="19"/>
        <v>370</v>
      </c>
      <c r="H84" s="71">
        <f t="shared" si="19"/>
        <v>360</v>
      </c>
      <c r="I84" s="71">
        <f t="shared" si="19"/>
        <v>373</v>
      </c>
      <c r="J84" s="71">
        <f t="shared" si="19"/>
        <v>330</v>
      </c>
      <c r="K84" s="71">
        <f t="shared" si="19"/>
        <v>363</v>
      </c>
      <c r="L84" s="71">
        <f t="shared" si="19"/>
        <v>256</v>
      </c>
      <c r="M84" s="71">
        <f t="shared" si="19"/>
        <v>259.2</v>
      </c>
      <c r="N84" s="71">
        <f t="shared" si="19"/>
        <v>259.2</v>
      </c>
      <c r="O84" s="71">
        <f t="shared" si="19"/>
        <v>259.2</v>
      </c>
      <c r="P84" s="71">
        <f t="shared" si="19"/>
        <v>250.2</v>
      </c>
      <c r="Q84" s="71">
        <f t="shared" si="19"/>
        <v>250.2</v>
      </c>
      <c r="R84" s="71">
        <f t="shared" si="19"/>
        <v>255</v>
      </c>
      <c r="S84" s="71">
        <f t="shared" si="19"/>
        <v>255</v>
      </c>
      <c r="T84" s="71">
        <f t="shared" si="19"/>
        <v>350</v>
      </c>
      <c r="U84" s="71">
        <f t="shared" si="19"/>
        <v>344</v>
      </c>
      <c r="V84" s="71">
        <f t="shared" si="19"/>
        <v>337</v>
      </c>
      <c r="W84" s="71">
        <f t="shared" si="19"/>
        <v>324.89999999999998</v>
      </c>
      <c r="X84" s="71">
        <f t="shared" si="19"/>
        <v>296</v>
      </c>
      <c r="Y84" s="71">
        <f t="shared" si="19"/>
        <v>292</v>
      </c>
      <c r="Z84" s="71">
        <f t="shared" si="19"/>
        <v>305</v>
      </c>
      <c r="AA84" s="71">
        <f t="shared" si="19"/>
        <v>230</v>
      </c>
      <c r="AB84" s="71">
        <f t="shared" si="19"/>
        <v>230</v>
      </c>
      <c r="AC84" s="71">
        <f t="shared" si="19"/>
        <v>258</v>
      </c>
      <c r="AD84" s="71">
        <f t="shared" si="19"/>
        <v>258</v>
      </c>
      <c r="AE84" s="71">
        <f t="shared" si="19"/>
        <v>341</v>
      </c>
      <c r="AF84" s="71">
        <f t="shared" si="19"/>
        <v>326</v>
      </c>
      <c r="AG84" s="144"/>
      <c r="AH84" s="54">
        <f t="shared" si="14"/>
        <v>373</v>
      </c>
      <c r="AI84" s="55">
        <f t="shared" si="16"/>
        <v>230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>IF(B61&lt;0,B61*-1,0)</f>
        <v>0</v>
      </c>
      <c r="C85" s="71">
        <f t="shared" ref="C85:AF85" si="20">IF(C61&lt;0,C61*-1,0)</f>
        <v>0</v>
      </c>
      <c r="D85" s="71">
        <f t="shared" si="20"/>
        <v>0</v>
      </c>
      <c r="E85" s="71">
        <f t="shared" si="20"/>
        <v>0</v>
      </c>
      <c r="F85" s="71">
        <f t="shared" si="20"/>
        <v>0</v>
      </c>
      <c r="G85" s="71">
        <f t="shared" si="20"/>
        <v>0</v>
      </c>
      <c r="H85" s="71">
        <f t="shared" si="20"/>
        <v>0</v>
      </c>
      <c r="I85" s="71">
        <f t="shared" si="20"/>
        <v>0</v>
      </c>
      <c r="J85" s="71">
        <f t="shared" si="20"/>
        <v>0</v>
      </c>
      <c r="K85" s="71">
        <f t="shared" si="20"/>
        <v>0</v>
      </c>
      <c r="L85" s="71">
        <f t="shared" si="20"/>
        <v>0</v>
      </c>
      <c r="M85" s="71">
        <f t="shared" si="20"/>
        <v>0</v>
      </c>
      <c r="N85" s="71">
        <f t="shared" si="20"/>
        <v>0</v>
      </c>
      <c r="O85" s="71">
        <f t="shared" si="20"/>
        <v>0</v>
      </c>
      <c r="P85" s="71">
        <f t="shared" si="20"/>
        <v>0</v>
      </c>
      <c r="Q85" s="71">
        <f t="shared" si="20"/>
        <v>0</v>
      </c>
      <c r="R85" s="71">
        <f t="shared" si="20"/>
        <v>0</v>
      </c>
      <c r="S85" s="71">
        <f t="shared" si="20"/>
        <v>0</v>
      </c>
      <c r="T85" s="71">
        <f t="shared" si="20"/>
        <v>0</v>
      </c>
      <c r="U85" s="71">
        <f t="shared" si="20"/>
        <v>0</v>
      </c>
      <c r="V85" s="71">
        <f t="shared" si="20"/>
        <v>0</v>
      </c>
      <c r="W85" s="71">
        <f t="shared" si="20"/>
        <v>0</v>
      </c>
      <c r="X85" s="71">
        <f t="shared" si="20"/>
        <v>0</v>
      </c>
      <c r="Y85" s="71">
        <f t="shared" si="20"/>
        <v>0</v>
      </c>
      <c r="Z85" s="71">
        <f t="shared" si="20"/>
        <v>0</v>
      </c>
      <c r="AA85" s="71">
        <f t="shared" si="20"/>
        <v>0</v>
      </c>
      <c r="AB85" s="71">
        <f t="shared" si="20"/>
        <v>0</v>
      </c>
      <c r="AC85" s="71">
        <f t="shared" si="20"/>
        <v>0</v>
      </c>
      <c r="AD85" s="71">
        <f t="shared" si="20"/>
        <v>0</v>
      </c>
      <c r="AE85" s="71">
        <f t="shared" si="20"/>
        <v>0</v>
      </c>
      <c r="AF85" s="71">
        <f t="shared" si="20"/>
        <v>0</v>
      </c>
      <c r="AG85" s="144"/>
      <c r="AH85" s="54">
        <f t="shared" si="14"/>
        <v>0</v>
      </c>
      <c r="AI85" s="55">
        <f t="shared" si="16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/>
      <c r="AD86" s="74"/>
      <c r="AE86" s="74"/>
      <c r="AF86" s="74"/>
      <c r="AG86" s="141"/>
      <c r="AH86" s="54">
        <f t="shared" si="14"/>
        <v>0</v>
      </c>
      <c r="AI86" s="55">
        <f t="shared" si="16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>SUM(B81:B86)</f>
        <v>325</v>
      </c>
      <c r="C87" s="66">
        <f t="shared" ref="C87:AF87" si="21">SUM(C81:C86)</f>
        <v>325</v>
      </c>
      <c r="D87" s="66">
        <f t="shared" si="21"/>
        <v>363</v>
      </c>
      <c r="E87" s="66">
        <f t="shared" si="21"/>
        <v>352</v>
      </c>
      <c r="F87" s="66">
        <f t="shared" si="21"/>
        <v>360</v>
      </c>
      <c r="G87" s="66">
        <f t="shared" si="21"/>
        <v>370</v>
      </c>
      <c r="H87" s="66">
        <f t="shared" si="21"/>
        <v>360</v>
      </c>
      <c r="I87" s="66">
        <f t="shared" si="21"/>
        <v>373</v>
      </c>
      <c r="J87" s="66">
        <f t="shared" si="21"/>
        <v>330</v>
      </c>
      <c r="K87" s="66">
        <f t="shared" si="21"/>
        <v>363</v>
      </c>
      <c r="L87" s="66">
        <f t="shared" si="21"/>
        <v>256</v>
      </c>
      <c r="M87" s="66">
        <f t="shared" si="21"/>
        <v>259.2</v>
      </c>
      <c r="N87" s="66">
        <f t="shared" si="21"/>
        <v>259.2</v>
      </c>
      <c r="O87" s="66">
        <f t="shared" si="21"/>
        <v>259.2</v>
      </c>
      <c r="P87" s="66">
        <f t="shared" si="21"/>
        <v>250.2</v>
      </c>
      <c r="Q87" s="66">
        <f t="shared" si="21"/>
        <v>250.2</v>
      </c>
      <c r="R87" s="66">
        <f t="shared" si="21"/>
        <v>255</v>
      </c>
      <c r="S87" s="66">
        <f t="shared" si="21"/>
        <v>255</v>
      </c>
      <c r="T87" s="66">
        <f t="shared" si="21"/>
        <v>350</v>
      </c>
      <c r="U87" s="66">
        <f t="shared" si="21"/>
        <v>344</v>
      </c>
      <c r="V87" s="66">
        <f t="shared" si="21"/>
        <v>337</v>
      </c>
      <c r="W87" s="66">
        <f t="shared" si="21"/>
        <v>324.89999999999998</v>
      </c>
      <c r="X87" s="66">
        <f t="shared" si="21"/>
        <v>296</v>
      </c>
      <c r="Y87" s="66">
        <f t="shared" si="21"/>
        <v>292</v>
      </c>
      <c r="Z87" s="66">
        <f t="shared" si="21"/>
        <v>305</v>
      </c>
      <c r="AA87" s="66">
        <f t="shared" si="21"/>
        <v>230</v>
      </c>
      <c r="AB87" s="66">
        <f t="shared" si="21"/>
        <v>230</v>
      </c>
      <c r="AC87" s="66">
        <f t="shared" si="21"/>
        <v>258</v>
      </c>
      <c r="AD87" s="66">
        <f t="shared" si="21"/>
        <v>258</v>
      </c>
      <c r="AE87" s="66">
        <f t="shared" si="21"/>
        <v>341</v>
      </c>
      <c r="AF87" s="66">
        <f t="shared" si="21"/>
        <v>326</v>
      </c>
      <c r="AG87" s="138"/>
      <c r="AH87" s="54">
        <f t="shared" si="14"/>
        <v>373</v>
      </c>
      <c r="AI87" s="55">
        <f t="shared" si="16"/>
        <v>230</v>
      </c>
      <c r="AK87" s="56"/>
    </row>
    <row r="88" spans="1:88" s="1" customFormat="1" ht="15.75" thickBot="1" x14ac:dyDescent="0.3">
      <c r="A88" s="65" t="s">
        <v>64</v>
      </c>
      <c r="B88" s="66">
        <f>B72-B87</f>
        <v>-252</v>
      </c>
      <c r="C88" s="66">
        <f t="shared" ref="C88:AF88" si="22">C72-C87</f>
        <v>-252</v>
      </c>
      <c r="D88" s="66">
        <f t="shared" si="22"/>
        <v>-285</v>
      </c>
      <c r="E88" s="66">
        <f t="shared" si="22"/>
        <v>-270</v>
      </c>
      <c r="F88" s="66">
        <f t="shared" si="22"/>
        <v>-275</v>
      </c>
      <c r="G88" s="66">
        <f t="shared" si="22"/>
        <v>-287</v>
      </c>
      <c r="H88" s="66">
        <f t="shared" si="22"/>
        <v>-278</v>
      </c>
      <c r="I88" s="66">
        <f t="shared" si="22"/>
        <v>-302</v>
      </c>
      <c r="J88" s="66">
        <f t="shared" si="22"/>
        <v>-275</v>
      </c>
      <c r="K88" s="66">
        <f t="shared" si="22"/>
        <v>-309</v>
      </c>
      <c r="L88" s="66">
        <f t="shared" si="22"/>
        <v>-194</v>
      </c>
      <c r="M88" s="66">
        <f t="shared" si="22"/>
        <v>-189.2</v>
      </c>
      <c r="N88" s="66">
        <f t="shared" si="22"/>
        <v>-216.2</v>
      </c>
      <c r="O88" s="66">
        <f t="shared" si="22"/>
        <v>-214.79999999999998</v>
      </c>
      <c r="P88" s="66">
        <f t="shared" si="22"/>
        <v>-176.7</v>
      </c>
      <c r="Q88" s="66">
        <f t="shared" si="22"/>
        <v>-176.7</v>
      </c>
      <c r="R88" s="66">
        <f t="shared" si="22"/>
        <v>-187.6</v>
      </c>
      <c r="S88" s="66">
        <f t="shared" si="22"/>
        <v>-187.6</v>
      </c>
      <c r="T88" s="66">
        <f t="shared" si="22"/>
        <v>-315</v>
      </c>
      <c r="U88" s="66">
        <f t="shared" si="22"/>
        <v>-309</v>
      </c>
      <c r="V88" s="66">
        <f t="shared" si="22"/>
        <v>-288</v>
      </c>
      <c r="W88" s="66">
        <f t="shared" si="22"/>
        <v>-277.59999999999997</v>
      </c>
      <c r="X88" s="66">
        <f t="shared" si="22"/>
        <v>-239.7</v>
      </c>
      <c r="Y88" s="66">
        <f t="shared" si="22"/>
        <v>-225.8</v>
      </c>
      <c r="Z88" s="66">
        <f t="shared" si="22"/>
        <v>-244.7</v>
      </c>
      <c r="AA88" s="66">
        <f t="shared" si="22"/>
        <v>-152.30000000000001</v>
      </c>
      <c r="AB88" s="66">
        <f t="shared" si="22"/>
        <v>-180</v>
      </c>
      <c r="AC88" s="66">
        <f t="shared" si="22"/>
        <v>-212</v>
      </c>
      <c r="AD88" s="66">
        <f t="shared" si="22"/>
        <v>-211</v>
      </c>
      <c r="AE88" s="66">
        <f t="shared" si="22"/>
        <v>-292</v>
      </c>
      <c r="AF88" s="66">
        <f t="shared" si="22"/>
        <v>-230</v>
      </c>
      <c r="AG88" s="138"/>
      <c r="AH88" s="54">
        <f t="shared" si="14"/>
        <v>-152.30000000000001</v>
      </c>
      <c r="AI88" s="55">
        <f t="shared" si="16"/>
        <v>-315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50.04</v>
      </c>
      <c r="C89" s="80"/>
      <c r="D89" s="80">
        <v>50.034999999999997</v>
      </c>
      <c r="E89" s="80">
        <v>50.01</v>
      </c>
      <c r="F89" s="80">
        <v>50.01</v>
      </c>
      <c r="G89" s="80">
        <v>50.003999999999998</v>
      </c>
      <c r="H89" s="80">
        <v>50.029000000000003</v>
      </c>
      <c r="I89" s="80">
        <v>50.029000000000003</v>
      </c>
      <c r="J89" s="80">
        <v>50.027000000000001</v>
      </c>
      <c r="K89" s="80">
        <v>50.009</v>
      </c>
      <c r="L89" s="80">
        <v>50.075000000000003</v>
      </c>
      <c r="M89" s="80">
        <v>50.037999999999997</v>
      </c>
      <c r="N89" s="80">
        <v>50.037999999999997</v>
      </c>
      <c r="O89" s="80">
        <v>50.037999999999997</v>
      </c>
      <c r="P89" s="80">
        <v>50.055999999999997</v>
      </c>
      <c r="Q89" s="80">
        <v>50.116999999999997</v>
      </c>
      <c r="R89" s="80">
        <v>50.051000000000002</v>
      </c>
      <c r="S89" s="80">
        <v>50.1</v>
      </c>
      <c r="T89" s="80">
        <v>50.03</v>
      </c>
      <c r="U89" s="80">
        <v>50.03</v>
      </c>
      <c r="V89" s="80">
        <v>50.02</v>
      </c>
      <c r="W89" s="80">
        <v>50.01</v>
      </c>
      <c r="X89" s="80">
        <v>49.93</v>
      </c>
      <c r="Y89" s="80">
        <v>50.01</v>
      </c>
      <c r="Z89" s="80">
        <v>50.01</v>
      </c>
      <c r="AA89" s="80">
        <v>50.01</v>
      </c>
      <c r="AB89" s="80">
        <v>49.988</v>
      </c>
      <c r="AC89" s="80">
        <v>50.03</v>
      </c>
      <c r="AD89" s="80">
        <v>50.02</v>
      </c>
      <c r="AE89" s="80">
        <v>49.93</v>
      </c>
      <c r="AF89" s="80">
        <v>50</v>
      </c>
      <c r="AG89" s="145"/>
      <c r="AH89" s="54">
        <f t="shared" si="14"/>
        <v>50.116999999999997</v>
      </c>
      <c r="AI89" s="55">
        <f t="shared" si="16"/>
        <v>49.93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123</v>
      </c>
      <c r="C90" s="48"/>
      <c r="D90" s="48">
        <v>125</v>
      </c>
      <c r="E90" s="48">
        <v>124</v>
      </c>
      <c r="F90" s="48">
        <v>124</v>
      </c>
      <c r="G90" s="48">
        <v>122</v>
      </c>
      <c r="H90" s="48">
        <v>124</v>
      </c>
      <c r="I90" s="48">
        <v>124</v>
      </c>
      <c r="J90" s="48">
        <v>124</v>
      </c>
      <c r="K90" s="48">
        <v>124</v>
      </c>
      <c r="L90" s="48">
        <v>122.5</v>
      </c>
      <c r="M90" s="48">
        <v>123</v>
      </c>
      <c r="N90" s="48">
        <v>123</v>
      </c>
      <c r="O90" s="48">
        <v>123</v>
      </c>
      <c r="P90" s="48">
        <v>121.9</v>
      </c>
      <c r="Q90" s="48">
        <v>121.8</v>
      </c>
      <c r="R90" s="48">
        <v>120.8</v>
      </c>
      <c r="S90" s="48">
        <v>122.6</v>
      </c>
      <c r="T90" s="48">
        <v>124.8</v>
      </c>
      <c r="U90" s="48">
        <v>122.9</v>
      </c>
      <c r="V90" s="48">
        <v>125.6</v>
      </c>
      <c r="W90" s="48">
        <v>125.1</v>
      </c>
      <c r="X90" s="48">
        <v>125.3</v>
      </c>
      <c r="Y90" s="48">
        <v>124.4</v>
      </c>
      <c r="Z90" s="48">
        <v>122.4</v>
      </c>
      <c r="AA90" s="48">
        <v>124.6</v>
      </c>
      <c r="AB90" s="48">
        <v>126.1</v>
      </c>
      <c r="AC90" s="48">
        <v>125.4</v>
      </c>
      <c r="AD90" s="48">
        <v>125</v>
      </c>
      <c r="AE90" s="48">
        <v>125.4</v>
      </c>
      <c r="AF90" s="48">
        <v>125.4</v>
      </c>
      <c r="AG90" s="146"/>
      <c r="AH90" s="54">
        <f t="shared" si="14"/>
        <v>126.1</v>
      </c>
      <c r="AI90" s="55">
        <f t="shared" si="16"/>
        <v>120.8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128</v>
      </c>
      <c r="C91" s="48"/>
      <c r="D91" s="48">
        <v>129</v>
      </c>
      <c r="E91" s="48">
        <v>129</v>
      </c>
      <c r="F91" s="48">
        <v>129</v>
      </c>
      <c r="G91" s="48">
        <v>128</v>
      </c>
      <c r="H91" s="48">
        <v>129</v>
      </c>
      <c r="I91" s="48">
        <v>129</v>
      </c>
      <c r="J91" s="48">
        <v>129</v>
      </c>
      <c r="K91" s="48">
        <v>129</v>
      </c>
      <c r="L91" s="48">
        <v>127.1</v>
      </c>
      <c r="M91" s="48">
        <v>127.5</v>
      </c>
      <c r="N91" s="48">
        <v>127.5</v>
      </c>
      <c r="O91" s="48">
        <v>127.5</v>
      </c>
      <c r="P91" s="48">
        <v>126.5</v>
      </c>
      <c r="Q91" s="48">
        <v>126.2</v>
      </c>
      <c r="R91" s="48">
        <v>125</v>
      </c>
      <c r="S91" s="48">
        <v>127.5</v>
      </c>
      <c r="T91" s="48">
        <v>125</v>
      </c>
      <c r="U91" s="48">
        <v>126.6</v>
      </c>
      <c r="V91" s="48">
        <v>129.30000000000001</v>
      </c>
      <c r="W91" s="48">
        <v>129</v>
      </c>
      <c r="X91" s="48">
        <v>129.4</v>
      </c>
      <c r="Y91" s="48">
        <v>128.19999999999999</v>
      </c>
      <c r="Z91" s="48">
        <v>126</v>
      </c>
      <c r="AA91" s="48">
        <v>128.6</v>
      </c>
      <c r="AB91" s="48">
        <v>130.19999999999999</v>
      </c>
      <c r="AC91" s="48">
        <v>130</v>
      </c>
      <c r="AD91" s="48">
        <v>130</v>
      </c>
      <c r="AE91" s="48">
        <v>130</v>
      </c>
      <c r="AF91" s="48">
        <v>130</v>
      </c>
      <c r="AG91" s="146"/>
      <c r="AH91" s="54">
        <f t="shared" si="14"/>
        <v>130.19999999999999</v>
      </c>
      <c r="AI91" s="55">
        <f t="shared" si="16"/>
        <v>125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129</v>
      </c>
      <c r="C92" s="48"/>
      <c r="D92" s="48">
        <v>129</v>
      </c>
      <c r="E92" s="48">
        <v>130</v>
      </c>
      <c r="F92" s="48">
        <v>130</v>
      </c>
      <c r="G92" s="48">
        <v>129</v>
      </c>
      <c r="H92" s="48">
        <v>131</v>
      </c>
      <c r="I92" s="48">
        <v>131</v>
      </c>
      <c r="J92" s="48">
        <v>131</v>
      </c>
      <c r="K92" s="48">
        <v>131</v>
      </c>
      <c r="L92" s="48">
        <v>126.4</v>
      </c>
      <c r="M92" s="48">
        <v>127.1</v>
      </c>
      <c r="N92" s="48">
        <v>127.1</v>
      </c>
      <c r="O92" s="48">
        <v>127.1</v>
      </c>
      <c r="P92" s="48">
        <v>124.1</v>
      </c>
      <c r="Q92" s="48">
        <v>129.5</v>
      </c>
      <c r="R92" s="48">
        <v>127.8</v>
      </c>
      <c r="S92" s="48">
        <v>127.8</v>
      </c>
      <c r="T92" s="48">
        <v>127.8</v>
      </c>
      <c r="U92" s="48">
        <v>128.6</v>
      </c>
      <c r="V92" s="48">
        <v>131.1</v>
      </c>
      <c r="W92" s="48">
        <v>130.30000000000001</v>
      </c>
      <c r="X92" s="48">
        <v>130.6</v>
      </c>
      <c r="Y92" s="48">
        <v>131.19999999999999</v>
      </c>
      <c r="Z92" s="48">
        <v>130.9</v>
      </c>
      <c r="AA92" s="48">
        <v>130.9</v>
      </c>
      <c r="AB92" s="48">
        <v>129.9</v>
      </c>
      <c r="AC92" s="48">
        <v>130</v>
      </c>
      <c r="AD92" s="48">
        <v>129</v>
      </c>
      <c r="AE92" s="48">
        <v>130</v>
      </c>
      <c r="AF92" s="48">
        <v>130</v>
      </c>
      <c r="AG92" s="146"/>
      <c r="AH92" s="54">
        <f t="shared" si="14"/>
        <v>131.19999999999999</v>
      </c>
      <c r="AI92" s="55">
        <f t="shared" si="16"/>
        <v>124.1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146"/>
      <c r="AH93" s="54">
        <f t="shared" si="14"/>
        <v>0</v>
      </c>
      <c r="AI93" s="55">
        <f t="shared" si="16"/>
        <v>0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132</v>
      </c>
      <c r="C94" s="82"/>
      <c r="D94" s="82">
        <v>132</v>
      </c>
      <c r="E94" s="82">
        <v>133</v>
      </c>
      <c r="F94" s="82">
        <v>133</v>
      </c>
      <c r="G94" s="82">
        <v>129</v>
      </c>
      <c r="H94" s="82">
        <v>134</v>
      </c>
      <c r="I94" s="82">
        <v>134</v>
      </c>
      <c r="J94" s="82">
        <v>134</v>
      </c>
      <c r="K94" s="82">
        <v>134</v>
      </c>
      <c r="L94" s="82">
        <v>132.19999999999999</v>
      </c>
      <c r="M94" s="82">
        <v>132.9</v>
      </c>
      <c r="N94" s="82">
        <v>132.9</v>
      </c>
      <c r="O94" s="82">
        <v>132.9</v>
      </c>
      <c r="P94" s="82">
        <v>134.80000000000001</v>
      </c>
      <c r="Q94" s="82">
        <v>132.9</v>
      </c>
      <c r="R94" s="82">
        <v>132.6</v>
      </c>
      <c r="S94" s="82">
        <v>132.6</v>
      </c>
      <c r="T94" s="82">
        <v>132.6</v>
      </c>
      <c r="U94" s="82">
        <v>132.6</v>
      </c>
      <c r="V94" s="82">
        <v>135.5</v>
      </c>
      <c r="W94" s="82">
        <v>133.9</v>
      </c>
      <c r="X94" s="82">
        <v>130.4</v>
      </c>
      <c r="Y94" s="82">
        <v>132</v>
      </c>
      <c r="Z94" s="82">
        <v>130.9</v>
      </c>
      <c r="AA94" s="82">
        <v>130.9</v>
      </c>
      <c r="AB94" s="82">
        <v>132.4</v>
      </c>
      <c r="AC94" s="82">
        <v>132</v>
      </c>
      <c r="AD94" s="82">
        <v>130</v>
      </c>
      <c r="AE94" s="82">
        <v>134</v>
      </c>
      <c r="AF94" s="82">
        <v>134</v>
      </c>
      <c r="AG94" s="147"/>
      <c r="AH94" s="54">
        <f t="shared" si="14"/>
        <v>135.5</v>
      </c>
      <c r="AI94" s="55">
        <f t="shared" si="16"/>
        <v>129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129</v>
      </c>
      <c r="C95" s="48"/>
      <c r="D95" s="48">
        <v>129</v>
      </c>
      <c r="E95" s="48">
        <v>130</v>
      </c>
      <c r="F95" s="48">
        <v>130</v>
      </c>
      <c r="G95" s="48">
        <v>131</v>
      </c>
      <c r="H95" s="48">
        <v>132</v>
      </c>
      <c r="I95" s="48">
        <v>132</v>
      </c>
      <c r="J95" s="48">
        <v>132</v>
      </c>
      <c r="K95" s="48">
        <v>132</v>
      </c>
      <c r="L95" s="48">
        <v>127.5</v>
      </c>
      <c r="M95" s="48">
        <v>128.5</v>
      </c>
      <c r="N95" s="48">
        <v>128.5</v>
      </c>
      <c r="O95" s="48">
        <v>128.5</v>
      </c>
      <c r="P95" s="48">
        <v>133.69999999999999</v>
      </c>
      <c r="Q95" s="48">
        <v>127.4</v>
      </c>
      <c r="R95" s="48">
        <v>130.6</v>
      </c>
      <c r="S95" s="48">
        <v>130.6</v>
      </c>
      <c r="T95" s="48">
        <v>130.6</v>
      </c>
      <c r="U95" s="48">
        <v>130.6</v>
      </c>
      <c r="V95" s="48">
        <v>133.69999999999999</v>
      </c>
      <c r="W95" s="48">
        <v>127.7</v>
      </c>
      <c r="X95" s="48">
        <v>123.1</v>
      </c>
      <c r="Y95" s="48">
        <v>128.9</v>
      </c>
      <c r="Z95" s="48">
        <v>131</v>
      </c>
      <c r="AA95" s="48">
        <v>131</v>
      </c>
      <c r="AB95" s="48">
        <v>127.8</v>
      </c>
      <c r="AC95" s="48">
        <v>129.30000000000001</v>
      </c>
      <c r="AD95" s="48">
        <v>121</v>
      </c>
      <c r="AE95" s="48">
        <v>130</v>
      </c>
      <c r="AF95" s="48">
        <v>130</v>
      </c>
      <c r="AG95" s="146"/>
      <c r="AH95" s="54">
        <f t="shared" si="14"/>
        <v>133.69999999999999</v>
      </c>
      <c r="AI95" s="55">
        <f t="shared" si="16"/>
        <v>121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64.900000000000006</v>
      </c>
      <c r="C96" s="83"/>
      <c r="D96" s="83">
        <v>65.400000000000006</v>
      </c>
      <c r="E96" s="83">
        <v>65</v>
      </c>
      <c r="F96" s="83">
        <v>65</v>
      </c>
      <c r="G96" s="83">
        <v>65</v>
      </c>
      <c r="H96" s="83">
        <v>65.2</v>
      </c>
      <c r="I96" s="83">
        <v>65.2</v>
      </c>
      <c r="J96" s="83">
        <v>64.7</v>
      </c>
      <c r="K96" s="83">
        <v>64.7</v>
      </c>
      <c r="L96" s="83">
        <v>64.099999999999994</v>
      </c>
      <c r="M96" s="83">
        <v>64.3</v>
      </c>
      <c r="N96" s="83">
        <v>64.3</v>
      </c>
      <c r="O96" s="83">
        <v>64.3</v>
      </c>
      <c r="P96" s="83">
        <v>63.6</v>
      </c>
      <c r="Q96" s="83">
        <v>63.4</v>
      </c>
      <c r="R96" s="83">
        <v>62.9</v>
      </c>
      <c r="S96" s="83">
        <v>62.9</v>
      </c>
      <c r="T96" s="83">
        <v>62.9</v>
      </c>
      <c r="U96" s="83">
        <v>63.4</v>
      </c>
      <c r="V96" s="83">
        <v>65</v>
      </c>
      <c r="W96" s="83">
        <v>64.900000000000006</v>
      </c>
      <c r="X96" s="83">
        <v>64.7</v>
      </c>
      <c r="Y96" s="83">
        <v>64.3</v>
      </c>
      <c r="Z96" s="83">
        <v>63.5</v>
      </c>
      <c r="AA96" s="83">
        <v>64.599999999999994</v>
      </c>
      <c r="AB96" s="83">
        <v>65.599999999999994</v>
      </c>
      <c r="AC96" s="83">
        <v>65.3</v>
      </c>
      <c r="AD96" s="83">
        <v>65.2</v>
      </c>
      <c r="AE96" s="83">
        <v>65.8</v>
      </c>
      <c r="AF96" s="83">
        <v>65.8</v>
      </c>
      <c r="AG96" s="148"/>
      <c r="AH96" s="54">
        <f t="shared" si="14"/>
        <v>65.8</v>
      </c>
      <c r="AI96" s="55">
        <f t="shared" si="16"/>
        <v>62.9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14"/>
        <v>0</v>
      </c>
      <c r="AI97" s="55">
        <f t="shared" si="16"/>
        <v>0</v>
      </c>
    </row>
    <row r="98" spans="1:37" ht="15.75" thickBot="1" x14ac:dyDescent="0.3">
      <c r="A98" s="85" t="s">
        <v>73</v>
      </c>
      <c r="B98" s="86">
        <f t="shared" ref="B98:AF98" si="23">SUM(B15,B18,B21:B22,B46,B48:B49,B51,B53,B99:B102,B123,B129,B135,B144,B146,B158,B165,B168:B169,B176,B178,B180,B184:B186,B188:B190,B195,B201:B202,B204:B206,B214,B219)</f>
        <v>69.199999999999989</v>
      </c>
      <c r="C98" s="86">
        <f t="shared" si="23"/>
        <v>162.04</v>
      </c>
      <c r="D98" s="86">
        <f t="shared" si="23"/>
        <v>174.04</v>
      </c>
      <c r="E98" s="86">
        <f t="shared" si="23"/>
        <v>174.04</v>
      </c>
      <c r="F98" s="86">
        <f t="shared" si="23"/>
        <v>177.04</v>
      </c>
      <c r="G98" s="86">
        <f t="shared" si="23"/>
        <v>183.04</v>
      </c>
      <c r="H98" s="86">
        <f t="shared" si="23"/>
        <v>186.04</v>
      </c>
      <c r="I98" s="86">
        <f t="shared" si="23"/>
        <v>188.04</v>
      </c>
      <c r="J98" s="86">
        <f t="shared" si="23"/>
        <v>202.04</v>
      </c>
      <c r="K98" s="86">
        <f t="shared" si="23"/>
        <v>222.04</v>
      </c>
      <c r="L98" s="86">
        <f t="shared" si="23"/>
        <v>360.93999999999994</v>
      </c>
      <c r="M98" s="86">
        <f t="shared" si="23"/>
        <v>190.63999999999996</v>
      </c>
      <c r="N98" s="86">
        <f t="shared" si="23"/>
        <v>190.63999999999996</v>
      </c>
      <c r="O98" s="86">
        <f t="shared" si="23"/>
        <v>190.73999999999995</v>
      </c>
      <c r="P98" s="86">
        <f t="shared" si="23"/>
        <v>212.94</v>
      </c>
      <c r="Q98" s="86">
        <f t="shared" si="23"/>
        <v>207.59999999999997</v>
      </c>
      <c r="R98" s="86">
        <f t="shared" si="23"/>
        <v>192.8</v>
      </c>
      <c r="S98" s="86">
        <f t="shared" si="23"/>
        <v>193.8</v>
      </c>
      <c r="T98" s="86">
        <f t="shared" si="23"/>
        <v>185.1</v>
      </c>
      <c r="U98" s="86">
        <f t="shared" si="23"/>
        <v>213.29999999999998</v>
      </c>
      <c r="V98" s="86">
        <f t="shared" si="23"/>
        <v>177.6</v>
      </c>
      <c r="W98" s="86">
        <f t="shared" si="23"/>
        <v>169.4</v>
      </c>
      <c r="X98" s="86">
        <f t="shared" si="23"/>
        <v>165.4</v>
      </c>
      <c r="Y98" s="86">
        <f t="shared" si="23"/>
        <v>186.5</v>
      </c>
      <c r="Z98" s="86">
        <f t="shared" si="23"/>
        <v>187.29999999999998</v>
      </c>
      <c r="AA98" s="86">
        <f t="shared" si="23"/>
        <v>200.89999999999998</v>
      </c>
      <c r="AB98" s="86">
        <f t="shared" si="23"/>
        <v>188.5</v>
      </c>
      <c r="AC98" s="86">
        <f t="shared" si="23"/>
        <v>164.20000000000002</v>
      </c>
      <c r="AD98" s="86">
        <f t="shared" si="23"/>
        <v>133.20000000000002</v>
      </c>
      <c r="AE98" s="86">
        <f t="shared" si="23"/>
        <v>86.200000000000017</v>
      </c>
      <c r="AF98" s="86">
        <f t="shared" si="23"/>
        <v>67.200000000000017</v>
      </c>
      <c r="AG98" s="150"/>
      <c r="AH98" s="54">
        <f>MAX(C98:AF98)</f>
        <v>360.93999999999994</v>
      </c>
      <c r="AI98" s="55">
        <f>MIN(C98:AF98)</f>
        <v>67.200000000000017</v>
      </c>
    </row>
    <row r="99" spans="1:37" x14ac:dyDescent="0.25">
      <c r="A99" s="170" t="s">
        <v>74</v>
      </c>
      <c r="B99" s="87">
        <v>-1</v>
      </c>
      <c r="C99" s="87"/>
      <c r="D99" s="87">
        <v>5</v>
      </c>
      <c r="E99" s="87">
        <v>5</v>
      </c>
      <c r="F99" s="87">
        <v>5</v>
      </c>
      <c r="G99" s="87">
        <v>15</v>
      </c>
      <c r="H99" s="87">
        <v>13</v>
      </c>
      <c r="I99" s="87">
        <v>17</v>
      </c>
      <c r="J99" s="87">
        <v>14</v>
      </c>
      <c r="K99" s="87">
        <v>16</v>
      </c>
      <c r="L99" s="87">
        <v>10.4</v>
      </c>
      <c r="M99" s="87">
        <v>11.6</v>
      </c>
      <c r="N99" s="87">
        <v>11.6</v>
      </c>
      <c r="O99" s="87">
        <v>11.7</v>
      </c>
      <c r="P99" s="87">
        <v>25.4</v>
      </c>
      <c r="Q99" s="87">
        <v>28.8</v>
      </c>
      <c r="R99" s="87">
        <v>32.4</v>
      </c>
      <c r="S99" s="87">
        <v>32.4</v>
      </c>
      <c r="T99" s="87">
        <v>26.1</v>
      </c>
      <c r="U99" s="87">
        <v>31.9</v>
      </c>
      <c r="V99" s="87">
        <v>37.5</v>
      </c>
      <c r="W99" s="87">
        <v>36.4</v>
      </c>
      <c r="X99" s="87">
        <v>31.1</v>
      </c>
      <c r="Y99" s="87">
        <v>30.5</v>
      </c>
      <c r="Z99" s="87">
        <v>31.5</v>
      </c>
      <c r="AA99" s="87">
        <v>24.2</v>
      </c>
      <c r="AB99" s="87">
        <v>26.1</v>
      </c>
      <c r="AC99" s="87">
        <v>20</v>
      </c>
      <c r="AD99" s="87">
        <v>20</v>
      </c>
      <c r="AE99" s="87">
        <v>25</v>
      </c>
      <c r="AF99" s="87">
        <v>5</v>
      </c>
      <c r="AG99" s="151">
        <v>75</v>
      </c>
      <c r="AH99" s="54">
        <f t="shared" ref="AH99:AH105" si="24">IF(ABS(MAX(C99:AF99))&gt;ABS(MIN(C99:AF99)),MAX(C99:AF99),MIN(C99:AF99))</f>
        <v>37.5</v>
      </c>
      <c r="AI99" s="89">
        <f t="shared" ref="AI99:AI105" si="25">INDEX($C$9:$AF$9,1,MATCH(AH99,C99:AF99,0))</f>
        <v>0.70833333333333304</v>
      </c>
    </row>
    <row r="100" spans="1:37" x14ac:dyDescent="0.25">
      <c r="A100" s="163" t="s">
        <v>75</v>
      </c>
      <c r="B100" s="90">
        <v>-125</v>
      </c>
      <c r="C100" s="90"/>
      <c r="D100" s="90"/>
      <c r="E100" s="90"/>
      <c r="F100" s="90"/>
      <c r="G100" s="90"/>
      <c r="H100" s="90"/>
      <c r="I100" s="90"/>
      <c r="J100" s="90"/>
      <c r="K100" s="90"/>
      <c r="L100" s="90">
        <f>--85</f>
        <v>85</v>
      </c>
      <c r="M100" s="90">
        <v>-90</v>
      </c>
      <c r="N100" s="90">
        <v>-90</v>
      </c>
      <c r="O100" s="90">
        <v>-90</v>
      </c>
      <c r="P100" s="90">
        <v>-93</v>
      </c>
      <c r="Q100" s="90">
        <v>-89</v>
      </c>
      <c r="R100" s="90">
        <v>-108</v>
      </c>
      <c r="S100" s="90">
        <v>-108</v>
      </c>
      <c r="T100" s="90">
        <f>-15.7-16.8</f>
        <v>-32.5</v>
      </c>
      <c r="U100" s="90">
        <f>-6.6-5.9</f>
        <v>-12.5</v>
      </c>
      <c r="V100" s="90">
        <f>-21-22.9</f>
        <v>-43.9</v>
      </c>
      <c r="W100" s="90">
        <f>-23.3-25.6</f>
        <v>-48.900000000000006</v>
      </c>
      <c r="X100" s="90">
        <f>-20.6-22.1</f>
        <v>-42.7</v>
      </c>
      <c r="Y100" s="90">
        <f>-11.7-13.3</f>
        <v>-25</v>
      </c>
      <c r="Z100" s="90">
        <f t="shared" ref="Z100" si="26">-11.7-13.3</f>
        <v>-25</v>
      </c>
      <c r="AA100" s="90">
        <f>-38.2-2.3</f>
        <v>-40.5</v>
      </c>
      <c r="AB100" s="90">
        <v>-68</v>
      </c>
      <c r="AC100" s="90">
        <v>-85</v>
      </c>
      <c r="AD100" s="90">
        <v>-102</v>
      </c>
      <c r="AE100" s="90">
        <v>-140</v>
      </c>
      <c r="AF100" s="90">
        <v>-140</v>
      </c>
      <c r="AG100" s="151">
        <v>240</v>
      </c>
      <c r="AH100" s="54">
        <f t="shared" si="24"/>
        <v>-140</v>
      </c>
      <c r="AI100" s="89">
        <f t="shared" si="25"/>
        <v>0.91666666666666696</v>
      </c>
    </row>
    <row r="101" spans="1:37" x14ac:dyDescent="0.25">
      <c r="A101" s="163" t="s">
        <v>76</v>
      </c>
      <c r="B101" s="90">
        <v>4.0999999999999996</v>
      </c>
      <c r="C101" s="90"/>
      <c r="D101" s="90">
        <v>7</v>
      </c>
      <c r="E101" s="90">
        <v>7</v>
      </c>
      <c r="F101" s="90">
        <v>10</v>
      </c>
      <c r="G101" s="90">
        <v>6</v>
      </c>
      <c r="H101" s="90">
        <v>11</v>
      </c>
      <c r="I101" s="90">
        <v>9</v>
      </c>
      <c r="J101" s="90">
        <v>26</v>
      </c>
      <c r="K101" s="90">
        <v>44</v>
      </c>
      <c r="L101" s="90">
        <v>23.5</v>
      </c>
      <c r="M101" s="90">
        <v>39.6</v>
      </c>
      <c r="N101" s="90">
        <v>39.6</v>
      </c>
      <c r="O101" s="90">
        <v>39.6</v>
      </c>
      <c r="P101" s="90">
        <v>31.3</v>
      </c>
      <c r="Q101" s="90">
        <v>33.6</v>
      </c>
      <c r="R101" s="90">
        <v>15.5</v>
      </c>
      <c r="S101" s="90">
        <v>15.5</v>
      </c>
      <c r="T101" s="90">
        <v>22.8</v>
      </c>
      <c r="U101" s="90">
        <v>25.1</v>
      </c>
      <c r="V101" s="90">
        <v>15</v>
      </c>
      <c r="W101" s="90">
        <v>16.399999999999999</v>
      </c>
      <c r="X101" s="90">
        <v>15.4</v>
      </c>
      <c r="Y101" s="90">
        <v>19.399999999999999</v>
      </c>
      <c r="Z101" s="90">
        <v>19.399999999999999</v>
      </c>
      <c r="AA101" s="90">
        <v>55.8</v>
      </c>
      <c r="AB101" s="90">
        <v>42.2</v>
      </c>
      <c r="AC101" s="90">
        <v>41</v>
      </c>
      <c r="AD101" s="90">
        <v>27</v>
      </c>
      <c r="AE101" s="90">
        <v>13</v>
      </c>
      <c r="AF101" s="90">
        <v>14</v>
      </c>
      <c r="AG101" s="151">
        <v>60</v>
      </c>
      <c r="AH101" s="54">
        <f t="shared" si="24"/>
        <v>55.8</v>
      </c>
      <c r="AI101" s="89">
        <f t="shared" si="25"/>
        <v>0.8125</v>
      </c>
    </row>
    <row r="102" spans="1:37" x14ac:dyDescent="0.25">
      <c r="A102" s="164" t="s">
        <v>77</v>
      </c>
      <c r="B102" s="91">
        <v>0</v>
      </c>
      <c r="C102" s="91"/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75.7</v>
      </c>
      <c r="M102" s="91">
        <v>54.1</v>
      </c>
      <c r="N102" s="91">
        <v>54.1</v>
      </c>
      <c r="O102" s="91">
        <v>54.1</v>
      </c>
      <c r="P102" s="91">
        <v>48.9</v>
      </c>
      <c r="Q102" s="91">
        <v>57.8</v>
      </c>
      <c r="R102" s="91">
        <v>63.7</v>
      </c>
      <c r="S102" s="91">
        <v>63.7</v>
      </c>
      <c r="T102" s="91">
        <v>0</v>
      </c>
      <c r="U102" s="91">
        <v>0</v>
      </c>
      <c r="V102" s="91">
        <v>0</v>
      </c>
      <c r="W102" s="91">
        <v>0</v>
      </c>
      <c r="X102" s="91">
        <v>0</v>
      </c>
      <c r="Y102" s="91">
        <v>0</v>
      </c>
      <c r="Z102" s="91">
        <v>0</v>
      </c>
      <c r="AA102" s="91">
        <v>0</v>
      </c>
      <c r="AB102" s="91">
        <v>0</v>
      </c>
      <c r="AC102" s="91">
        <v>0</v>
      </c>
      <c r="AD102" s="91">
        <v>0</v>
      </c>
      <c r="AE102" s="91">
        <v>0</v>
      </c>
      <c r="AF102" s="91">
        <v>0</v>
      </c>
      <c r="AG102" s="152">
        <v>120</v>
      </c>
      <c r="AH102" s="54">
        <f t="shared" si="24"/>
        <v>75.7</v>
      </c>
      <c r="AI102" s="89">
        <f t="shared" si="25"/>
        <v>0.3125</v>
      </c>
    </row>
    <row r="103" spans="1:37" x14ac:dyDescent="0.25">
      <c r="A103" s="164" t="s">
        <v>78</v>
      </c>
      <c r="B103" s="91">
        <v>68</v>
      </c>
      <c r="C103" s="91"/>
      <c r="D103" s="91">
        <v>31</v>
      </c>
      <c r="E103" s="91">
        <v>42</v>
      </c>
      <c r="F103" s="91">
        <v>47</v>
      </c>
      <c r="G103" s="91">
        <v>40</v>
      </c>
      <c r="H103" s="91">
        <v>50</v>
      </c>
      <c r="I103" s="91">
        <v>50</v>
      </c>
      <c r="J103" s="91">
        <v>73</v>
      </c>
      <c r="K103" s="91">
        <v>60</v>
      </c>
      <c r="L103" s="91">
        <v>71</v>
      </c>
      <c r="M103" s="91">
        <v>50</v>
      </c>
      <c r="N103" s="91">
        <v>50</v>
      </c>
      <c r="O103" s="91">
        <v>50</v>
      </c>
      <c r="P103" s="91">
        <v>52.1</v>
      </c>
      <c r="Q103" s="91">
        <v>49.1</v>
      </c>
      <c r="R103" s="91">
        <v>63.8</v>
      </c>
      <c r="S103" s="91">
        <v>63.8</v>
      </c>
      <c r="T103" s="91">
        <v>63.5</v>
      </c>
      <c r="U103" s="91">
        <v>85</v>
      </c>
      <c r="V103" s="91">
        <v>70.2</v>
      </c>
      <c r="W103" s="91">
        <v>69.7</v>
      </c>
      <c r="X103" s="91">
        <v>68.7</v>
      </c>
      <c r="Y103" s="91">
        <v>85</v>
      </c>
      <c r="Z103" s="91">
        <v>85</v>
      </c>
      <c r="AA103" s="91">
        <v>96.1</v>
      </c>
      <c r="AB103" s="91">
        <v>68.400000000000006</v>
      </c>
      <c r="AC103" s="91">
        <v>67</v>
      </c>
      <c r="AD103" s="91">
        <v>54</v>
      </c>
      <c r="AE103" s="91">
        <v>34</v>
      </c>
      <c r="AF103" s="91">
        <v>43</v>
      </c>
      <c r="AG103" s="152"/>
      <c r="AH103" s="54">
        <f t="shared" si="24"/>
        <v>96.1</v>
      </c>
      <c r="AI103" s="89">
        <f t="shared" si="25"/>
        <v>0.8125</v>
      </c>
    </row>
    <row r="104" spans="1:37" x14ac:dyDescent="0.25">
      <c r="A104" s="164" t="s">
        <v>105</v>
      </c>
      <c r="B104" s="91">
        <v>89</v>
      </c>
      <c r="C104" s="91"/>
      <c r="D104" s="91">
        <v>75</v>
      </c>
      <c r="E104" s="91">
        <v>73</v>
      </c>
      <c r="F104" s="91">
        <v>82</v>
      </c>
      <c r="G104" s="91">
        <v>47</v>
      </c>
      <c r="H104" s="91">
        <v>60</v>
      </c>
      <c r="I104" s="91">
        <v>38</v>
      </c>
      <c r="J104" s="91">
        <v>75</v>
      </c>
      <c r="K104" s="91">
        <v>55</v>
      </c>
      <c r="L104" s="91">
        <v>76.2</v>
      </c>
      <c r="M104" s="91">
        <v>0</v>
      </c>
      <c r="N104" s="91">
        <v>0</v>
      </c>
      <c r="O104" s="91">
        <v>0</v>
      </c>
      <c r="P104" s="91">
        <v>27.1</v>
      </c>
      <c r="Q104" s="91">
        <v>3.9</v>
      </c>
      <c r="R104" s="91">
        <v>-7.7</v>
      </c>
      <c r="S104" s="91">
        <v>-7.7</v>
      </c>
      <c r="T104" s="91">
        <v>-43</v>
      </c>
      <c r="U104" s="91">
        <v>38.799999999999997</v>
      </c>
      <c r="V104" s="91">
        <v>-15.9</v>
      </c>
      <c r="W104" s="91">
        <v>-20.6</v>
      </c>
      <c r="X104" s="91">
        <v>38.9</v>
      </c>
      <c r="Y104" s="91">
        <v>39.299999999999997</v>
      </c>
      <c r="Z104" s="91">
        <v>39.299999999999997</v>
      </c>
      <c r="AA104" s="91">
        <v>67.5</v>
      </c>
      <c r="AB104" s="91">
        <v>48.2</v>
      </c>
      <c r="AC104" s="91">
        <v>61.8</v>
      </c>
      <c r="AD104" s="91">
        <v>59</v>
      </c>
      <c r="AE104" s="91">
        <v>31</v>
      </c>
      <c r="AF104" s="91">
        <v>62</v>
      </c>
      <c r="AG104" s="153"/>
      <c r="AH104" s="54">
        <f t="shared" si="24"/>
        <v>82</v>
      </c>
      <c r="AI104" s="89">
        <f t="shared" si="25"/>
        <v>0.16666666666666699</v>
      </c>
    </row>
    <row r="105" spans="1:37" ht="15.75" thickBot="1" x14ac:dyDescent="0.3">
      <c r="A105" s="171" t="s">
        <v>106</v>
      </c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>
        <v>54.7</v>
      </c>
      <c r="Q105" s="82">
        <v>54.5</v>
      </c>
      <c r="R105" s="82">
        <v>53.9</v>
      </c>
      <c r="S105" s="82">
        <v>53.9</v>
      </c>
      <c r="T105" s="82">
        <v>64.7</v>
      </c>
      <c r="U105" s="82">
        <v>85.6</v>
      </c>
      <c r="V105" s="82">
        <v>88.4</v>
      </c>
      <c r="W105" s="82">
        <v>88.6</v>
      </c>
      <c r="X105" s="82">
        <v>87.5</v>
      </c>
      <c r="Y105" s="82">
        <v>81.3</v>
      </c>
      <c r="Z105" s="82">
        <v>81.3</v>
      </c>
      <c r="AA105" s="82">
        <v>98.5</v>
      </c>
      <c r="AB105" s="82">
        <v>76.099999999999994</v>
      </c>
      <c r="AC105" s="82">
        <v>77</v>
      </c>
      <c r="AD105" s="82">
        <v>77</v>
      </c>
      <c r="AE105" s="82">
        <v>91</v>
      </c>
      <c r="AF105" s="82">
        <v>91</v>
      </c>
      <c r="AG105" s="153"/>
      <c r="AH105" s="54">
        <f t="shared" si="24"/>
        <v>98.5</v>
      </c>
      <c r="AI105" s="89">
        <f t="shared" si="25"/>
        <v>0.8125</v>
      </c>
    </row>
    <row r="106" spans="1:37" ht="15.75" thickBot="1" x14ac:dyDescent="0.3">
      <c r="A106" s="92" t="s">
        <v>79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154"/>
      <c r="AH106" s="94"/>
      <c r="AI106" s="55"/>
      <c r="AK106" s="56"/>
    </row>
    <row r="107" spans="1:37" x14ac:dyDescent="0.25">
      <c r="A107" s="162" t="s">
        <v>133</v>
      </c>
      <c r="B107" s="95"/>
      <c r="C107" s="53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6">
        <v>9.94</v>
      </c>
      <c r="AH107" s="54"/>
      <c r="AI107" s="55"/>
      <c r="AK107" s="56"/>
    </row>
    <row r="108" spans="1:37" x14ac:dyDescent="0.25">
      <c r="A108" s="163" t="s">
        <v>134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/>
      <c r="AH108" s="54"/>
      <c r="AI108" s="55"/>
      <c r="AK108" s="56"/>
    </row>
    <row r="109" spans="1:37" x14ac:dyDescent="0.25">
      <c r="A109" s="163" t="s">
        <v>135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136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137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138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139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140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141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142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143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144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145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146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147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148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149</v>
      </c>
      <c r="B123" s="97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9">
        <v>9.9</v>
      </c>
      <c r="AH123" s="54"/>
      <c r="AI123" s="55"/>
      <c r="AK123" s="56"/>
    </row>
    <row r="124" spans="1:37" x14ac:dyDescent="0.25">
      <c r="A124" s="164" t="s">
        <v>80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100">
        <v>9.6579999999999995</v>
      </c>
      <c r="AH124" s="54"/>
      <c r="AI124" s="55"/>
      <c r="AK124" s="56"/>
    </row>
    <row r="125" spans="1:37" x14ac:dyDescent="0.25">
      <c r="A125" s="164" t="s">
        <v>150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</v>
      </c>
      <c r="AH125" s="54"/>
      <c r="AI125" s="55"/>
      <c r="AK125" s="56"/>
    </row>
    <row r="126" spans="1:37" x14ac:dyDescent="0.25">
      <c r="A126" s="164" t="s">
        <v>151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9.51</v>
      </c>
      <c r="AH126" s="54"/>
      <c r="AI126" s="55"/>
      <c r="AK126" s="56"/>
    </row>
    <row r="127" spans="1:37" x14ac:dyDescent="0.25">
      <c r="A127" s="164" t="s">
        <v>152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9.4</v>
      </c>
      <c r="AH127" s="54"/>
      <c r="AI127" s="55"/>
      <c r="AK127" s="56"/>
    </row>
    <row r="128" spans="1:37" x14ac:dyDescent="0.25">
      <c r="A128" s="164" t="s">
        <v>153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8.8000000000000007</v>
      </c>
      <c r="AH128" s="54"/>
      <c r="AI128" s="55"/>
      <c r="AK128" s="56"/>
    </row>
    <row r="129" spans="1:37" x14ac:dyDescent="0.25">
      <c r="A129" s="164" t="s">
        <v>154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8.5</v>
      </c>
      <c r="AH129" s="54"/>
      <c r="AI129" s="55"/>
      <c r="AK129" s="56"/>
    </row>
    <row r="130" spans="1:37" x14ac:dyDescent="0.25">
      <c r="A130" s="164" t="s">
        <v>155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156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8.4</v>
      </c>
      <c r="AH131" s="54"/>
      <c r="AI131" s="55"/>
      <c r="AK131" s="56"/>
    </row>
    <row r="132" spans="1:37" ht="13.5" customHeight="1" x14ac:dyDescent="0.25">
      <c r="A132" s="164" t="s">
        <v>157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</v>
      </c>
      <c r="AH132" s="54"/>
      <c r="AI132" s="55"/>
      <c r="AK132" s="56"/>
    </row>
    <row r="133" spans="1:37" x14ac:dyDescent="0.25">
      <c r="A133" s="164" t="s">
        <v>158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159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160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7.8</v>
      </c>
      <c r="AH135" s="54"/>
      <c r="AI135" s="55"/>
      <c r="AK135" s="56"/>
    </row>
    <row r="136" spans="1:37" x14ac:dyDescent="0.25">
      <c r="A136" s="164" t="s">
        <v>161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7.6</v>
      </c>
      <c r="AH136" s="54"/>
      <c r="AI136" s="55"/>
      <c r="AK136" s="56"/>
    </row>
    <row r="137" spans="1:37" x14ac:dyDescent="0.25">
      <c r="A137" s="164" t="s">
        <v>162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7.5</v>
      </c>
      <c r="AH137" s="54"/>
      <c r="AI137" s="55"/>
      <c r="AK137" s="56"/>
    </row>
    <row r="138" spans="1:37" x14ac:dyDescent="0.25">
      <c r="A138" s="164" t="s">
        <v>163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164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</v>
      </c>
      <c r="AH139" s="54"/>
      <c r="AI139" s="55"/>
      <c r="AK139" s="56"/>
    </row>
    <row r="140" spans="1:37" x14ac:dyDescent="0.25">
      <c r="A140" s="164" t="s">
        <v>165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166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167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168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6.6</v>
      </c>
      <c r="AH143" s="54"/>
      <c r="AI143" s="55"/>
      <c r="AK143" s="56"/>
    </row>
    <row r="144" spans="1:37" x14ac:dyDescent="0.25">
      <c r="A144" s="164" t="s">
        <v>169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170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6.4</v>
      </c>
      <c r="AH145" s="54"/>
      <c r="AI145" s="55"/>
      <c r="AK145" s="56"/>
    </row>
    <row r="146" spans="1:37" x14ac:dyDescent="0.25">
      <c r="A146" s="164" t="s">
        <v>171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</v>
      </c>
      <c r="AH146" s="54"/>
      <c r="AI146" s="55"/>
      <c r="AK146" s="56"/>
    </row>
    <row r="147" spans="1:37" x14ac:dyDescent="0.25">
      <c r="A147" s="164" t="s">
        <v>172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5.0999999999999996</v>
      </c>
      <c r="AH147" s="54"/>
      <c r="AI147" s="55"/>
      <c r="AK147" s="56"/>
    </row>
    <row r="148" spans="1:37" x14ac:dyDescent="0.25">
      <c r="A148" s="164" t="s">
        <v>173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</v>
      </c>
      <c r="AH148" s="54"/>
      <c r="AI148" s="55"/>
      <c r="AK148" s="56"/>
    </row>
    <row r="149" spans="1:37" x14ac:dyDescent="0.25">
      <c r="A149" s="163" t="s">
        <v>174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9">
        <v>5</v>
      </c>
      <c r="AH149" s="54"/>
      <c r="AI149" s="55"/>
      <c r="AK149" s="56"/>
    </row>
    <row r="150" spans="1:37" x14ac:dyDescent="0.25">
      <c r="A150" s="164" t="s">
        <v>175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100">
        <v>5</v>
      </c>
      <c r="AH150" s="54"/>
      <c r="AI150" s="55"/>
      <c r="AK150" s="56"/>
    </row>
    <row r="151" spans="1:37" x14ac:dyDescent="0.25">
      <c r="A151" s="164" t="s">
        <v>176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177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178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179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180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4.9930000000000003</v>
      </c>
      <c r="AH155" s="54"/>
      <c r="AI155" s="55"/>
      <c r="AK155" s="56"/>
    </row>
    <row r="156" spans="1:37" x14ac:dyDescent="0.25">
      <c r="A156" s="164" t="s">
        <v>181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4.9800000000000004</v>
      </c>
      <c r="AH156" s="54"/>
      <c r="AI156" s="55"/>
      <c r="AK156" s="56"/>
    </row>
    <row r="157" spans="1:37" x14ac:dyDescent="0.25">
      <c r="A157" s="164" t="s">
        <v>182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4.95</v>
      </c>
      <c r="AH157" s="54"/>
      <c r="AI157" s="55"/>
      <c r="AK157" s="56"/>
    </row>
    <row r="158" spans="1:37" x14ac:dyDescent="0.25">
      <c r="A158" s="164" t="s">
        <v>81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183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4.8</v>
      </c>
      <c r="AH159" s="54"/>
      <c r="AI159" s="55"/>
      <c r="AK159" s="56"/>
    </row>
    <row r="160" spans="1:37" x14ac:dyDescent="0.25">
      <c r="A160" s="164" t="s">
        <v>184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185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186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4.5</v>
      </c>
      <c r="AH162" s="54"/>
      <c r="AI162" s="55"/>
      <c r="AK162" s="56"/>
    </row>
    <row r="163" spans="1:37" x14ac:dyDescent="0.25">
      <c r="A163" s="164" t="s">
        <v>187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188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4.4550000000000001</v>
      </c>
      <c r="AH164" s="54"/>
      <c r="AI164" s="55"/>
      <c r="AK164" s="56"/>
    </row>
    <row r="165" spans="1:37" x14ac:dyDescent="0.25">
      <c r="A165" s="164" t="s">
        <v>189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4.41</v>
      </c>
      <c r="AH165" s="54"/>
      <c r="AI165" s="55"/>
      <c r="AK165" s="56"/>
    </row>
    <row r="166" spans="1:37" x14ac:dyDescent="0.25">
      <c r="A166" s="164" t="s">
        <v>190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4.4000000000000004</v>
      </c>
      <c r="AH166" s="54"/>
      <c r="AI166" s="55"/>
      <c r="AK166" s="56"/>
    </row>
    <row r="167" spans="1:37" x14ac:dyDescent="0.25">
      <c r="A167" s="164" t="s">
        <v>191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4.3600000000000003</v>
      </c>
      <c r="AH167" s="54"/>
      <c r="AI167" s="55"/>
      <c r="AK167" s="56"/>
    </row>
    <row r="168" spans="1:37" x14ac:dyDescent="0.25">
      <c r="A168" s="164" t="s">
        <v>192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4.2</v>
      </c>
      <c r="AH168" s="54"/>
      <c r="AI168" s="55"/>
      <c r="AK168" s="56"/>
    </row>
    <row r="169" spans="1:37" x14ac:dyDescent="0.25">
      <c r="A169" s="164" t="s">
        <v>193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</v>
      </c>
      <c r="AH169" s="54"/>
      <c r="AI169" s="55"/>
      <c r="AK169" s="56"/>
    </row>
    <row r="170" spans="1:37" x14ac:dyDescent="0.25">
      <c r="A170" s="164" t="s">
        <v>194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195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196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197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198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199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200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201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3.75</v>
      </c>
      <c r="AH177" s="54"/>
      <c r="AI177" s="55"/>
      <c r="AK177" s="56"/>
    </row>
    <row r="178" spans="1:37" x14ac:dyDescent="0.25">
      <c r="A178" s="164" t="s">
        <v>202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3.52</v>
      </c>
      <c r="AH178" s="54"/>
      <c r="AI178" s="55"/>
      <c r="AK178" s="56"/>
    </row>
    <row r="179" spans="1:37" x14ac:dyDescent="0.25">
      <c r="A179" s="164" t="s">
        <v>203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3.33</v>
      </c>
      <c r="AH179" s="54"/>
      <c r="AI179" s="55"/>
      <c r="AK179" s="56"/>
    </row>
    <row r="180" spans="1:37" x14ac:dyDescent="0.25">
      <c r="A180" s="164" t="s">
        <v>204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3.2</v>
      </c>
      <c r="AH180" s="54"/>
      <c r="AI180" s="55"/>
      <c r="AK180" s="56"/>
    </row>
    <row r="181" spans="1:37" x14ac:dyDescent="0.25">
      <c r="A181" s="164" t="s">
        <v>205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</v>
      </c>
      <c r="AH181" s="54"/>
      <c r="AI181" s="55"/>
      <c r="AK181" s="56"/>
    </row>
    <row r="182" spans="1:37" x14ac:dyDescent="0.25">
      <c r="A182" s="164" t="s">
        <v>206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207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208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209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210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211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212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213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2.83</v>
      </c>
      <c r="AH189" s="54"/>
      <c r="AI189" s="55"/>
      <c r="AK189" s="56"/>
    </row>
    <row r="190" spans="1:37" x14ac:dyDescent="0.25">
      <c r="A190" s="164" t="s">
        <v>214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2.5</v>
      </c>
      <c r="AH190" s="54"/>
      <c r="AI190" s="55"/>
      <c r="AK190" s="56"/>
    </row>
    <row r="191" spans="1:37" x14ac:dyDescent="0.25">
      <c r="A191" s="164" t="s">
        <v>215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216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2.4</v>
      </c>
      <c r="AH192" s="54"/>
      <c r="AI192" s="55"/>
      <c r="AK192" s="56"/>
    </row>
    <row r="193" spans="1:37" x14ac:dyDescent="0.25">
      <c r="A193" s="164" t="s">
        <v>217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218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2.2000000000000002</v>
      </c>
      <c r="AH194" s="54"/>
      <c r="AI194" s="55"/>
      <c r="AK194" s="56"/>
    </row>
    <row r="195" spans="1:37" x14ac:dyDescent="0.25">
      <c r="A195" s="164" t="s">
        <v>219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</v>
      </c>
      <c r="AH195" s="54"/>
      <c r="AI195" s="55"/>
      <c r="AK195" s="56"/>
    </row>
    <row r="196" spans="1:37" x14ac:dyDescent="0.25">
      <c r="A196" s="164" t="s">
        <v>220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221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222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1.8</v>
      </c>
      <c r="AH198" s="54"/>
      <c r="AI198" s="55"/>
      <c r="AK198" s="56"/>
    </row>
    <row r="199" spans="1:37" x14ac:dyDescent="0.25">
      <c r="A199" s="164" t="s">
        <v>223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224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1.65</v>
      </c>
      <c r="AH200" s="54"/>
      <c r="AI200" s="55"/>
      <c r="AK200" s="56"/>
    </row>
    <row r="201" spans="1:37" x14ac:dyDescent="0.25">
      <c r="A201" s="164" t="s">
        <v>225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1.5</v>
      </c>
      <c r="AH201" s="54"/>
      <c r="AI201" s="55"/>
      <c r="AK201" s="56"/>
    </row>
    <row r="202" spans="1:37" x14ac:dyDescent="0.25">
      <c r="A202" s="164" t="s">
        <v>226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0.998</v>
      </c>
      <c r="AH202" s="54"/>
      <c r="AI202" s="55"/>
      <c r="AK202" s="56"/>
    </row>
    <row r="203" spans="1:37" x14ac:dyDescent="0.25">
      <c r="A203" s="164" t="s">
        <v>227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0.997</v>
      </c>
      <c r="AH203" s="54"/>
      <c r="AI203" s="55"/>
      <c r="AK203" s="56"/>
    </row>
    <row r="204" spans="1:37" x14ac:dyDescent="0.25">
      <c r="A204" s="164" t="s">
        <v>228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229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0.996</v>
      </c>
      <c r="AH205" s="54"/>
      <c r="AI205" s="55"/>
      <c r="AK205" s="56"/>
    </row>
    <row r="206" spans="1:37" x14ac:dyDescent="0.25">
      <c r="A206" s="164" t="s">
        <v>230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231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232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0.995</v>
      </c>
      <c r="AH208" s="54"/>
      <c r="AI208" s="55"/>
      <c r="AK208" s="56"/>
    </row>
    <row r="209" spans="1:37" x14ac:dyDescent="0.25">
      <c r="A209" s="164" t="s">
        <v>233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0.99299999999999999</v>
      </c>
      <c r="AH209" s="54"/>
      <c r="AI209" s="55"/>
      <c r="AK209" s="56"/>
    </row>
    <row r="210" spans="1:37" x14ac:dyDescent="0.25">
      <c r="A210" s="164" t="s">
        <v>234</v>
      </c>
      <c r="B210" s="97"/>
      <c r="C210" s="53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</v>
      </c>
      <c r="AH210" s="54"/>
      <c r="AI210" s="55"/>
      <c r="AK210" s="56"/>
    </row>
    <row r="211" spans="1:37" ht="15.75" thickBot="1" x14ac:dyDescent="0.3">
      <c r="A211" s="164" t="s">
        <v>235</v>
      </c>
      <c r="B211" s="102"/>
      <c r="C211" s="166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0">
        <v>0.97899999999999998</v>
      </c>
      <c r="AH211" s="54"/>
      <c r="AI211" s="55"/>
      <c r="AK211" s="56"/>
    </row>
    <row r="212" spans="1:37" ht="15.75" thickBot="1" x14ac:dyDescent="0.3">
      <c r="A212" s="165" t="s">
        <v>82</v>
      </c>
      <c r="B212" s="167">
        <f>SUM(B107:B211)</f>
        <v>0</v>
      </c>
      <c r="C212" s="103">
        <f t="shared" ref="C212:AG212" si="27">SUM(C107:C211)</f>
        <v>0</v>
      </c>
      <c r="D212" s="103">
        <f t="shared" si="27"/>
        <v>0</v>
      </c>
      <c r="E212" s="103">
        <f t="shared" si="27"/>
        <v>0</v>
      </c>
      <c r="F212" s="103">
        <f t="shared" si="27"/>
        <v>0</v>
      </c>
      <c r="G212" s="103">
        <f t="shared" si="27"/>
        <v>0</v>
      </c>
      <c r="H212" s="103">
        <f t="shared" si="27"/>
        <v>0</v>
      </c>
      <c r="I212" s="103">
        <f t="shared" si="27"/>
        <v>0</v>
      </c>
      <c r="J212" s="103">
        <f t="shared" si="27"/>
        <v>0</v>
      </c>
      <c r="K212" s="103">
        <f t="shared" si="27"/>
        <v>0</v>
      </c>
      <c r="L212" s="103">
        <f t="shared" si="27"/>
        <v>0</v>
      </c>
      <c r="M212" s="103">
        <f t="shared" si="27"/>
        <v>0</v>
      </c>
      <c r="N212" s="103">
        <f t="shared" si="27"/>
        <v>0</v>
      </c>
      <c r="O212" s="103">
        <f t="shared" si="27"/>
        <v>0</v>
      </c>
      <c r="P212" s="103">
        <f t="shared" si="27"/>
        <v>0</v>
      </c>
      <c r="Q212" s="103">
        <f t="shared" si="27"/>
        <v>0</v>
      </c>
      <c r="R212" s="103">
        <f t="shared" si="27"/>
        <v>0</v>
      </c>
      <c r="S212" s="103">
        <f t="shared" si="27"/>
        <v>0</v>
      </c>
      <c r="T212" s="103">
        <f t="shared" si="27"/>
        <v>0</v>
      </c>
      <c r="U212" s="103">
        <f t="shared" si="27"/>
        <v>0</v>
      </c>
      <c r="V212" s="103">
        <f t="shared" si="27"/>
        <v>0</v>
      </c>
      <c r="W212" s="103">
        <f t="shared" si="27"/>
        <v>0</v>
      </c>
      <c r="X212" s="103">
        <f t="shared" si="27"/>
        <v>0</v>
      </c>
      <c r="Y212" s="103">
        <f t="shared" si="27"/>
        <v>0</v>
      </c>
      <c r="Z212" s="103">
        <f t="shared" si="27"/>
        <v>0</v>
      </c>
      <c r="AA212" s="103">
        <f t="shared" si="27"/>
        <v>0</v>
      </c>
      <c r="AB212" s="103">
        <f t="shared" si="27"/>
        <v>0</v>
      </c>
      <c r="AC212" s="103">
        <f t="shared" si="27"/>
        <v>0</v>
      </c>
      <c r="AD212" s="103">
        <f t="shared" si="27"/>
        <v>0</v>
      </c>
      <c r="AE212" s="103">
        <f t="shared" si="27"/>
        <v>0</v>
      </c>
      <c r="AF212" s="168">
        <f t="shared" si="27"/>
        <v>0</v>
      </c>
      <c r="AG212" s="169">
        <f t="shared" si="27"/>
        <v>412.72299999999984</v>
      </c>
      <c r="AH212" s="54"/>
      <c r="AI212" s="55"/>
      <c r="AK212" s="56"/>
    </row>
    <row r="213" spans="1:37" ht="15.75" thickBot="1" x14ac:dyDescent="0.3">
      <c r="A213" s="28" t="s">
        <v>35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149"/>
      <c r="AH213" s="54"/>
      <c r="AI213" s="55"/>
      <c r="AK213" s="56"/>
    </row>
    <row r="214" spans="1:37" x14ac:dyDescent="0.25">
      <c r="A214" s="170" t="s">
        <v>83</v>
      </c>
      <c r="B214" s="101">
        <f t="shared" ref="B214:B219" si="28">AF214</f>
        <v>0</v>
      </c>
      <c r="C214" s="101">
        <v>0.3</v>
      </c>
      <c r="D214" s="101">
        <f t="shared" ref="D214:P219" si="29">C214</f>
        <v>0.3</v>
      </c>
      <c r="E214" s="101">
        <f t="shared" si="29"/>
        <v>0.3</v>
      </c>
      <c r="F214" s="101">
        <f t="shared" si="29"/>
        <v>0.3</v>
      </c>
      <c r="G214" s="101">
        <f t="shared" si="29"/>
        <v>0.3</v>
      </c>
      <c r="H214" s="101">
        <f t="shared" si="29"/>
        <v>0.3</v>
      </c>
      <c r="I214" s="101">
        <f t="shared" si="29"/>
        <v>0.3</v>
      </c>
      <c r="J214" s="101">
        <f t="shared" si="29"/>
        <v>0.3</v>
      </c>
      <c r="K214" s="101">
        <f t="shared" si="29"/>
        <v>0.3</v>
      </c>
      <c r="L214" s="101">
        <f t="shared" si="29"/>
        <v>0.3</v>
      </c>
      <c r="M214" s="101">
        <f t="shared" si="29"/>
        <v>0.3</v>
      </c>
      <c r="N214" s="101">
        <f t="shared" si="29"/>
        <v>0.3</v>
      </c>
      <c r="O214" s="101">
        <f t="shared" si="29"/>
        <v>0.3</v>
      </c>
      <c r="P214" s="101">
        <f t="shared" si="29"/>
        <v>0.3</v>
      </c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55">
        <v>2.4</v>
      </c>
      <c r="AH214" s="54"/>
      <c r="AI214" s="55"/>
      <c r="AK214" s="56"/>
    </row>
    <row r="215" spans="1:37" x14ac:dyDescent="0.25">
      <c r="A215" s="163" t="s">
        <v>84</v>
      </c>
      <c r="B215" s="97">
        <f t="shared" si="28"/>
        <v>0</v>
      </c>
      <c r="C215" s="97">
        <v>0.4</v>
      </c>
      <c r="D215" s="97">
        <f t="shared" si="29"/>
        <v>0.4</v>
      </c>
      <c r="E215" s="97">
        <f t="shared" si="29"/>
        <v>0.4</v>
      </c>
      <c r="F215" s="97">
        <f t="shared" si="29"/>
        <v>0.4</v>
      </c>
      <c r="G215" s="97">
        <f t="shared" si="29"/>
        <v>0.4</v>
      </c>
      <c r="H215" s="97">
        <f t="shared" si="29"/>
        <v>0.4</v>
      </c>
      <c r="I215" s="97">
        <f t="shared" si="29"/>
        <v>0.4</v>
      </c>
      <c r="J215" s="97">
        <f t="shared" si="29"/>
        <v>0.4</v>
      </c>
      <c r="K215" s="97">
        <f t="shared" si="29"/>
        <v>0.4</v>
      </c>
      <c r="L215" s="97">
        <f t="shared" si="29"/>
        <v>0.4</v>
      </c>
      <c r="M215" s="97">
        <f t="shared" si="29"/>
        <v>0.4</v>
      </c>
      <c r="N215" s="97">
        <f t="shared" si="29"/>
        <v>0.4</v>
      </c>
      <c r="O215" s="97">
        <f t="shared" si="29"/>
        <v>0.4</v>
      </c>
      <c r="P215" s="97">
        <f t="shared" si="29"/>
        <v>0.4</v>
      </c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56">
        <v>2</v>
      </c>
      <c r="AH215" s="54"/>
      <c r="AI215" s="55"/>
      <c r="AK215" s="56"/>
    </row>
    <row r="216" spans="1:37" x14ac:dyDescent="0.25">
      <c r="A216" s="163" t="s">
        <v>85</v>
      </c>
      <c r="B216" s="97">
        <f t="shared" si="28"/>
        <v>0</v>
      </c>
      <c r="C216" s="97">
        <v>1.5</v>
      </c>
      <c r="D216" s="97">
        <f t="shared" si="29"/>
        <v>1.5</v>
      </c>
      <c r="E216" s="97">
        <f t="shared" si="29"/>
        <v>1.5</v>
      </c>
      <c r="F216" s="97">
        <f t="shared" si="29"/>
        <v>1.5</v>
      </c>
      <c r="G216" s="97">
        <f t="shared" si="29"/>
        <v>1.5</v>
      </c>
      <c r="H216" s="97">
        <f t="shared" si="29"/>
        <v>1.5</v>
      </c>
      <c r="I216" s="97">
        <f t="shared" si="29"/>
        <v>1.5</v>
      </c>
      <c r="J216" s="97">
        <f t="shared" si="29"/>
        <v>1.5</v>
      </c>
      <c r="K216" s="97">
        <f t="shared" si="29"/>
        <v>1.5</v>
      </c>
      <c r="L216" s="97">
        <f t="shared" si="29"/>
        <v>1.5</v>
      </c>
      <c r="M216" s="97">
        <f t="shared" si="29"/>
        <v>1.5</v>
      </c>
      <c r="N216" s="97">
        <f t="shared" si="29"/>
        <v>1.5</v>
      </c>
      <c r="O216" s="97">
        <f t="shared" si="29"/>
        <v>1.5</v>
      </c>
      <c r="P216" s="97">
        <f t="shared" si="29"/>
        <v>1.5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1.5</v>
      </c>
      <c r="AH216" s="54"/>
      <c r="AI216" s="55"/>
      <c r="AK216" s="56"/>
    </row>
    <row r="217" spans="1:37" x14ac:dyDescent="0.25">
      <c r="A217" s="163" t="s">
        <v>86</v>
      </c>
      <c r="B217" s="97">
        <f t="shared" si="28"/>
        <v>0</v>
      </c>
      <c r="C217" s="97">
        <v>0.3</v>
      </c>
      <c r="D217" s="97">
        <f t="shared" si="29"/>
        <v>0.3</v>
      </c>
      <c r="E217" s="97">
        <f t="shared" si="29"/>
        <v>0.3</v>
      </c>
      <c r="F217" s="97">
        <f t="shared" si="29"/>
        <v>0.3</v>
      </c>
      <c r="G217" s="97">
        <f t="shared" si="29"/>
        <v>0.3</v>
      </c>
      <c r="H217" s="97">
        <f t="shared" si="29"/>
        <v>0.3</v>
      </c>
      <c r="I217" s="97">
        <f t="shared" si="29"/>
        <v>0.3</v>
      </c>
      <c r="J217" s="97">
        <f t="shared" si="29"/>
        <v>0.3</v>
      </c>
      <c r="K217" s="97">
        <f t="shared" si="29"/>
        <v>0.3</v>
      </c>
      <c r="L217" s="97">
        <f t="shared" si="29"/>
        <v>0.3</v>
      </c>
      <c r="M217" s="97">
        <f t="shared" si="29"/>
        <v>0.3</v>
      </c>
      <c r="N217" s="97">
        <f t="shared" si="29"/>
        <v>0.3</v>
      </c>
      <c r="O217" s="97">
        <f t="shared" si="29"/>
        <v>0.3</v>
      </c>
      <c r="P217" s="97">
        <f t="shared" si="29"/>
        <v>0.3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</v>
      </c>
      <c r="AH217" s="54"/>
      <c r="AI217" s="55"/>
      <c r="AK217" s="56"/>
    </row>
    <row r="218" spans="1:37" x14ac:dyDescent="0.25">
      <c r="A218" s="163" t="s">
        <v>87</v>
      </c>
      <c r="B218" s="97">
        <f t="shared" si="28"/>
        <v>0</v>
      </c>
      <c r="C218" s="97">
        <v>0.4</v>
      </c>
      <c r="D218" s="97">
        <f t="shared" si="29"/>
        <v>0.4</v>
      </c>
      <c r="E218" s="97">
        <f t="shared" si="29"/>
        <v>0.4</v>
      </c>
      <c r="F218" s="97">
        <f t="shared" si="29"/>
        <v>0.4</v>
      </c>
      <c r="G218" s="97">
        <f t="shared" si="29"/>
        <v>0.4</v>
      </c>
      <c r="H218" s="97">
        <f t="shared" si="29"/>
        <v>0.4</v>
      </c>
      <c r="I218" s="97">
        <f t="shared" si="29"/>
        <v>0.4</v>
      </c>
      <c r="J218" s="97">
        <f t="shared" si="29"/>
        <v>0.4</v>
      </c>
      <c r="K218" s="97">
        <f t="shared" si="29"/>
        <v>0.4</v>
      </c>
      <c r="L218" s="97">
        <f t="shared" si="29"/>
        <v>0.4</v>
      </c>
      <c r="M218" s="97">
        <f t="shared" si="29"/>
        <v>0.4</v>
      </c>
      <c r="N218" s="97">
        <f t="shared" si="29"/>
        <v>0.4</v>
      </c>
      <c r="O218" s="97">
        <f t="shared" si="29"/>
        <v>0.4</v>
      </c>
      <c r="P218" s="97">
        <f t="shared" si="29"/>
        <v>0.4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ht="15.75" thickBot="1" x14ac:dyDescent="0.3">
      <c r="A219" s="164" t="s">
        <v>88</v>
      </c>
      <c r="B219" s="102">
        <f t="shared" si="28"/>
        <v>0</v>
      </c>
      <c r="C219" s="102">
        <v>0.64</v>
      </c>
      <c r="D219" s="102">
        <f t="shared" si="29"/>
        <v>0.64</v>
      </c>
      <c r="E219" s="102">
        <f t="shared" si="29"/>
        <v>0.64</v>
      </c>
      <c r="F219" s="102">
        <f t="shared" si="29"/>
        <v>0.64</v>
      </c>
      <c r="G219" s="102">
        <f t="shared" si="29"/>
        <v>0.64</v>
      </c>
      <c r="H219" s="102">
        <f t="shared" si="29"/>
        <v>0.64</v>
      </c>
      <c r="I219" s="102">
        <f t="shared" si="29"/>
        <v>0.64</v>
      </c>
      <c r="J219" s="102">
        <f t="shared" si="29"/>
        <v>0.64</v>
      </c>
      <c r="K219" s="102">
        <f t="shared" si="29"/>
        <v>0.64</v>
      </c>
      <c r="L219" s="102">
        <f t="shared" si="29"/>
        <v>0.64</v>
      </c>
      <c r="M219" s="102">
        <f t="shared" si="29"/>
        <v>0.64</v>
      </c>
      <c r="N219" s="102">
        <f t="shared" si="29"/>
        <v>0.64</v>
      </c>
      <c r="O219" s="102">
        <f t="shared" si="29"/>
        <v>0.64</v>
      </c>
      <c r="P219" s="102">
        <f t="shared" si="29"/>
        <v>0.64</v>
      </c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57">
        <v>0.66</v>
      </c>
      <c r="AH219" s="54"/>
      <c r="AI219" s="55"/>
    </row>
    <row r="220" spans="1:37" ht="15.75" thickBot="1" x14ac:dyDescent="0.3">
      <c r="A220" s="173" t="s">
        <v>35</v>
      </c>
      <c r="B220" s="103">
        <f>SUM(B214:B219)</f>
        <v>0</v>
      </c>
      <c r="C220" s="103">
        <f>SUM(C214:C219)</f>
        <v>3.54</v>
      </c>
      <c r="D220" s="103">
        <f t="shared" ref="D220:L220" si="30">SUM(D214:D219)</f>
        <v>3.54</v>
      </c>
      <c r="E220" s="103">
        <f t="shared" si="30"/>
        <v>3.54</v>
      </c>
      <c r="F220" s="103">
        <f t="shared" si="30"/>
        <v>3.54</v>
      </c>
      <c r="G220" s="103">
        <f t="shared" si="30"/>
        <v>3.54</v>
      </c>
      <c r="H220" s="103">
        <f t="shared" si="30"/>
        <v>3.54</v>
      </c>
      <c r="I220" s="103">
        <f t="shared" si="30"/>
        <v>3.54</v>
      </c>
      <c r="J220" s="103">
        <f t="shared" si="30"/>
        <v>3.54</v>
      </c>
      <c r="K220" s="103">
        <f t="shared" si="30"/>
        <v>3.54</v>
      </c>
      <c r="L220" s="103">
        <f t="shared" si="30"/>
        <v>3.54</v>
      </c>
      <c r="M220" s="103">
        <f>SUM(M214:M219)</f>
        <v>3.54</v>
      </c>
      <c r="N220" s="103">
        <f t="shared" ref="N220:S220" si="31">SUM(N214:N219)</f>
        <v>3.54</v>
      </c>
      <c r="O220" s="103">
        <f t="shared" si="31"/>
        <v>3.54</v>
      </c>
      <c r="P220" s="103">
        <f t="shared" si="31"/>
        <v>3.54</v>
      </c>
      <c r="Q220" s="103">
        <f t="shared" si="31"/>
        <v>0</v>
      </c>
      <c r="R220" s="103">
        <f t="shared" si="31"/>
        <v>0</v>
      </c>
      <c r="S220" s="103">
        <f t="shared" si="31"/>
        <v>0</v>
      </c>
      <c r="T220" s="103">
        <f>SUM(T214:T219)</f>
        <v>0</v>
      </c>
      <c r="U220" s="103">
        <f t="shared" ref="U220:AG220" si="32">SUM(U214:U219)</f>
        <v>0</v>
      </c>
      <c r="V220" s="103">
        <f t="shared" si="32"/>
        <v>0</v>
      </c>
      <c r="W220" s="103">
        <f t="shared" si="32"/>
        <v>0</v>
      </c>
      <c r="X220" s="103">
        <f t="shared" si="32"/>
        <v>0</v>
      </c>
      <c r="Y220" s="103">
        <f t="shared" si="32"/>
        <v>0</v>
      </c>
      <c r="Z220" s="103">
        <f t="shared" si="32"/>
        <v>0</v>
      </c>
      <c r="AA220" s="103">
        <f t="shared" si="32"/>
        <v>0</v>
      </c>
      <c r="AB220" s="103">
        <f t="shared" si="32"/>
        <v>0</v>
      </c>
      <c r="AC220" s="103">
        <f t="shared" si="32"/>
        <v>0</v>
      </c>
      <c r="AD220" s="103">
        <f t="shared" si="32"/>
        <v>0</v>
      </c>
      <c r="AE220" s="103">
        <f t="shared" si="32"/>
        <v>0</v>
      </c>
      <c r="AF220" s="103">
        <f t="shared" si="32"/>
        <v>0</v>
      </c>
      <c r="AG220" s="158">
        <f t="shared" si="32"/>
        <v>8.56</v>
      </c>
      <c r="AH220" s="54"/>
      <c r="AI220" s="55"/>
    </row>
    <row r="221" spans="1:37" ht="15.75" thickBot="1" x14ac:dyDescent="0.3"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  <c r="AC221" s="179"/>
      <c r="AD221" s="179"/>
      <c r="AE221" s="179"/>
      <c r="AF221" s="179"/>
      <c r="AG221" s="84"/>
      <c r="AH221" s="179"/>
    </row>
    <row r="222" spans="1:37" x14ac:dyDescent="0.25">
      <c r="A222" s="79" t="s">
        <v>89</v>
      </c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5"/>
      <c r="AG222" s="179"/>
      <c r="AH222" s="54"/>
      <c r="AI222" s="55"/>
    </row>
    <row r="223" spans="1:37" x14ac:dyDescent="0.25">
      <c r="A223" s="106" t="s">
        <v>90</v>
      </c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8"/>
      <c r="AG223" s="109"/>
      <c r="AH223" s="54"/>
      <c r="AI223" s="55"/>
    </row>
    <row r="224" spans="1:37" x14ac:dyDescent="0.25">
      <c r="A224" s="81" t="s">
        <v>91</v>
      </c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1"/>
      <c r="AG224" s="109"/>
      <c r="AH224" s="54"/>
      <c r="AI224" s="55"/>
    </row>
    <row r="225" spans="1:50" x14ac:dyDescent="0.25">
      <c r="A225" s="81" t="s">
        <v>92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ht="15.75" thickBot="1" x14ac:dyDescent="0.3">
      <c r="A226" s="112" t="s">
        <v>93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4"/>
      <c r="AG226" s="109"/>
      <c r="AH226" s="54"/>
      <c r="AI226" s="55"/>
    </row>
    <row r="227" spans="1:50" x14ac:dyDescent="0.25"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  <c r="AC227" s="179"/>
      <c r="AD227" s="179"/>
      <c r="AE227" s="179"/>
      <c r="AF227" s="179"/>
      <c r="AG227" s="179"/>
      <c r="AH227" s="179"/>
    </row>
    <row r="228" spans="1:50" x14ac:dyDescent="0.25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  <c r="AC228" s="179"/>
      <c r="AD228" s="179"/>
      <c r="AE228" s="179"/>
      <c r="AF228" s="179"/>
      <c r="AG228" s="179"/>
      <c r="AH228" s="179"/>
    </row>
    <row r="229" spans="1:50" x14ac:dyDescent="0.25">
      <c r="A229" s="115" t="s">
        <v>94</v>
      </c>
      <c r="B229" s="116">
        <f>MAX(G79:N79)</f>
        <v>1846.94</v>
      </c>
      <c r="C229" s="117">
        <f>INDEX(G9:N9,1,MATCH(MAX(G79:N79),G79:N79,0))</f>
        <v>0.33333333333333331</v>
      </c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  <c r="AC229" s="179"/>
      <c r="AD229" s="179"/>
      <c r="AE229" s="179"/>
      <c r="AF229" s="179"/>
      <c r="AG229" s="179"/>
      <c r="AH229" s="179"/>
    </row>
    <row r="230" spans="1:50" x14ac:dyDescent="0.25"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18" t="str">
        <f ca="1">MID(CELL("filename",C7),FIND("]",CELL("filename",C7))+1,600)</f>
        <v>23</v>
      </c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79"/>
      <c r="AH230" s="179"/>
    </row>
    <row r="231" spans="1:50" x14ac:dyDescent="0.25">
      <c r="A231" s="208" t="s">
        <v>95</v>
      </c>
      <c r="B231" s="208"/>
      <c r="C231" s="179"/>
      <c r="D231" s="118" t="str">
        <f ca="1">"Pie Chart of Daily Peak Demand(Inclusive of Export) of Nepal ("&amp;A4&amp;" "&amp;B4&amp;")"</f>
        <v>Pie Chart of Daily Peak Demand(Inclusive of Export) of Nepal (Nepali Date: 2079/02/23)</v>
      </c>
      <c r="E231" s="179"/>
      <c r="F231" s="179"/>
      <c r="G231" s="118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18" t="str">
        <f ca="1">"Daily Load Curve(Excluding of Export) of Nepal ("&amp;A4&amp;" "&amp;B4&amp;")"</f>
        <v>Daily Load Curve(Excluding of Export) of Nepal (Nepali Date: 2079/02/23)</v>
      </c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  <c r="AE231" s="179"/>
      <c r="AF231" s="179"/>
      <c r="AG231" s="179"/>
      <c r="AH231" s="179"/>
    </row>
    <row r="232" spans="1:50" ht="12.75" customHeight="1" thickBot="1" x14ac:dyDescent="0.3">
      <c r="A232" s="119" t="s">
        <v>7</v>
      </c>
      <c r="B232" s="120"/>
      <c r="C232" s="179"/>
      <c r="D232" s="121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  <c r="AC232" s="179"/>
      <c r="AD232" s="179"/>
      <c r="AE232" s="179"/>
      <c r="AF232" s="179"/>
      <c r="AG232" s="179"/>
      <c r="AH232" s="179"/>
    </row>
    <row r="233" spans="1:50" ht="15.75" thickTop="1" x14ac:dyDescent="0.25">
      <c r="A233" s="119" t="s">
        <v>96</v>
      </c>
      <c r="B233" s="120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22" t="s">
        <v>97</v>
      </c>
      <c r="T233" s="123">
        <v>0</v>
      </c>
      <c r="U233" s="124">
        <v>4.1666666666666664E-2</v>
      </c>
      <c r="V233" s="125">
        <v>8.3333333333333301E-2</v>
      </c>
      <c r="W233" s="125">
        <v>0.125</v>
      </c>
      <c r="X233" s="125">
        <v>0.16666666666666699</v>
      </c>
      <c r="Y233" s="125">
        <v>0.20833333333333301</v>
      </c>
      <c r="Z233" s="125">
        <v>0.22916666666666666</v>
      </c>
      <c r="AA233" s="125">
        <v>0.25</v>
      </c>
      <c r="AB233" s="125">
        <v>0.27083333333333331</v>
      </c>
      <c r="AC233" s="125">
        <v>0.29166666666666669</v>
      </c>
      <c r="AD233" s="125">
        <v>0.3125</v>
      </c>
      <c r="AE233" s="126">
        <v>0.33333333333333331</v>
      </c>
      <c r="AF233" s="126">
        <v>0.375</v>
      </c>
      <c r="AG233" s="126">
        <v>0.41666666666666702</v>
      </c>
      <c r="AH233" s="126">
        <v>0.45833333333333298</v>
      </c>
      <c r="AI233" s="126">
        <v>0.5</v>
      </c>
      <c r="AJ233" s="126">
        <v>0.54166666666666696</v>
      </c>
      <c r="AK233" s="126">
        <v>0.58333333333333304</v>
      </c>
      <c r="AL233" s="126">
        <v>0.625</v>
      </c>
      <c r="AM233" s="126">
        <v>0.66666666666666696</v>
      </c>
      <c r="AN233" s="126">
        <v>0.70833333333333304</v>
      </c>
      <c r="AO233" s="126">
        <v>0.72916666666666663</v>
      </c>
      <c r="AP233" s="126">
        <v>0.75</v>
      </c>
      <c r="AQ233" s="126">
        <v>0.77083333333333337</v>
      </c>
      <c r="AR233" s="126">
        <v>0.79166666666666663</v>
      </c>
      <c r="AS233" s="126">
        <v>0.8125</v>
      </c>
      <c r="AT233" s="125">
        <v>0.83333333333333337</v>
      </c>
      <c r="AU233" s="125">
        <v>0.85416666666666663</v>
      </c>
      <c r="AV233" s="125">
        <v>0.875</v>
      </c>
      <c r="AW233" s="125">
        <v>0.91666666666666696</v>
      </c>
      <c r="AX233" s="125">
        <v>0.95833333333333304</v>
      </c>
    </row>
    <row r="234" spans="1:50" x14ac:dyDescent="0.25">
      <c r="A234" s="119" t="s">
        <v>98</v>
      </c>
      <c r="B234" s="120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 t="s">
        <v>99</v>
      </c>
      <c r="T234" s="127">
        <f t="shared" ref="T234:AX234" si="33">B79</f>
        <v>1864.2400000000002</v>
      </c>
      <c r="U234" s="127">
        <f t="shared" si="33"/>
        <v>1761.5400000000002</v>
      </c>
      <c r="V234" s="127">
        <f t="shared" si="33"/>
        <v>1751.0400000000002</v>
      </c>
      <c r="W234" s="127">
        <f t="shared" si="33"/>
        <v>1755.6400000000003</v>
      </c>
      <c r="X234" s="127">
        <f t="shared" si="33"/>
        <v>1764.6400000000003</v>
      </c>
      <c r="Y234" s="127">
        <f t="shared" si="33"/>
        <v>1771.6400000000003</v>
      </c>
      <c r="Z234" s="127">
        <f t="shared" si="33"/>
        <v>1766.3400000000001</v>
      </c>
      <c r="AA234" s="127">
        <f t="shared" si="33"/>
        <v>1743.7400000000002</v>
      </c>
      <c r="AB234" s="127">
        <f t="shared" si="33"/>
        <v>1772.8400000000001</v>
      </c>
      <c r="AC234" s="127">
        <f t="shared" si="33"/>
        <v>1825.8400000000001</v>
      </c>
      <c r="AD234" s="127">
        <f t="shared" si="33"/>
        <v>1794.64</v>
      </c>
      <c r="AE234" s="127">
        <f t="shared" si="33"/>
        <v>1846.94</v>
      </c>
      <c r="AF234" s="127">
        <f t="shared" si="33"/>
        <v>1823.44</v>
      </c>
      <c r="AG234" s="127">
        <f t="shared" si="33"/>
        <v>1827.5400000000002</v>
      </c>
      <c r="AH234" s="127">
        <f t="shared" si="33"/>
        <v>1881.54</v>
      </c>
      <c r="AI234" s="127">
        <f t="shared" si="33"/>
        <v>1882.04</v>
      </c>
      <c r="AJ234" s="127">
        <f t="shared" si="33"/>
        <v>1825.1400000000003</v>
      </c>
      <c r="AK234" s="127">
        <f t="shared" si="33"/>
        <v>1827.54</v>
      </c>
      <c r="AL234" s="127">
        <f t="shared" si="33"/>
        <v>1745.8400000000001</v>
      </c>
      <c r="AM234" s="127">
        <f t="shared" si="33"/>
        <v>1717.84</v>
      </c>
      <c r="AN234" s="127">
        <f t="shared" si="33"/>
        <v>1735.54</v>
      </c>
      <c r="AO234" s="127">
        <f t="shared" si="33"/>
        <v>1734.5399999999997</v>
      </c>
      <c r="AP234" s="127">
        <f t="shared" si="33"/>
        <v>1740.0399999999997</v>
      </c>
      <c r="AQ234" s="127">
        <f t="shared" si="33"/>
        <v>1750.54</v>
      </c>
      <c r="AR234" s="127">
        <f t="shared" si="33"/>
        <v>1744.54</v>
      </c>
      <c r="AS234" s="127">
        <f t="shared" si="33"/>
        <v>1761.94</v>
      </c>
      <c r="AT234" s="127">
        <f t="shared" si="33"/>
        <v>1857.24</v>
      </c>
      <c r="AU234" s="127">
        <f t="shared" si="33"/>
        <v>1892.34</v>
      </c>
      <c r="AV234" s="127">
        <f t="shared" si="33"/>
        <v>1893.6399999999999</v>
      </c>
      <c r="AW234" s="127">
        <f t="shared" si="33"/>
        <v>1852.84</v>
      </c>
      <c r="AX234" s="127">
        <f t="shared" si="33"/>
        <v>1829.64</v>
      </c>
    </row>
    <row r="235" spans="1:50" x14ac:dyDescent="0.25">
      <c r="A235" s="119" t="s">
        <v>100</v>
      </c>
      <c r="B235" s="120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  <c r="AC235" s="179"/>
      <c r="AD235" s="179"/>
      <c r="AE235" s="179"/>
      <c r="AF235" s="179"/>
      <c r="AG235" s="179"/>
      <c r="AH235" s="179"/>
    </row>
    <row r="236" spans="1:50" x14ac:dyDescent="0.25">
      <c r="A236" s="119" t="s">
        <v>101</v>
      </c>
      <c r="B236" s="120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79"/>
      <c r="AE236" s="179"/>
      <c r="AF236" s="179"/>
      <c r="AG236" s="179"/>
      <c r="AH236" s="179"/>
    </row>
    <row r="237" spans="1:50" x14ac:dyDescent="0.25">
      <c r="A237" s="119" t="s">
        <v>102</v>
      </c>
      <c r="B237" s="120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  <c r="AE237" s="179"/>
      <c r="AF237" s="179"/>
      <c r="AG237" s="179"/>
      <c r="AH237" s="179"/>
    </row>
    <row r="238" spans="1:50" x14ac:dyDescent="0.25">
      <c r="A238" s="119" t="s">
        <v>103</v>
      </c>
      <c r="B238" s="128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  <c r="AE238" s="179"/>
      <c r="AF238" s="179"/>
      <c r="AG238" s="179"/>
      <c r="AH238" s="179"/>
    </row>
    <row r="239" spans="1:50" x14ac:dyDescent="0.25">
      <c r="A239" s="119" t="s">
        <v>104</v>
      </c>
      <c r="B239" s="120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</row>
    <row r="240" spans="1:50" x14ac:dyDescent="0.25"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  <c r="AD240" s="179"/>
      <c r="AE240" s="179"/>
      <c r="AF240" s="179"/>
      <c r="AG240" s="179"/>
      <c r="AH240" s="179"/>
    </row>
    <row r="241" spans="1:36" x14ac:dyDescent="0.25"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  <c r="AC241" s="179"/>
      <c r="AD241" s="179"/>
      <c r="AE241" s="179"/>
      <c r="AF241" s="179"/>
      <c r="AG241" s="179"/>
      <c r="AH241" s="179"/>
    </row>
    <row r="242" spans="1:36" x14ac:dyDescent="0.25"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  <c r="AC242" s="179"/>
      <c r="AD242" s="179"/>
      <c r="AE242" s="179"/>
      <c r="AF242" s="179"/>
      <c r="AG242" s="179"/>
      <c r="AH242" s="179"/>
    </row>
    <row r="243" spans="1:36" x14ac:dyDescent="0.25"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  <c r="AC243" s="179"/>
      <c r="AD243" s="179"/>
      <c r="AE243" s="179"/>
      <c r="AF243" s="179"/>
      <c r="AG243" s="179"/>
      <c r="AH243" s="179"/>
    </row>
    <row r="244" spans="1:36" x14ac:dyDescent="0.25"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  <c r="AC244" s="179"/>
      <c r="AD244" s="179"/>
      <c r="AE244" s="179"/>
      <c r="AF244" s="179"/>
      <c r="AG244" s="179"/>
      <c r="AH244" s="179"/>
    </row>
    <row r="245" spans="1:36" x14ac:dyDescent="0.25"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  <c r="AG245" s="179"/>
      <c r="AH245" s="179"/>
    </row>
    <row r="246" spans="1:36" x14ac:dyDescent="0.25"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  <c r="AC246" s="179"/>
      <c r="AD246" s="179"/>
      <c r="AE246" s="179"/>
      <c r="AF246" s="179"/>
      <c r="AG246" s="179"/>
      <c r="AH246" s="179"/>
      <c r="AJ246"/>
    </row>
    <row r="247" spans="1:36" x14ac:dyDescent="0.25"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  <c r="AC247" s="179"/>
      <c r="AD247" s="179"/>
      <c r="AE247" s="179"/>
      <c r="AF247" s="179"/>
      <c r="AG247" s="179"/>
      <c r="AH247" s="179"/>
      <c r="AJ247"/>
    </row>
    <row r="248" spans="1:36" x14ac:dyDescent="0.25"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  <c r="AC248" s="179"/>
      <c r="AD248" s="179"/>
      <c r="AE248" s="179"/>
      <c r="AF248" s="179"/>
      <c r="AG248" s="179"/>
      <c r="AH248" s="179"/>
      <c r="AJ248"/>
    </row>
    <row r="249" spans="1:36" x14ac:dyDescent="0.25"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  <c r="AC249" s="179"/>
      <c r="AD249" s="179"/>
      <c r="AE249" s="179"/>
      <c r="AF249" s="179"/>
      <c r="AG249" s="179"/>
      <c r="AH249" s="179"/>
      <c r="AJ249"/>
    </row>
    <row r="250" spans="1:36" x14ac:dyDescent="0.25"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  <c r="AC250" s="179"/>
      <c r="AD250" s="179"/>
      <c r="AE250" s="179"/>
      <c r="AF250" s="179"/>
      <c r="AG250" s="179"/>
      <c r="AH250" s="179"/>
      <c r="AJ250"/>
    </row>
    <row r="251" spans="1:36" x14ac:dyDescent="0.25"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  <c r="AE251" s="179"/>
      <c r="AF251" s="179"/>
      <c r="AG251" s="179"/>
      <c r="AH251" s="179"/>
      <c r="AJ251"/>
    </row>
    <row r="252" spans="1:36" x14ac:dyDescent="0.25"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  <c r="AC252" s="179"/>
      <c r="AD252" s="179"/>
      <c r="AE252" s="179"/>
      <c r="AF252" s="179"/>
      <c r="AG252" s="179"/>
      <c r="AH252" s="179"/>
      <c r="AJ252"/>
    </row>
    <row r="253" spans="1:36" x14ac:dyDescent="0.25"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J253"/>
    </row>
    <row r="254" spans="1:36" x14ac:dyDescent="0.25"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  <c r="AE254" s="179"/>
      <c r="AF254" s="179"/>
      <c r="AG254" s="179"/>
      <c r="AH254" s="179"/>
      <c r="AJ254"/>
    </row>
    <row r="255" spans="1:36" x14ac:dyDescent="0.25">
      <c r="A255" s="129" t="s">
        <v>89</v>
      </c>
      <c r="B255" s="130">
        <f t="shared" ref="B255:AE255" si="34">C219</f>
        <v>0.64</v>
      </c>
      <c r="C255" s="130">
        <f t="shared" si="34"/>
        <v>0.64</v>
      </c>
      <c r="D255" s="130">
        <f t="shared" si="34"/>
        <v>0.64</v>
      </c>
      <c r="E255" s="130">
        <f t="shared" si="34"/>
        <v>0.64</v>
      </c>
      <c r="F255" s="130">
        <f t="shared" si="34"/>
        <v>0.64</v>
      </c>
      <c r="G255" s="130">
        <f t="shared" si="34"/>
        <v>0.64</v>
      </c>
      <c r="H255" s="130">
        <f t="shared" si="34"/>
        <v>0.64</v>
      </c>
      <c r="I255" s="130">
        <f t="shared" si="34"/>
        <v>0.64</v>
      </c>
      <c r="J255" s="130">
        <f t="shared" si="34"/>
        <v>0.64</v>
      </c>
      <c r="K255" s="130">
        <f t="shared" si="34"/>
        <v>0.64</v>
      </c>
      <c r="L255" s="130">
        <f t="shared" si="34"/>
        <v>0.64</v>
      </c>
      <c r="M255" s="130">
        <f t="shared" si="34"/>
        <v>0.64</v>
      </c>
      <c r="N255" s="130">
        <f t="shared" si="34"/>
        <v>0.64</v>
      </c>
      <c r="O255" s="130">
        <f t="shared" si="34"/>
        <v>0.64</v>
      </c>
      <c r="P255" s="130">
        <f t="shared" si="34"/>
        <v>0</v>
      </c>
      <c r="Q255" s="130">
        <f t="shared" si="34"/>
        <v>0</v>
      </c>
      <c r="R255" s="130">
        <f t="shared" si="34"/>
        <v>0</v>
      </c>
      <c r="S255" s="130">
        <f t="shared" si="34"/>
        <v>0</v>
      </c>
      <c r="T255" s="130">
        <f t="shared" si="34"/>
        <v>0</v>
      </c>
      <c r="U255" s="130">
        <f t="shared" si="34"/>
        <v>0</v>
      </c>
      <c r="V255" s="130">
        <f t="shared" si="34"/>
        <v>0</v>
      </c>
      <c r="W255" s="130">
        <f t="shared" si="34"/>
        <v>0</v>
      </c>
      <c r="X255" s="130">
        <f t="shared" si="34"/>
        <v>0</v>
      </c>
      <c r="Y255" s="130">
        <f t="shared" si="34"/>
        <v>0</v>
      </c>
      <c r="Z255" s="130">
        <f t="shared" si="34"/>
        <v>0</v>
      </c>
      <c r="AA255" s="130">
        <f t="shared" si="34"/>
        <v>0</v>
      </c>
      <c r="AB255" s="130">
        <f t="shared" si="34"/>
        <v>0</v>
      </c>
      <c r="AC255" s="130">
        <f t="shared" si="34"/>
        <v>0</v>
      </c>
      <c r="AD255" s="130">
        <f t="shared" si="34"/>
        <v>0</v>
      </c>
      <c r="AE255" s="130">
        <f t="shared" si="34"/>
        <v>0</v>
      </c>
      <c r="AF255" s="130">
        <f>B219</f>
        <v>0</v>
      </c>
      <c r="AG255" s="179"/>
      <c r="AH255" s="179"/>
      <c r="AJ255"/>
    </row>
    <row r="256" spans="1:36" x14ac:dyDescent="0.25">
      <c r="A256" s="88" t="str">
        <f>A223</f>
        <v>KGA</v>
      </c>
      <c r="B256" s="88" t="str">
        <f>IF(B223&lt;100,"",B223-520)</f>
        <v/>
      </c>
      <c r="C256" s="88" t="str">
        <f t="shared" ref="C256:AF256" si="35">IF(C223&lt;100,"",C223-520)</f>
        <v/>
      </c>
      <c r="D256" s="88" t="str">
        <f t="shared" si="35"/>
        <v/>
      </c>
      <c r="E256" s="88" t="str">
        <f t="shared" si="35"/>
        <v/>
      </c>
      <c r="F256" s="88" t="str">
        <f t="shared" si="35"/>
        <v/>
      </c>
      <c r="G256" s="88" t="str">
        <f t="shared" si="35"/>
        <v/>
      </c>
      <c r="H256" s="88" t="str">
        <f t="shared" si="35"/>
        <v/>
      </c>
      <c r="I256" s="88" t="str">
        <f t="shared" si="35"/>
        <v/>
      </c>
      <c r="J256" s="88" t="str">
        <f t="shared" si="35"/>
        <v/>
      </c>
      <c r="K256" s="88" t="str">
        <f t="shared" si="35"/>
        <v/>
      </c>
      <c r="L256" s="88" t="str">
        <f t="shared" si="35"/>
        <v/>
      </c>
      <c r="M256" s="88" t="str">
        <f t="shared" si="35"/>
        <v/>
      </c>
      <c r="N256" s="88" t="str">
        <f t="shared" si="35"/>
        <v/>
      </c>
      <c r="O256" s="88" t="str">
        <f t="shared" si="35"/>
        <v/>
      </c>
      <c r="P256" s="88" t="str">
        <f t="shared" si="35"/>
        <v/>
      </c>
      <c r="Q256" s="88" t="str">
        <f t="shared" si="35"/>
        <v/>
      </c>
      <c r="R256" s="88" t="str">
        <f t="shared" si="35"/>
        <v/>
      </c>
      <c r="S256" s="88" t="str">
        <f t="shared" si="35"/>
        <v/>
      </c>
      <c r="T256" s="88" t="str">
        <f t="shared" si="35"/>
        <v/>
      </c>
      <c r="U256" s="88" t="str">
        <f t="shared" si="35"/>
        <v/>
      </c>
      <c r="V256" s="88" t="str">
        <f t="shared" si="35"/>
        <v/>
      </c>
      <c r="W256" s="88" t="str">
        <f t="shared" si="35"/>
        <v/>
      </c>
      <c r="X256" s="88" t="str">
        <f t="shared" si="35"/>
        <v/>
      </c>
      <c r="Y256" s="88" t="str">
        <f t="shared" si="35"/>
        <v/>
      </c>
      <c r="Z256" s="88" t="str">
        <f t="shared" si="35"/>
        <v/>
      </c>
      <c r="AA256" s="88" t="str">
        <f t="shared" si="35"/>
        <v/>
      </c>
      <c r="AB256" s="88" t="str">
        <f t="shared" si="35"/>
        <v/>
      </c>
      <c r="AC256" s="88" t="str">
        <f t="shared" si="35"/>
        <v/>
      </c>
      <c r="AD256" s="88" t="str">
        <f t="shared" si="35"/>
        <v/>
      </c>
      <c r="AE256" s="88" t="str">
        <f t="shared" si="35"/>
        <v/>
      </c>
      <c r="AF256" s="88" t="str">
        <f t="shared" si="35"/>
        <v/>
      </c>
      <c r="AG256" s="179"/>
      <c r="AH256" s="179"/>
      <c r="AJ256"/>
    </row>
    <row r="257" spans="1:36" x14ac:dyDescent="0.25">
      <c r="A257" s="88" t="str">
        <f>A224</f>
        <v>MMRS</v>
      </c>
      <c r="B257" s="88" t="str">
        <f t="shared" ref="B257:AF257" si="36">IF(B224&lt;100,"",B224-620)</f>
        <v/>
      </c>
      <c r="C257" s="88" t="str">
        <f t="shared" si="36"/>
        <v/>
      </c>
      <c r="D257" s="88" t="str">
        <f t="shared" si="36"/>
        <v/>
      </c>
      <c r="E257" s="88" t="str">
        <f t="shared" si="36"/>
        <v/>
      </c>
      <c r="F257" s="88" t="str">
        <f t="shared" si="36"/>
        <v/>
      </c>
      <c r="G257" s="88" t="str">
        <f t="shared" si="36"/>
        <v/>
      </c>
      <c r="H257" s="88" t="str">
        <f t="shared" si="36"/>
        <v/>
      </c>
      <c r="I257" s="88" t="str">
        <f t="shared" si="36"/>
        <v/>
      </c>
      <c r="J257" s="88" t="str">
        <f t="shared" si="36"/>
        <v/>
      </c>
      <c r="K257" s="88" t="str">
        <f t="shared" si="36"/>
        <v/>
      </c>
      <c r="L257" s="88" t="str">
        <f t="shared" si="36"/>
        <v/>
      </c>
      <c r="M257" s="88" t="str">
        <f t="shared" si="36"/>
        <v/>
      </c>
      <c r="N257" s="88" t="str">
        <f t="shared" si="36"/>
        <v/>
      </c>
      <c r="O257" s="88" t="str">
        <f t="shared" si="36"/>
        <v/>
      </c>
      <c r="P257" s="88" t="str">
        <f t="shared" si="36"/>
        <v/>
      </c>
      <c r="Q257" s="88" t="str">
        <f t="shared" si="36"/>
        <v/>
      </c>
      <c r="R257" s="88" t="str">
        <f t="shared" si="36"/>
        <v/>
      </c>
      <c r="S257" s="88" t="str">
        <f t="shared" si="36"/>
        <v/>
      </c>
      <c r="T257" s="88" t="str">
        <f t="shared" si="36"/>
        <v/>
      </c>
      <c r="U257" s="88" t="str">
        <f t="shared" si="36"/>
        <v/>
      </c>
      <c r="V257" s="88" t="str">
        <f t="shared" si="36"/>
        <v/>
      </c>
      <c r="W257" s="88" t="str">
        <f t="shared" si="36"/>
        <v/>
      </c>
      <c r="X257" s="88" t="str">
        <f t="shared" si="36"/>
        <v/>
      </c>
      <c r="Y257" s="88" t="str">
        <f t="shared" si="36"/>
        <v/>
      </c>
      <c r="Z257" s="88" t="str">
        <f t="shared" si="36"/>
        <v/>
      </c>
      <c r="AA257" s="88" t="str">
        <f t="shared" si="36"/>
        <v/>
      </c>
      <c r="AB257" s="88" t="str">
        <f t="shared" si="36"/>
        <v/>
      </c>
      <c r="AC257" s="88" t="str">
        <f t="shared" si="36"/>
        <v/>
      </c>
      <c r="AD257" s="88" t="str">
        <f t="shared" si="36"/>
        <v/>
      </c>
      <c r="AE257" s="88" t="str">
        <f t="shared" si="36"/>
        <v/>
      </c>
      <c r="AF257" s="88" t="str">
        <f t="shared" si="36"/>
        <v/>
      </c>
      <c r="AG257" s="179"/>
      <c r="AH257" s="179"/>
      <c r="AJ257"/>
    </row>
    <row r="258" spans="1:36" x14ac:dyDescent="0.25">
      <c r="A258" s="88" t="str">
        <f>A225</f>
        <v>MRS</v>
      </c>
      <c r="B258" s="88" t="str">
        <f t="shared" ref="B258:AF258" si="37">IF(B225&lt;100,"",B225-330)</f>
        <v/>
      </c>
      <c r="C258" s="88" t="str">
        <f t="shared" si="37"/>
        <v/>
      </c>
      <c r="D258" s="88" t="str">
        <f t="shared" si="37"/>
        <v/>
      </c>
      <c r="E258" s="88" t="str">
        <f t="shared" si="37"/>
        <v/>
      </c>
      <c r="F258" s="88" t="str">
        <f t="shared" si="37"/>
        <v/>
      </c>
      <c r="G258" s="88" t="str">
        <f t="shared" si="37"/>
        <v/>
      </c>
      <c r="H258" s="88" t="str">
        <f t="shared" si="37"/>
        <v/>
      </c>
      <c r="I258" s="88" t="str">
        <f t="shared" si="37"/>
        <v/>
      </c>
      <c r="J258" s="88" t="str">
        <f t="shared" si="37"/>
        <v/>
      </c>
      <c r="K258" s="88" t="str">
        <f t="shared" si="37"/>
        <v/>
      </c>
      <c r="L258" s="88" t="str">
        <f t="shared" si="37"/>
        <v/>
      </c>
      <c r="M258" s="88" t="str">
        <f t="shared" si="37"/>
        <v/>
      </c>
      <c r="N258" s="88" t="str">
        <f t="shared" si="37"/>
        <v/>
      </c>
      <c r="O258" s="88" t="str">
        <f t="shared" si="37"/>
        <v/>
      </c>
      <c r="P258" s="88" t="str">
        <f t="shared" si="37"/>
        <v/>
      </c>
      <c r="Q258" s="88" t="str">
        <f t="shared" si="37"/>
        <v/>
      </c>
      <c r="R258" s="88" t="str">
        <f t="shared" si="37"/>
        <v/>
      </c>
      <c r="S258" s="88" t="str">
        <f t="shared" si="37"/>
        <v/>
      </c>
      <c r="T258" s="88" t="str">
        <f t="shared" si="37"/>
        <v/>
      </c>
      <c r="U258" s="88" t="str">
        <f t="shared" si="37"/>
        <v/>
      </c>
      <c r="V258" s="88" t="str">
        <f t="shared" si="37"/>
        <v/>
      </c>
      <c r="W258" s="88" t="str">
        <f t="shared" si="37"/>
        <v/>
      </c>
      <c r="X258" s="88" t="str">
        <f t="shared" si="37"/>
        <v/>
      </c>
      <c r="Y258" s="88" t="str">
        <f t="shared" si="37"/>
        <v/>
      </c>
      <c r="Z258" s="88" t="str">
        <f t="shared" si="37"/>
        <v/>
      </c>
      <c r="AA258" s="88" t="str">
        <f t="shared" si="37"/>
        <v/>
      </c>
      <c r="AB258" s="88" t="str">
        <f t="shared" si="37"/>
        <v/>
      </c>
      <c r="AC258" s="88" t="str">
        <f t="shared" si="37"/>
        <v/>
      </c>
      <c r="AD258" s="88" t="str">
        <f t="shared" si="37"/>
        <v/>
      </c>
      <c r="AE258" s="88" t="str">
        <f t="shared" si="37"/>
        <v/>
      </c>
      <c r="AF258" s="88" t="str">
        <f t="shared" si="37"/>
        <v/>
      </c>
      <c r="AG258" s="179"/>
      <c r="AH258" s="179"/>
      <c r="AJ258"/>
    </row>
    <row r="259" spans="1:36" x14ac:dyDescent="0.25">
      <c r="A259" s="88" t="str">
        <f>A226</f>
        <v>KL 1</v>
      </c>
      <c r="B259" s="88" t="str">
        <f>IF(B226&lt;100,"",B226-1500)</f>
        <v/>
      </c>
      <c r="C259" s="88" t="str">
        <f t="shared" ref="C259:AF259" si="38">IF(C226&lt;100,"",C226-1500)</f>
        <v/>
      </c>
      <c r="D259" s="88" t="str">
        <f t="shared" si="38"/>
        <v/>
      </c>
      <c r="E259" s="88" t="str">
        <f t="shared" si="38"/>
        <v/>
      </c>
      <c r="F259" s="88" t="str">
        <f t="shared" si="38"/>
        <v/>
      </c>
      <c r="G259" s="88" t="str">
        <f t="shared" si="38"/>
        <v/>
      </c>
      <c r="H259" s="88" t="str">
        <f t="shared" si="38"/>
        <v/>
      </c>
      <c r="I259" s="88" t="str">
        <f t="shared" si="38"/>
        <v/>
      </c>
      <c r="J259" s="88" t="str">
        <f t="shared" si="38"/>
        <v/>
      </c>
      <c r="K259" s="88" t="str">
        <f t="shared" si="38"/>
        <v/>
      </c>
      <c r="L259" s="88" t="str">
        <f t="shared" si="38"/>
        <v/>
      </c>
      <c r="M259" s="88" t="str">
        <f t="shared" si="38"/>
        <v/>
      </c>
      <c r="N259" s="88" t="str">
        <f t="shared" si="38"/>
        <v/>
      </c>
      <c r="O259" s="88" t="str">
        <f t="shared" si="38"/>
        <v/>
      </c>
      <c r="P259" s="88" t="str">
        <f t="shared" si="38"/>
        <v/>
      </c>
      <c r="Q259" s="88" t="str">
        <f t="shared" si="38"/>
        <v/>
      </c>
      <c r="R259" s="88" t="str">
        <f t="shared" si="38"/>
        <v/>
      </c>
      <c r="S259" s="88" t="str">
        <f t="shared" si="38"/>
        <v/>
      </c>
      <c r="T259" s="88" t="str">
        <f t="shared" si="38"/>
        <v/>
      </c>
      <c r="U259" s="88" t="str">
        <f t="shared" si="38"/>
        <v/>
      </c>
      <c r="V259" s="88" t="str">
        <f t="shared" si="38"/>
        <v/>
      </c>
      <c r="W259" s="88" t="str">
        <f t="shared" si="38"/>
        <v/>
      </c>
      <c r="X259" s="88" t="str">
        <f t="shared" si="38"/>
        <v/>
      </c>
      <c r="Y259" s="88" t="str">
        <f t="shared" si="38"/>
        <v/>
      </c>
      <c r="Z259" s="88" t="str">
        <f t="shared" si="38"/>
        <v/>
      </c>
      <c r="AA259" s="88" t="str">
        <f t="shared" si="38"/>
        <v/>
      </c>
      <c r="AB259" s="88" t="str">
        <f t="shared" si="38"/>
        <v/>
      </c>
      <c r="AC259" s="88" t="str">
        <f t="shared" si="38"/>
        <v/>
      </c>
      <c r="AD259" s="88" t="str">
        <f t="shared" si="38"/>
        <v/>
      </c>
      <c r="AE259" s="88" t="str">
        <f t="shared" si="38"/>
        <v/>
      </c>
      <c r="AF259" s="88" t="str">
        <f t="shared" si="38"/>
        <v/>
      </c>
      <c r="AG259" s="179"/>
      <c r="AH259" s="179"/>
      <c r="AJ259"/>
    </row>
    <row r="260" spans="1:36" x14ac:dyDescent="0.25"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  <c r="AC260" s="179"/>
      <c r="AD260" s="179"/>
      <c r="AE260" s="179"/>
      <c r="AF260" s="179"/>
      <c r="AG260" s="179"/>
      <c r="AH260" s="179"/>
      <c r="AJ260"/>
    </row>
    <row r="261" spans="1:36" x14ac:dyDescent="0.25"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  <c r="AJ261"/>
    </row>
    <row r="262" spans="1:36" x14ac:dyDescent="0.25"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  <c r="AE262" s="179"/>
      <c r="AF262" s="179"/>
      <c r="AG262" s="179"/>
      <c r="AH262" s="179"/>
      <c r="AJ262"/>
    </row>
    <row r="263" spans="1:36" x14ac:dyDescent="0.25"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  <c r="AC263" s="179"/>
      <c r="AD263" s="179"/>
      <c r="AE263" s="179"/>
      <c r="AF263" s="179"/>
      <c r="AG263" s="179"/>
      <c r="AH263" s="179"/>
      <c r="AJ263"/>
    </row>
    <row r="264" spans="1:36" x14ac:dyDescent="0.25"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  <c r="AC264" s="179"/>
      <c r="AD264" s="179"/>
      <c r="AE264" s="179"/>
      <c r="AF264" s="179"/>
      <c r="AG264" s="179"/>
      <c r="AH264" s="179"/>
      <c r="AJ264"/>
    </row>
    <row r="265" spans="1:36" x14ac:dyDescent="0.25"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  <c r="AC265" s="179"/>
      <c r="AD265" s="179"/>
      <c r="AE265" s="179"/>
      <c r="AF265" s="179"/>
      <c r="AG265" s="179"/>
      <c r="AH265" s="179"/>
      <c r="AJ265"/>
    </row>
    <row r="266" spans="1:36" x14ac:dyDescent="0.25"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  <c r="AC266" s="179"/>
      <c r="AD266" s="179"/>
      <c r="AE266" s="179"/>
      <c r="AF266" s="179"/>
      <c r="AJ266"/>
    </row>
    <row r="490" spans="36:38" x14ac:dyDescent="0.25">
      <c r="AK490" s="1"/>
    </row>
    <row r="491" spans="36:38" x14ac:dyDescent="0.25">
      <c r="AK491" s="1"/>
      <c r="AL491" s="1"/>
    </row>
    <row r="492" spans="36:38" x14ac:dyDescent="0.25">
      <c r="AJ49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1:B23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28">
      <iconSet iconSet="3TrafficLights2" reverse="1">
        <cfvo type="percent" val="0"/>
        <cfvo type="num" val="1"/>
        <cfvo type="num" val="1"/>
      </iconSet>
    </cfRule>
  </conditionalFormatting>
  <conditionalFormatting sqref="D214:AF220 B214:B220 B212:AF212 U233:AF233 B9:AF10 C99:AF105 Z11:AF11">
    <cfRule type="expression" dxfId="2257" priority="224">
      <formula>B$9&gt;=20/24</formula>
    </cfRule>
    <cfRule type="expression" dxfId="2256" priority="225">
      <formula>AND(B$9&gt;=14/24,B$9&lt;20/24)</formula>
    </cfRule>
    <cfRule type="expression" dxfId="2255" priority="226">
      <formula>AND(B$9&gt;=8/24,B$9&lt;14/24)</formula>
    </cfRule>
    <cfRule type="expression" dxfId="2254" priority="227">
      <formula>B$9&lt;8/24</formula>
    </cfRule>
  </conditionalFormatting>
  <conditionalFormatting sqref="AL4:AL6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T37:AF37">
    <cfRule type="expression" dxfId="2253" priority="219">
      <formula>T$9&gt;=20/24</formula>
    </cfRule>
    <cfRule type="expression" dxfId="2252" priority="220">
      <formula>AND(T$9&gt;=14/24,T$9&lt;20/24)</formula>
    </cfRule>
    <cfRule type="expression" dxfId="2251" priority="221">
      <formula>AND(T$9&gt;=8/24,T$9&lt;14/24)</formula>
    </cfRule>
    <cfRule type="expression" dxfId="2250" priority="222">
      <formula>T$9&lt;8/24</formula>
    </cfRule>
  </conditionalFormatting>
  <conditionalFormatting sqref="AG55 B12:K16 L11:Y11 T37:AF37 Z11:AF13 L16:AF16 B35:AF35">
    <cfRule type="expression" dxfId="2249" priority="218">
      <formula>B11&gt;$AG11</formula>
    </cfRule>
  </conditionalFormatting>
  <conditionalFormatting sqref="A89:A102 A11:A14 A49:A76 A85:A87 A190:A220 A16:A30 A36:A47 A106:A177 A32:A33 A81:A83 A78:A79">
    <cfRule type="expression" dxfId="2248" priority="217">
      <formula>$AH11=0</formula>
    </cfRule>
  </conditionalFormatting>
  <conditionalFormatting sqref="A103">
    <cfRule type="expression" dxfId="2247" priority="216">
      <formula>$AH103=0</formula>
    </cfRule>
  </conditionalFormatting>
  <conditionalFormatting sqref="AL3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2246" priority="214">
      <formula>$AH35=0</formula>
    </cfRule>
  </conditionalFormatting>
  <conditionalFormatting sqref="A88">
    <cfRule type="expression" dxfId="2245" priority="213">
      <formula>$AH88=0</formula>
    </cfRule>
  </conditionalFormatting>
  <conditionalFormatting sqref="A15">
    <cfRule type="expression" dxfId="2244" priority="212">
      <formula>$AH15=0</formula>
    </cfRule>
  </conditionalFormatting>
  <conditionalFormatting sqref="A184:A189">
    <cfRule type="expression" dxfId="2243" priority="211">
      <formula>$AH184=0</formula>
    </cfRule>
  </conditionalFormatting>
  <conditionalFormatting sqref="A178:A183">
    <cfRule type="expression" dxfId="2242" priority="210">
      <formula>$AH178=0</formula>
    </cfRule>
  </conditionalFormatting>
  <conditionalFormatting sqref="A48">
    <cfRule type="expression" dxfId="2241" priority="209">
      <formula>$AH48=0</formula>
    </cfRule>
  </conditionalFormatting>
  <conditionalFormatting sqref="A84">
    <cfRule type="expression" dxfId="2240" priority="208">
      <formula>$AH84=0</formula>
    </cfRule>
  </conditionalFormatting>
  <conditionalFormatting sqref="C89:AF89">
    <cfRule type="expression" dxfId="2239" priority="204">
      <formula>C$9&gt;=20/24</formula>
    </cfRule>
    <cfRule type="expression" dxfId="2238" priority="205">
      <formula>AND(C$9&gt;=14/24,C$9&lt;20/24)</formula>
    </cfRule>
    <cfRule type="expression" dxfId="2237" priority="206">
      <formula>AND(C$9&gt;=8/24,C$9&lt;14/24)</formula>
    </cfRule>
    <cfRule type="expression" dxfId="2236" priority="207">
      <formula>C$9&lt;8/24</formula>
    </cfRule>
  </conditionalFormatting>
  <conditionalFormatting sqref="AL34">
    <cfRule type="iconSet" priority="20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235" priority="230">
      <formula>C$9&gt;=20/24</formula>
    </cfRule>
    <cfRule type="expression" dxfId="2234" priority="231">
      <formula>AND(C$9&gt;=14/24,C$9&lt;20/24)</formula>
    </cfRule>
    <cfRule type="expression" dxfId="2233" priority="232">
      <formula>AND(C$9&gt;=8/24,C$9&lt;14/24)</formula>
    </cfRule>
    <cfRule type="expression" dxfId="2232" priority="233">
      <formula>C$9&lt;8/24</formula>
    </cfRule>
  </conditionalFormatting>
  <conditionalFormatting sqref="A221">
    <cfRule type="expression" dxfId="2231" priority="234">
      <formula>$AH221=0</formula>
    </cfRule>
  </conditionalFormatting>
  <conditionalFormatting sqref="AG233">
    <cfRule type="expression" dxfId="2230" priority="235">
      <formula>B$9&gt;=20/24</formula>
    </cfRule>
    <cfRule type="expression" dxfId="2229" priority="236">
      <formula>AND(B$9&gt;=14/24,B$9&lt;20/24)</formula>
    </cfRule>
    <cfRule type="expression" dxfId="2228" priority="237">
      <formula>AND(B$9&gt;=8/24,B$9&lt;14/24)</formula>
    </cfRule>
    <cfRule type="expression" dxfId="2227" priority="238">
      <formula>B$9&lt;8/24</formula>
    </cfRule>
  </conditionalFormatting>
  <conditionalFormatting sqref="S8">
    <cfRule type="expression" dxfId="2226" priority="199">
      <formula>U$9&gt;=20/24</formula>
    </cfRule>
    <cfRule type="expression" dxfId="2225" priority="200">
      <formula>AND(U$9&gt;=14/24,U$9&lt;20/24)</formula>
    </cfRule>
    <cfRule type="expression" dxfId="2224" priority="201">
      <formula>AND(U$9&gt;=8/24,U$9&lt;14/24)</formula>
    </cfRule>
    <cfRule type="expression" dxfId="2223" priority="202">
      <formula>U$9&lt;8/24</formula>
    </cfRule>
  </conditionalFormatting>
  <conditionalFormatting sqref="AB8">
    <cfRule type="expression" dxfId="2222" priority="195">
      <formula>AD$9&gt;=20/24</formula>
    </cfRule>
    <cfRule type="expression" dxfId="2221" priority="196">
      <formula>AND(AD$9&gt;=14/24,AD$9&lt;20/24)</formula>
    </cfRule>
    <cfRule type="expression" dxfId="2220" priority="197">
      <formula>AND(AD$9&gt;=8/24,AD$9&lt;14/24)</formula>
    </cfRule>
    <cfRule type="expression" dxfId="2219" priority="198">
      <formula>AD$9&lt;8/24</formula>
    </cfRule>
  </conditionalFormatting>
  <conditionalFormatting sqref="AH233:AX233">
    <cfRule type="expression" dxfId="2218" priority="239">
      <formula>AG$9&gt;=20/24</formula>
    </cfRule>
    <cfRule type="expression" dxfId="2217" priority="240">
      <formula>AND(AG$9&gt;=14/24,AG$9&lt;20/24)</formula>
    </cfRule>
    <cfRule type="expression" dxfId="2216" priority="241">
      <formula>AND(AG$9&gt;=8/24,AG$9&lt;14/24)</formula>
    </cfRule>
    <cfRule type="expression" dxfId="2215" priority="242">
      <formula>AG$9&lt;8/24</formula>
    </cfRule>
  </conditionalFormatting>
  <conditionalFormatting sqref="T233">
    <cfRule type="expression" dxfId="2214" priority="243">
      <formula>AX$9&gt;=20/24</formula>
    </cfRule>
    <cfRule type="expression" dxfId="2213" priority="244">
      <formula>AND(AX$9&gt;=14/24,AX$9&lt;20/24)</formula>
    </cfRule>
    <cfRule type="expression" dxfId="2212" priority="245">
      <formula>AND(AX$9&gt;=8/24,AX$9&lt;14/24)</formula>
    </cfRule>
    <cfRule type="expression" dxfId="2211" priority="246">
      <formula>AX$9&lt;8/24</formula>
    </cfRule>
  </conditionalFormatting>
  <conditionalFormatting sqref="A104:A105">
    <cfRule type="expression" dxfId="2210" priority="194">
      <formula>$AH104=0</formula>
    </cfRule>
  </conditionalFormatting>
  <conditionalFormatting sqref="L44:Q45 E61:AF61 W44:AF45">
    <cfRule type="expression" dxfId="2209" priority="190">
      <formula>E$9&gt;=20/24</formula>
    </cfRule>
    <cfRule type="expression" dxfId="2208" priority="191">
      <formula>AND(E$9&gt;=14/24,E$9&lt;20/24)</formula>
    </cfRule>
    <cfRule type="expression" dxfId="2207" priority="192">
      <formula>AND(E$9&gt;=8/24,E$9&lt;14/24)</formula>
    </cfRule>
    <cfRule type="expression" dxfId="2206" priority="193">
      <formula>E$9&lt;8/24</formula>
    </cfRule>
  </conditionalFormatting>
  <conditionalFormatting sqref="L43 W43:AF43">
    <cfRule type="expression" dxfId="2205" priority="186">
      <formula>L$9&gt;=20/24</formula>
    </cfRule>
    <cfRule type="expression" dxfId="2204" priority="187">
      <formula>AND(L$9&gt;=14/24,L$9&lt;20/24)</formula>
    </cfRule>
    <cfRule type="expression" dxfId="2203" priority="188">
      <formula>AND(L$9&gt;=8/24,L$9&lt;14/24)</formula>
    </cfRule>
    <cfRule type="expression" dxfId="2202" priority="189">
      <formula>L$9&lt;8/24</formula>
    </cfRule>
  </conditionalFormatting>
  <conditionalFormatting sqref="L43:L45 M44:Q45 W43:AF45">
    <cfRule type="expression" dxfId="2201" priority="185">
      <formula>L43&gt;$AG43</formula>
    </cfRule>
  </conditionalFormatting>
  <conditionalFormatting sqref="C86:AF86 M68:O70 L71:O71 E62:O63 G64:O64 L65:O65 L67:O67 M66:O66 M37:S37 P62:AF71 L12:AF14 C57:AF59 C90:AF96 C73:AF76">
    <cfRule type="expression" dxfId="2200" priority="181">
      <formula>C$9&gt;=20/24</formula>
    </cfRule>
    <cfRule type="expression" dxfId="2199" priority="182">
      <formula>AND(C$9&gt;=14/24,C$9&lt;20/24)</formula>
    </cfRule>
    <cfRule type="expression" dxfId="2198" priority="183">
      <formula>AND(C$9&gt;=8/24,C$9&lt;14/24)</formula>
    </cfRule>
    <cfRule type="expression" dxfId="2197" priority="184">
      <formula>C$9&lt;8/24</formula>
    </cfRule>
  </conditionalFormatting>
  <conditionalFormatting sqref="C55:AF55 L46:L48 L37:S37 L12:Y15 Z14:AF15 C57:AF59">
    <cfRule type="expression" dxfId="2196" priority="176">
      <formula>C12&gt;$AG12</formula>
    </cfRule>
  </conditionalFormatting>
  <conditionalFormatting sqref="L15:AF15">
    <cfRule type="expression" dxfId="2195" priority="168">
      <formula>L$9&gt;=20/24</formula>
    </cfRule>
    <cfRule type="expression" dxfId="2194" priority="169">
      <formula>AND(L$9&gt;=14/24,L$9&lt;20/24)</formula>
    </cfRule>
    <cfRule type="expression" dxfId="2193" priority="170">
      <formula>AND(L$9&gt;=8/24,L$9&lt;14/24)</formula>
    </cfRule>
    <cfRule type="expression" dxfId="2192" priority="171">
      <formula>L$9&lt;8/24</formula>
    </cfRule>
  </conditionalFormatting>
  <conditionalFormatting sqref="W46:AF47">
    <cfRule type="expression" dxfId="2191" priority="155">
      <formula>W$9&gt;=20/24</formula>
    </cfRule>
    <cfRule type="expression" dxfId="2190" priority="156">
      <formula>AND(W$9&gt;=14/24,W$9&lt;20/24)</formula>
    </cfRule>
    <cfRule type="expression" dxfId="2189" priority="157">
      <formula>AND(W$9&gt;=8/24,W$9&lt;14/24)</formula>
    </cfRule>
    <cfRule type="expression" dxfId="2188" priority="158">
      <formula>W$9&lt;8/24</formula>
    </cfRule>
  </conditionalFormatting>
  <conditionalFormatting sqref="W46:AF47">
    <cfRule type="expression" dxfId="2187" priority="154">
      <formula>W46&gt;$AG46</formula>
    </cfRule>
  </conditionalFormatting>
  <conditionalFormatting sqref="R43:R45 M43:Q43 M46:R48 S43:V48 W48:AF54">
    <cfRule type="expression" dxfId="2186" priority="150">
      <formula>M$9&gt;=20/24</formula>
    </cfRule>
    <cfRule type="expression" dxfId="2185" priority="151">
      <formula>AND(M$9&gt;=14/24,M$9&lt;20/24)</formula>
    </cfRule>
    <cfRule type="expression" dxfId="2184" priority="152">
      <formula>AND(M$9&gt;=8/24,M$9&lt;14/24)</formula>
    </cfRule>
    <cfRule type="expression" dxfId="2183" priority="153">
      <formula>M$9&lt;8/24</formula>
    </cfRule>
  </conditionalFormatting>
  <conditionalFormatting sqref="R43:R45 M43:Q43 M46:R48 S43:V48 W48:AF54">
    <cfRule type="expression" dxfId="2182" priority="149">
      <formula>M43&gt;$AG43</formula>
    </cfRule>
  </conditionalFormatting>
  <conditionalFormatting sqref="L16:AF17">
    <cfRule type="expression" dxfId="2181" priority="141">
      <formula>L$9&gt;=20/24</formula>
    </cfRule>
    <cfRule type="expression" dxfId="2180" priority="142">
      <formula>AND(L$9&gt;=14/24,L$9&lt;20/24)</formula>
    </cfRule>
    <cfRule type="expression" dxfId="2179" priority="143">
      <formula>AND(L$9&gt;=8/24,L$9&lt;14/24)</formula>
    </cfRule>
    <cfRule type="expression" dxfId="2178" priority="144">
      <formula>L$9&lt;8/24</formula>
    </cfRule>
  </conditionalFormatting>
  <conditionalFormatting sqref="L17:AF17">
    <cfRule type="expression" dxfId="2177" priority="136">
      <formula>L17&gt;$AG17</formula>
    </cfRule>
  </conditionalFormatting>
  <conditionalFormatting sqref="L68:L70">
    <cfRule type="expression" dxfId="2176" priority="110">
      <formula>L$9&gt;=20/24</formula>
    </cfRule>
    <cfRule type="expression" dxfId="2175" priority="111">
      <formula>AND(L$9&gt;=14/24,L$9&lt;20/24)</formula>
    </cfRule>
    <cfRule type="expression" dxfId="2174" priority="112">
      <formula>AND(L$9&gt;=8/24,L$9&lt;14/24)</formula>
    </cfRule>
    <cfRule type="expression" dxfId="2173" priority="113">
      <formula>L$9&lt;8/24</formula>
    </cfRule>
  </conditionalFormatting>
  <conditionalFormatting sqref="L49:V49">
    <cfRule type="expression" dxfId="2172" priority="105">
      <formula>L$9&gt;=20/24</formula>
    </cfRule>
    <cfRule type="expression" dxfId="2171" priority="106">
      <formula>AND(L$9&gt;=14/24,L$9&lt;20/24)</formula>
    </cfRule>
    <cfRule type="expression" dxfId="2170" priority="107">
      <formula>AND(L$9&gt;=8/24,L$9&lt;14/24)</formula>
    </cfRule>
    <cfRule type="expression" dxfId="2169" priority="108">
      <formula>L$9&lt;8/24</formula>
    </cfRule>
  </conditionalFormatting>
  <conditionalFormatting sqref="L49:V49">
    <cfRule type="expression" dxfId="2168" priority="104">
      <formula>L49&gt;$AG49</formula>
    </cfRule>
  </conditionalFormatting>
  <conditionalFormatting sqref="B99:B105 B78:AF78 B87:AF87 B11:K11">
    <cfRule type="expression" dxfId="2167" priority="91">
      <formula>B$9&gt;=20/24</formula>
    </cfRule>
    <cfRule type="expression" dxfId="2166" priority="92">
      <formula>AND(B$9&gt;=14/24,B$9&lt;20/24)</formula>
    </cfRule>
    <cfRule type="expression" dxfId="2165" priority="93">
      <formula>AND(B$9&gt;=8/24,B$9&lt;14/24)</formula>
    </cfRule>
    <cfRule type="expression" dxfId="2164" priority="94">
      <formula>B$9&lt;8/24</formula>
    </cfRule>
  </conditionalFormatting>
  <conditionalFormatting sqref="B37:K37">
    <cfRule type="expression" dxfId="2163" priority="87">
      <formula>B$9&gt;=20/24</formula>
    </cfRule>
    <cfRule type="expression" dxfId="2162" priority="88">
      <formula>AND(B$9&gt;=14/24,B$9&lt;20/24)</formula>
    </cfRule>
    <cfRule type="expression" dxfId="2161" priority="89">
      <formula>AND(B$9&gt;=8/24,B$9&lt;14/24)</formula>
    </cfRule>
    <cfRule type="expression" dxfId="2160" priority="90">
      <formula>B$9&lt;8/24</formula>
    </cfRule>
  </conditionalFormatting>
  <conditionalFormatting sqref="B37:K37 B11:K11">
    <cfRule type="expression" dxfId="2159" priority="86">
      <formula>B11&gt;$AG11</formula>
    </cfRule>
  </conditionalFormatting>
  <conditionalFormatting sqref="B89">
    <cfRule type="expression" dxfId="2158" priority="82">
      <formula>B$9&gt;=20/24</formula>
    </cfRule>
    <cfRule type="expression" dxfId="2157" priority="83">
      <formula>AND(B$9&gt;=14/24,B$9&lt;20/24)</formula>
    </cfRule>
    <cfRule type="expression" dxfId="2156" priority="84">
      <formula>AND(B$9&gt;=8/24,B$9&lt;14/24)</formula>
    </cfRule>
    <cfRule type="expression" dxfId="2155" priority="85">
      <formula>B$9&lt;8/24</formula>
    </cfRule>
  </conditionalFormatting>
  <conditionalFormatting sqref="B61:D61 B44:K45 B36:AF36">
    <cfRule type="expression" dxfId="2154" priority="78">
      <formula>B$9&gt;=20/24</formula>
    </cfRule>
    <cfRule type="expression" dxfId="2153" priority="79">
      <formula>AND(B$9&gt;=14/24,B$9&lt;20/24)</formula>
    </cfRule>
    <cfRule type="expression" dxfId="2152" priority="80">
      <formula>AND(B$9&gt;=8/24,B$9&lt;14/24)</formula>
    </cfRule>
    <cfRule type="expression" dxfId="2151" priority="81">
      <formula>B$9&lt;8/24</formula>
    </cfRule>
  </conditionalFormatting>
  <conditionalFormatting sqref="B43:K43">
    <cfRule type="expression" dxfId="2150" priority="74">
      <formula>B$9&gt;=20/24</formula>
    </cfRule>
    <cfRule type="expression" dxfId="2149" priority="75">
      <formula>AND(B$9&gt;=14/24,B$9&lt;20/24)</formula>
    </cfRule>
    <cfRule type="expression" dxfId="2148" priority="76">
      <formula>AND(B$9&gt;=8/24,B$9&lt;14/24)</formula>
    </cfRule>
    <cfRule type="expression" dxfId="2147" priority="77">
      <formula>B$9&lt;8/24</formula>
    </cfRule>
  </conditionalFormatting>
  <conditionalFormatting sqref="B43:K45 B36:AF36">
    <cfRule type="expression" dxfId="2146" priority="73">
      <formula>B36&gt;$AG36</formula>
    </cfRule>
  </conditionalFormatting>
  <conditionalFormatting sqref="B90:B96 B57:B60 B73:B77 B79:AF79 B86 C60:AG60 C77:AG77 B88:AF88 B62:D65 E64:F65 B12:K14 B16:K16 G65:K65 B67:K71 B66:L66 B18:AF22 B24:AF26 B28:AF30 B32:AF32">
    <cfRule type="expression" dxfId="2145" priority="69">
      <formula>B$9&gt;=20/24</formula>
    </cfRule>
    <cfRule type="expression" dxfId="2144" priority="70">
      <formula>AND(B$9&gt;=14/24,B$9&lt;20/24)</formula>
    </cfRule>
    <cfRule type="expression" dxfId="2143" priority="71">
      <formula>AND(B$9&gt;=8/24,B$9&lt;14/24)</formula>
    </cfRule>
    <cfRule type="expression" dxfId="2142" priority="72">
      <formula>B$9&lt;8/24</formula>
    </cfRule>
  </conditionalFormatting>
  <conditionalFormatting sqref="B33:AF33">
    <cfRule type="expression" dxfId="2141" priority="65">
      <formula>B$9&gt;=20/24</formula>
    </cfRule>
    <cfRule type="expression" dxfId="2140" priority="66">
      <formula>AND(B$9&gt;=14/24,B$9&lt;20/24)</formula>
    </cfRule>
    <cfRule type="expression" dxfId="2139" priority="67">
      <formula>AND(B$9&gt;=8/24,B$9&lt;14/24)</formula>
    </cfRule>
    <cfRule type="expression" dxfId="2138" priority="68">
      <formula>B$9&lt;8/24</formula>
    </cfRule>
  </conditionalFormatting>
  <conditionalFormatting sqref="B55:B60 B38:AG38 C56:AG56 C60:AG60 B46:K47 B18:AF22 B24:AF30 B32:AF33">
    <cfRule type="expression" dxfId="2137" priority="64">
      <formula>B18&gt;$AG18</formula>
    </cfRule>
  </conditionalFormatting>
  <conditionalFormatting sqref="B35:AF35">
    <cfRule type="expression" dxfId="2136" priority="60">
      <formula>B$9&gt;=20/24</formula>
    </cfRule>
    <cfRule type="expression" dxfId="2135" priority="61">
      <formula>AND(B$9&gt;=14/24,B$9&lt;20/24)</formula>
    </cfRule>
    <cfRule type="expression" dxfId="2134" priority="62">
      <formula>AND(B$9&gt;=8/24,B$9&lt;14/24)</formula>
    </cfRule>
    <cfRule type="expression" dxfId="2133" priority="63">
      <formula>B$9&lt;8/24</formula>
    </cfRule>
  </conditionalFormatting>
  <conditionalFormatting sqref="B15:K15">
    <cfRule type="expression" dxfId="2132" priority="56">
      <formula>B$9&gt;=20/24</formula>
    </cfRule>
    <cfRule type="expression" dxfId="2131" priority="57">
      <formula>AND(B$9&gt;=14/24,B$9&lt;20/24)</formula>
    </cfRule>
    <cfRule type="expression" dxfId="2130" priority="58">
      <formula>AND(B$9&gt;=8/24,B$9&lt;14/24)</formula>
    </cfRule>
    <cfRule type="expression" dxfId="2129" priority="59">
      <formula>B$9&lt;8/24</formula>
    </cfRule>
  </conditionalFormatting>
  <conditionalFormatting sqref="B34:AF34">
    <cfRule type="expression" dxfId="2128" priority="52">
      <formula>B$9&gt;=20/24</formula>
    </cfRule>
    <cfRule type="expression" dxfId="2127" priority="53">
      <formula>AND(B$9&gt;=14/24,B$9&lt;20/24)</formula>
    </cfRule>
    <cfRule type="expression" dxfId="2126" priority="54">
      <formula>AND(B$9&gt;=8/24,B$9&lt;14/24)</formula>
    </cfRule>
    <cfRule type="expression" dxfId="2125" priority="55">
      <formula>B$9&lt;8/24</formula>
    </cfRule>
  </conditionalFormatting>
  <conditionalFormatting sqref="B34:AF34">
    <cfRule type="expression" dxfId="2124" priority="51">
      <formula>B34&gt;$AG34</formula>
    </cfRule>
  </conditionalFormatting>
  <conditionalFormatting sqref="B48:K49 B50:V54">
    <cfRule type="expression" dxfId="2123" priority="47">
      <formula>B$9&gt;=20/24</formula>
    </cfRule>
    <cfRule type="expression" dxfId="2122" priority="48">
      <formula>AND(B$9&gt;=14/24,B$9&lt;20/24)</formula>
    </cfRule>
    <cfRule type="expression" dxfId="2121" priority="49">
      <formula>AND(B$9&gt;=8/24,B$9&lt;14/24)</formula>
    </cfRule>
    <cfRule type="expression" dxfId="2120" priority="50">
      <formula>B$9&lt;8/24</formula>
    </cfRule>
  </conditionalFormatting>
  <conditionalFormatting sqref="B48:K49 B50:V54">
    <cfRule type="expression" dxfId="2119" priority="46">
      <formula>B48&gt;$AG48</formula>
    </cfRule>
  </conditionalFormatting>
  <conditionalFormatting sqref="B27:AF27">
    <cfRule type="expression" dxfId="2118" priority="42">
      <formula>B$9&gt;=20/24</formula>
    </cfRule>
    <cfRule type="expression" dxfId="2117" priority="43">
      <formula>AND(B$9&gt;=14/24,B$9&lt;20/24)</formula>
    </cfRule>
    <cfRule type="expression" dxfId="2116" priority="44">
      <formula>AND(B$9&gt;=8/24,B$9&lt;14/24)</formula>
    </cfRule>
    <cfRule type="expression" dxfId="2115" priority="45">
      <formula>B$9&lt;8/24</formula>
    </cfRule>
  </conditionalFormatting>
  <conditionalFormatting sqref="B17:K17 B23:AF23">
    <cfRule type="expression" dxfId="2114" priority="38">
      <formula>B$9&gt;=20/24</formula>
    </cfRule>
    <cfRule type="expression" dxfId="2113" priority="39">
      <formula>AND(B$9&gt;=14/24,B$9&lt;20/24)</formula>
    </cfRule>
    <cfRule type="expression" dxfId="2112" priority="40">
      <formula>AND(B$9&gt;=8/24,B$9&lt;14/24)</formula>
    </cfRule>
    <cfRule type="expression" dxfId="2111" priority="41">
      <formula>B$9&lt;8/24</formula>
    </cfRule>
  </conditionalFormatting>
  <conditionalFormatting sqref="B17:K17 B23:AF23">
    <cfRule type="expression" dxfId="2110" priority="37">
      <formula>B17&gt;$AG17</formula>
    </cfRule>
  </conditionalFormatting>
  <conditionalFormatting sqref="A34">
    <cfRule type="expression" dxfId="2109" priority="36">
      <formula>$AH34=0</formula>
    </cfRule>
  </conditionalFormatting>
  <conditionalFormatting sqref="B72:AF72">
    <cfRule type="expression" dxfId="2108" priority="32">
      <formula>B$9&gt;=20/24</formula>
    </cfRule>
    <cfRule type="expression" dxfId="2107" priority="33">
      <formula>AND(B$9&gt;=14/24,B$9&lt;20/24)</formula>
    </cfRule>
    <cfRule type="expression" dxfId="2106" priority="34">
      <formula>AND(B$9&gt;=8/24,B$9&lt;14/24)</formula>
    </cfRule>
    <cfRule type="expression" dxfId="2105" priority="35">
      <formula>B$9&lt;8/24</formula>
    </cfRule>
  </conditionalFormatting>
  <conditionalFormatting sqref="B81:AF85">
    <cfRule type="expression" dxfId="2104" priority="28">
      <formula>B$9&gt;=20/24</formula>
    </cfRule>
    <cfRule type="expression" dxfId="2103" priority="29">
      <formula>AND(B$9&gt;=14/24,B$9&lt;20/24)</formula>
    </cfRule>
    <cfRule type="expression" dxfId="2102" priority="30">
      <formula>AND(B$9&gt;=8/24,B$9&lt;14/24)</formula>
    </cfRule>
    <cfRule type="expression" dxfId="2101" priority="31">
      <formula>B$9&lt;8/24</formula>
    </cfRule>
  </conditionalFormatting>
  <conditionalFormatting sqref="AL35 AL7:AL30 AL32">
    <cfRule type="iconSet" priority="247">
      <iconSet iconSet="3TrafficLights2" reverse="1">
        <cfvo type="percent" val="0"/>
        <cfvo type="num" val="1"/>
        <cfvo type="num" val="1"/>
      </iconSet>
    </cfRule>
  </conditionalFormatting>
  <conditionalFormatting sqref="L39:AF41">
    <cfRule type="expression" dxfId="2100" priority="24">
      <formula>L$9&gt;=20/24</formula>
    </cfRule>
    <cfRule type="expression" dxfId="2099" priority="25">
      <formula>AND(L$9&gt;=14/24,L$9&lt;20/24)</formula>
    </cfRule>
    <cfRule type="expression" dxfId="2098" priority="26">
      <formula>AND(L$9&gt;=8/24,L$9&lt;14/24)</formula>
    </cfRule>
    <cfRule type="expression" dxfId="2097" priority="27">
      <formula>L$9&lt;8/24</formula>
    </cfRule>
  </conditionalFormatting>
  <conditionalFormatting sqref="L39:AF41">
    <cfRule type="expression" dxfId="2096" priority="23">
      <formula>L39&gt;$AG39</formula>
    </cfRule>
  </conditionalFormatting>
  <conditionalFormatting sqref="B39:B42 C42:AG42 C39:K41">
    <cfRule type="expression" dxfId="2095" priority="19">
      <formula>B$9&gt;=20/24</formula>
    </cfRule>
    <cfRule type="expression" dxfId="2094" priority="20">
      <formula>AND(B$9&gt;=14/24,B$9&lt;20/24)</formula>
    </cfRule>
    <cfRule type="expression" dxfId="2093" priority="21">
      <formula>AND(B$9&gt;=8/24,B$9&lt;14/24)</formula>
    </cfRule>
    <cfRule type="expression" dxfId="2092" priority="22">
      <formula>B$9&lt;8/24</formula>
    </cfRule>
  </conditionalFormatting>
  <conditionalFormatting sqref="B39:B42 C42:AG42 C39:K41">
    <cfRule type="expression" dxfId="2091" priority="18">
      <formula>B39&gt;$AG39</formula>
    </cfRule>
  </conditionalFormatting>
  <conditionalFormatting sqref="C97:AF97">
    <cfRule type="expression" dxfId="2090" priority="14">
      <formula>C$9&gt;=20/24</formula>
    </cfRule>
    <cfRule type="expression" dxfId="2089" priority="15">
      <formula>AND(C$9&gt;=14/24,C$9&lt;20/24)</formula>
    </cfRule>
    <cfRule type="expression" dxfId="2088" priority="16">
      <formula>AND(C$9&gt;=8/24,C$9&lt;14/24)</formula>
    </cfRule>
    <cfRule type="expression" dxfId="2087" priority="17">
      <formula>C$9&lt;8/24</formula>
    </cfRule>
  </conditionalFormatting>
  <conditionalFormatting sqref="B97">
    <cfRule type="expression" dxfId="2086" priority="10">
      <formula>B$9&gt;=20/24</formula>
    </cfRule>
    <cfRule type="expression" dxfId="2085" priority="11">
      <formula>AND(B$9&gt;=14/24,B$9&lt;20/24)</formula>
    </cfRule>
    <cfRule type="expression" dxfId="2084" priority="12">
      <formula>AND(B$9&gt;=8/24,B$9&lt;14/24)</formula>
    </cfRule>
    <cfRule type="expression" dxfId="2083" priority="13">
      <formula>B$9&lt;8/24</formula>
    </cfRule>
  </conditionalFormatting>
  <conditionalFormatting sqref="AL31">
    <cfRule type="iconSet" priority="9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2082" priority="3">
      <formula>$AH31=0</formula>
    </cfRule>
  </conditionalFormatting>
  <conditionalFormatting sqref="A80">
    <cfRule type="expression" dxfId="2081" priority="1">
      <formula>$AH80=0</formula>
    </cfRule>
  </conditionalFormatting>
  <conditionalFormatting sqref="A77">
    <cfRule type="expression" dxfId="2080" priority="2">
      <formula>$AH77=0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060F2EF1-330F-40C0-B4CB-100F5AE17809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" id="{C38BF1BD-FCD4-44A8-81A3-6231891C0366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" id="{AA1A23AB-3CF4-4DDE-9B7F-0BD086CC2233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" id="{EE9E8B2E-C2E8-4B8B-922D-B4D8A33F694E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4" id="{5AADD937-1921-4EC6-AB9D-3E1415A7891A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2"/>
  <sheetViews>
    <sheetView zoomScale="90" zoomScaleNormal="90" workbookViewId="0">
      <pane xSplit="1" ySplit="10" topLeftCell="B92" activePane="bottomRight" state="frozen"/>
      <selection activeCell="AF88" sqref="AF88"/>
      <selection pane="topRight" activeCell="AF88" sqref="AF88"/>
      <selection pane="bottomLeft" activeCell="AF88" sqref="AF88"/>
      <selection pane="bottomRight" activeCell="V63" sqref="V63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2079/02/24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("&amp;ROUND(B237,0)&amp;" MW)"&amp;"    IPP   = "&amp;ROUND(B232,0)&amp;" MW     NEA RoR = "&amp;ROUND(B233,0)&amp;" MWImport   = "&amp;ROUND(B235,0)&amp;" MW      KL1+KL2+K3 = "&amp;ROUND(B234,0) &amp;" MW    EXPORT = "&amp;ROUND(B236,0)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84.3</v>
      </c>
      <c r="C5" s="32">
        <f t="shared" si="0"/>
        <v>73</v>
      </c>
      <c r="D5" s="32">
        <f t="shared" si="0"/>
        <v>34.299999999999997</v>
      </c>
      <c r="E5" s="32">
        <f t="shared" si="0"/>
        <v>31</v>
      </c>
      <c r="F5" s="32">
        <f t="shared" si="0"/>
        <v>17</v>
      </c>
      <c r="G5" s="32">
        <f t="shared" si="0"/>
        <v>15.9</v>
      </c>
      <c r="H5" s="32">
        <f t="shared" si="0"/>
        <v>9.3000000000000007</v>
      </c>
      <c r="I5" s="32">
        <f t="shared" si="0"/>
        <v>30.3</v>
      </c>
      <c r="J5" s="32">
        <f t="shared" si="0"/>
        <v>27.3</v>
      </c>
      <c r="K5" s="32">
        <f t="shared" si="0"/>
        <v>46.3</v>
      </c>
      <c r="L5" s="32">
        <f t="shared" si="0"/>
        <v>39.200000000000003</v>
      </c>
      <c r="M5" s="32">
        <f t="shared" si="0"/>
        <v>37.299999999999997</v>
      </c>
      <c r="N5" s="32">
        <f t="shared" si="0"/>
        <v>27.5</v>
      </c>
      <c r="O5" s="32">
        <f t="shared" si="0"/>
        <v>34.5</v>
      </c>
      <c r="P5" s="32">
        <f t="shared" si="0"/>
        <v>55</v>
      </c>
      <c r="Q5" s="32">
        <f t="shared" si="0"/>
        <v>32</v>
      </c>
      <c r="R5" s="32">
        <f t="shared" si="0"/>
        <v>31.3</v>
      </c>
      <c r="S5" s="32">
        <f t="shared" si="0"/>
        <v>35.799999999999997</v>
      </c>
      <c r="T5" s="32">
        <f t="shared" si="0"/>
        <v>31.5</v>
      </c>
      <c r="U5" s="32">
        <f t="shared" si="0"/>
        <v>21</v>
      </c>
      <c r="V5" s="32">
        <f t="shared" si="0"/>
        <v>19.2</v>
      </c>
      <c r="W5" s="32">
        <f t="shared" si="0"/>
        <v>20</v>
      </c>
      <c r="X5" s="32">
        <f t="shared" si="0"/>
        <v>20</v>
      </c>
      <c r="Y5" s="32">
        <f t="shared" si="0"/>
        <v>44.1</v>
      </c>
      <c r="Z5" s="32">
        <f t="shared" si="0"/>
        <v>52.1</v>
      </c>
      <c r="AA5" s="32">
        <f t="shared" si="0"/>
        <v>69</v>
      </c>
      <c r="AB5" s="32">
        <f t="shared" si="0"/>
        <v>47.7</v>
      </c>
      <c r="AC5" s="32">
        <f t="shared" si="0"/>
        <v>48.9</v>
      </c>
      <c r="AD5" s="32">
        <f t="shared" si="0"/>
        <v>48</v>
      </c>
      <c r="AE5" s="32">
        <f t="shared" si="0"/>
        <v>35</v>
      </c>
      <c r="AF5" s="32">
        <f>B72</f>
        <v>85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"&amp;ROUND(B237,0)&amp;"MW at "&amp;TRUNC(B238*24,0)&amp;":"&amp;ROUND((B238*24-TRUNC(B238*24,0))*60,0)&amp;"hr at "&amp;ROUND(B239,1)&amp;"Hz     "&amp;A229&amp;" "&amp;ROUND(B229,0)&amp;"MW at "&amp;TRUNC(C229*24,0)&amp;":"&amp;ROUND((C229*24-TRUNC(C229*24,0))*6,0)&amp;"0hr"</f>
        <v>Evening Peak 0MW at 0:0hr at 0Hz     Morning Peak 1849MW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Load=1650</v>
      </c>
      <c r="B7" s="37">
        <f>B79</f>
        <v>1808.8400000000001</v>
      </c>
      <c r="C7" s="37">
        <f t="shared" ref="C7:AF7" si="1">C79</f>
        <v>1760.94</v>
      </c>
      <c r="D7" s="37">
        <f t="shared" si="1"/>
        <v>1752.5400000000002</v>
      </c>
      <c r="E7" s="37">
        <f t="shared" si="1"/>
        <v>1765.3400000000001</v>
      </c>
      <c r="F7" s="37">
        <f t="shared" si="1"/>
        <v>1723.94</v>
      </c>
      <c r="G7" s="37">
        <f t="shared" si="1"/>
        <v>1719.0400000000002</v>
      </c>
      <c r="H7" s="37">
        <f t="shared" si="1"/>
        <v>1649.9400000000003</v>
      </c>
      <c r="I7" s="37">
        <f t="shared" si="1"/>
        <v>1729.24</v>
      </c>
      <c r="J7" s="37">
        <f t="shared" si="1"/>
        <v>1759.34</v>
      </c>
      <c r="K7" s="37">
        <f t="shared" si="1"/>
        <v>1812.24</v>
      </c>
      <c r="L7" s="37">
        <f t="shared" si="1"/>
        <v>1807.5400000000002</v>
      </c>
      <c r="M7" s="37">
        <f t="shared" si="1"/>
        <v>1849.4100000000003</v>
      </c>
      <c r="N7" s="37">
        <f t="shared" si="1"/>
        <v>1772.74</v>
      </c>
      <c r="O7" s="37">
        <f t="shared" si="1"/>
        <v>1796.5400000000002</v>
      </c>
      <c r="P7" s="37">
        <f t="shared" si="1"/>
        <v>1797.8400000000001</v>
      </c>
      <c r="Q7" s="37">
        <f t="shared" si="1"/>
        <v>1787.84</v>
      </c>
      <c r="R7" s="37">
        <f t="shared" si="1"/>
        <v>1797.04</v>
      </c>
      <c r="S7" s="37">
        <f t="shared" si="1"/>
        <v>1804.6399999999999</v>
      </c>
      <c r="T7" s="37">
        <f t="shared" si="1"/>
        <v>1802.04</v>
      </c>
      <c r="U7" s="37">
        <f t="shared" si="1"/>
        <v>1807.44</v>
      </c>
      <c r="V7" s="37">
        <f t="shared" si="1"/>
        <v>1772.94</v>
      </c>
      <c r="W7" s="37">
        <f t="shared" si="1"/>
        <v>1761.14</v>
      </c>
      <c r="X7" s="37">
        <f t="shared" si="1"/>
        <v>1761.94</v>
      </c>
      <c r="Y7" s="37">
        <f t="shared" si="1"/>
        <v>1761.94</v>
      </c>
      <c r="Z7" s="37">
        <f t="shared" si="1"/>
        <v>1830.34</v>
      </c>
      <c r="AA7" s="37">
        <f t="shared" si="1"/>
        <v>1910.7399999999998</v>
      </c>
      <c r="AB7" s="37">
        <f t="shared" si="1"/>
        <v>1864.8400000000001</v>
      </c>
      <c r="AC7" s="37">
        <f t="shared" si="1"/>
        <v>1886.8400000000001</v>
      </c>
      <c r="AD7" s="37">
        <f t="shared" si="1"/>
        <v>1893.54</v>
      </c>
      <c r="AE7" s="37">
        <f t="shared" si="1"/>
        <v>1851.44</v>
      </c>
      <c r="AF7" s="37">
        <f t="shared" si="1"/>
        <v>1824.3400000000001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179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0">
        <v>54</v>
      </c>
      <c r="C11" s="50">
        <v>54</v>
      </c>
      <c r="D11" s="50">
        <v>54</v>
      </c>
      <c r="E11" s="50">
        <v>54</v>
      </c>
      <c r="F11" s="50">
        <v>54</v>
      </c>
      <c r="G11" s="50">
        <v>54</v>
      </c>
      <c r="H11" s="50">
        <v>54</v>
      </c>
      <c r="I11" s="50">
        <v>54</v>
      </c>
      <c r="J11" s="50">
        <v>54</v>
      </c>
      <c r="K11" s="50">
        <v>54</v>
      </c>
      <c r="L11" s="50">
        <v>54</v>
      </c>
      <c r="M11" s="50">
        <v>53.9</v>
      </c>
      <c r="N11" s="50">
        <v>53.9</v>
      </c>
      <c r="O11" s="50">
        <v>53.9</v>
      </c>
      <c r="P11" s="50">
        <v>53.9</v>
      </c>
      <c r="Q11" s="50">
        <v>53.9</v>
      </c>
      <c r="R11" s="50">
        <v>53.9</v>
      </c>
      <c r="S11" s="50">
        <v>53.9</v>
      </c>
      <c r="T11" s="50">
        <v>53.9</v>
      </c>
      <c r="U11" s="50">
        <v>53.9</v>
      </c>
      <c r="V11" s="50">
        <v>53.9</v>
      </c>
      <c r="W11" s="50">
        <v>53.9</v>
      </c>
      <c r="X11" s="50">
        <v>53.9</v>
      </c>
      <c r="Y11" s="50">
        <v>53.9</v>
      </c>
      <c r="Z11" s="50">
        <v>53.9</v>
      </c>
      <c r="AA11" s="50">
        <v>53.9</v>
      </c>
      <c r="AB11" s="50">
        <v>53.9</v>
      </c>
      <c r="AC11" s="50">
        <v>53.9</v>
      </c>
      <c r="AD11" s="50">
        <v>53.9</v>
      </c>
      <c r="AE11" s="50">
        <v>53.8</v>
      </c>
      <c r="AF11" s="50">
        <v>53.8</v>
      </c>
      <c r="AG11" s="133">
        <v>52.4</v>
      </c>
      <c r="AH11" s="54">
        <f>MAX(B11:AF11)</f>
        <v>54</v>
      </c>
      <c r="AI11" s="55">
        <f>MIN(B11:AF11)</f>
        <v>53.8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50.5</v>
      </c>
      <c r="C12" s="50">
        <v>50.5</v>
      </c>
      <c r="D12" s="50">
        <v>50.5</v>
      </c>
      <c r="E12" s="50">
        <v>50.5</v>
      </c>
      <c r="F12" s="50">
        <v>50.5</v>
      </c>
      <c r="G12" s="50">
        <v>50.5</v>
      </c>
      <c r="H12" s="50">
        <v>50.5</v>
      </c>
      <c r="I12" s="50">
        <v>50.5</v>
      </c>
      <c r="J12" s="50">
        <v>50.5</v>
      </c>
      <c r="K12" s="50">
        <v>50.5</v>
      </c>
      <c r="L12" s="50">
        <v>50.5</v>
      </c>
      <c r="M12" s="50">
        <v>50.3</v>
      </c>
      <c r="N12" s="50">
        <v>50.3</v>
      </c>
      <c r="O12" s="50">
        <v>50.3</v>
      </c>
      <c r="P12" s="50">
        <v>50.3</v>
      </c>
      <c r="Q12" s="50">
        <v>50.4</v>
      </c>
      <c r="R12" s="50">
        <v>50.6</v>
      </c>
      <c r="S12" s="50">
        <v>50.6</v>
      </c>
      <c r="T12" s="50">
        <v>50.6</v>
      </c>
      <c r="U12" s="50">
        <v>50.6</v>
      </c>
      <c r="V12" s="50">
        <v>50.6</v>
      </c>
      <c r="W12" s="50">
        <v>50.6</v>
      </c>
      <c r="X12" s="50">
        <v>50.6</v>
      </c>
      <c r="Y12" s="50">
        <v>50.6</v>
      </c>
      <c r="Z12" s="50">
        <v>50.4</v>
      </c>
      <c r="AA12" s="50">
        <v>50.4</v>
      </c>
      <c r="AB12" s="50">
        <v>50.4</v>
      </c>
      <c r="AC12" s="50">
        <v>50.4</v>
      </c>
      <c r="AD12" s="50">
        <v>50.4</v>
      </c>
      <c r="AE12" s="50">
        <v>50.2</v>
      </c>
      <c r="AF12" s="50">
        <v>50.5</v>
      </c>
      <c r="AG12" s="134">
        <v>50</v>
      </c>
      <c r="AH12" s="54">
        <f t="shared" ref="AH12:AH79" si="2">MAX(B12:AF12)</f>
        <v>50.6</v>
      </c>
      <c r="AI12" s="55">
        <f t="shared" ref="AI12:AI79" si="3">MIN(B12:AF12)</f>
        <v>50.2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45.7</v>
      </c>
      <c r="C13" s="50">
        <v>45.7</v>
      </c>
      <c r="D13" s="50">
        <v>45.7</v>
      </c>
      <c r="E13" s="50">
        <v>45.7</v>
      </c>
      <c r="F13" s="50">
        <v>45.7</v>
      </c>
      <c r="G13" s="50">
        <v>45.7</v>
      </c>
      <c r="H13" s="50">
        <v>45.7</v>
      </c>
      <c r="I13" s="50">
        <v>45.7</v>
      </c>
      <c r="J13" s="50">
        <v>45.7</v>
      </c>
      <c r="K13" s="50">
        <v>45.7</v>
      </c>
      <c r="L13" s="50">
        <v>22</v>
      </c>
      <c r="M13" s="50">
        <v>45.8</v>
      </c>
      <c r="N13" s="50">
        <v>45.8</v>
      </c>
      <c r="O13" s="50">
        <v>45.8</v>
      </c>
      <c r="P13" s="50">
        <v>45.8</v>
      </c>
      <c r="Q13" s="50">
        <v>45.9</v>
      </c>
      <c r="R13" s="50">
        <v>45.9</v>
      </c>
      <c r="S13" s="50">
        <v>45.9</v>
      </c>
      <c r="T13" s="50">
        <v>45.9</v>
      </c>
      <c r="U13" s="50">
        <v>45.9</v>
      </c>
      <c r="V13" s="50">
        <v>45.9</v>
      </c>
      <c r="W13" s="50">
        <v>45.9</v>
      </c>
      <c r="X13" s="50">
        <v>45.9</v>
      </c>
      <c r="Y13" s="50">
        <v>45.9</v>
      </c>
      <c r="Z13" s="50">
        <v>45.9</v>
      </c>
      <c r="AA13" s="50">
        <v>45.9</v>
      </c>
      <c r="AB13" s="50">
        <v>45.9</v>
      </c>
      <c r="AC13" s="50">
        <v>45.9</v>
      </c>
      <c r="AD13" s="50">
        <v>46</v>
      </c>
      <c r="AE13" s="50">
        <v>46</v>
      </c>
      <c r="AF13" s="50">
        <v>46</v>
      </c>
      <c r="AG13" s="134">
        <v>45</v>
      </c>
      <c r="AH13" s="54">
        <f t="shared" si="2"/>
        <v>46</v>
      </c>
      <c r="AI13" s="55">
        <f t="shared" si="3"/>
        <v>22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39</v>
      </c>
      <c r="C14" s="50">
        <v>35</v>
      </c>
      <c r="D14" s="50">
        <v>35</v>
      </c>
      <c r="E14" s="50">
        <v>35</v>
      </c>
      <c r="F14" s="50">
        <v>30</v>
      </c>
      <c r="G14" s="50">
        <v>30</v>
      </c>
      <c r="H14" s="50">
        <v>36</v>
      </c>
      <c r="I14" s="50">
        <v>36</v>
      </c>
      <c r="J14" s="50">
        <v>36</v>
      </c>
      <c r="K14" s="50">
        <v>36</v>
      </c>
      <c r="L14" s="50">
        <v>36</v>
      </c>
      <c r="M14" s="50">
        <v>28</v>
      </c>
      <c r="N14" s="50">
        <v>40</v>
      </c>
      <c r="O14" s="50">
        <v>28</v>
      </c>
      <c r="P14" s="50">
        <v>28</v>
      </c>
      <c r="Q14" s="50">
        <v>26</v>
      </c>
      <c r="R14" s="50">
        <v>26</v>
      </c>
      <c r="S14" s="50">
        <v>26</v>
      </c>
      <c r="T14" s="50">
        <v>26</v>
      </c>
      <c r="U14" s="50">
        <v>35</v>
      </c>
      <c r="V14" s="50">
        <v>26</v>
      </c>
      <c r="W14" s="50">
        <v>26</v>
      </c>
      <c r="X14" s="50">
        <v>26</v>
      </c>
      <c r="Y14" s="50">
        <v>26</v>
      </c>
      <c r="Z14" s="50">
        <v>40</v>
      </c>
      <c r="AA14" s="50">
        <v>40</v>
      </c>
      <c r="AB14" s="50">
        <v>40</v>
      </c>
      <c r="AC14" s="50">
        <v>40</v>
      </c>
      <c r="AD14" s="50">
        <v>40</v>
      </c>
      <c r="AE14" s="50">
        <v>40</v>
      </c>
      <c r="AF14" s="50">
        <v>40</v>
      </c>
      <c r="AG14" s="134">
        <v>42</v>
      </c>
      <c r="AH14" s="54">
        <f t="shared" si="2"/>
        <v>40</v>
      </c>
      <c r="AI14" s="55">
        <f t="shared" si="3"/>
        <v>26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15</v>
      </c>
      <c r="C15" s="50">
        <v>15</v>
      </c>
      <c r="D15" s="50">
        <v>15</v>
      </c>
      <c r="E15" s="50">
        <v>15</v>
      </c>
      <c r="F15" s="50">
        <v>20</v>
      </c>
      <c r="G15" s="50">
        <v>30</v>
      </c>
      <c r="H15" s="50">
        <v>30</v>
      </c>
      <c r="I15" s="50">
        <v>30</v>
      </c>
      <c r="J15" s="50">
        <v>30</v>
      </c>
      <c r="K15" s="50">
        <v>30</v>
      </c>
      <c r="L15" s="50">
        <v>30</v>
      </c>
      <c r="M15" s="50">
        <v>30</v>
      </c>
      <c r="N15" s="50">
        <v>30</v>
      </c>
      <c r="O15" s="50">
        <v>20</v>
      </c>
      <c r="P15" s="50">
        <v>24</v>
      </c>
      <c r="Q15" s="50">
        <v>0</v>
      </c>
      <c r="R15" s="50">
        <v>30</v>
      </c>
      <c r="S15" s="50">
        <v>30</v>
      </c>
      <c r="T15" s="50">
        <v>30</v>
      </c>
      <c r="U15" s="50">
        <v>30</v>
      </c>
      <c r="V15" s="50">
        <v>15</v>
      </c>
      <c r="W15" s="50">
        <v>5</v>
      </c>
      <c r="X15" s="50">
        <v>5</v>
      </c>
      <c r="Y15" s="50">
        <v>5</v>
      </c>
      <c r="Z15" s="50">
        <v>15.3</v>
      </c>
      <c r="AA15" s="50">
        <v>15.3</v>
      </c>
      <c r="AB15" s="50">
        <v>30</v>
      </c>
      <c r="AC15" s="50">
        <v>30</v>
      </c>
      <c r="AD15" s="50">
        <v>30</v>
      </c>
      <c r="AE15" s="50">
        <v>30</v>
      </c>
      <c r="AF15" s="50">
        <v>30</v>
      </c>
      <c r="AG15" s="135">
        <v>30</v>
      </c>
      <c r="AH15" s="54">
        <f t="shared" si="2"/>
        <v>30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26</v>
      </c>
      <c r="C16" s="50">
        <v>26</v>
      </c>
      <c r="D16" s="50">
        <v>26</v>
      </c>
      <c r="E16" s="50">
        <v>26</v>
      </c>
      <c r="F16" s="50">
        <v>26</v>
      </c>
      <c r="G16" s="50">
        <v>26</v>
      </c>
      <c r="H16" s="50">
        <v>26</v>
      </c>
      <c r="I16" s="50">
        <v>26</v>
      </c>
      <c r="J16" s="50">
        <v>26</v>
      </c>
      <c r="K16" s="50">
        <v>26</v>
      </c>
      <c r="L16" s="50">
        <v>26</v>
      </c>
      <c r="M16" s="50">
        <v>26.3</v>
      </c>
      <c r="N16" s="50">
        <v>26.3</v>
      </c>
      <c r="O16" s="50">
        <v>26.3</v>
      </c>
      <c r="P16" s="50">
        <v>26.3</v>
      </c>
      <c r="Q16" s="50">
        <v>26.4</v>
      </c>
      <c r="R16" s="50">
        <v>26.4</v>
      </c>
      <c r="S16" s="50">
        <v>26.4</v>
      </c>
      <c r="T16" s="50">
        <v>26.4</v>
      </c>
      <c r="U16" s="50">
        <v>26.4</v>
      </c>
      <c r="V16" s="50">
        <v>26.4</v>
      </c>
      <c r="W16" s="50">
        <v>26.4</v>
      </c>
      <c r="X16" s="50">
        <v>26.4</v>
      </c>
      <c r="Y16" s="50">
        <v>26.4</v>
      </c>
      <c r="Z16" s="50">
        <v>26.4</v>
      </c>
      <c r="AA16" s="50">
        <v>26.4</v>
      </c>
      <c r="AB16" s="50">
        <v>26.4</v>
      </c>
      <c r="AC16" s="50">
        <v>26.4</v>
      </c>
      <c r="AD16" s="50">
        <v>26.2</v>
      </c>
      <c r="AE16" s="50">
        <v>26.2</v>
      </c>
      <c r="AF16" s="50">
        <v>26.3</v>
      </c>
      <c r="AG16" s="134">
        <v>25</v>
      </c>
      <c r="AH16" s="54">
        <f t="shared" si="2"/>
        <v>26.4</v>
      </c>
      <c r="AI16" s="55">
        <f t="shared" si="3"/>
        <v>26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25</v>
      </c>
      <c r="D18" s="50">
        <v>25</v>
      </c>
      <c r="E18" s="50">
        <v>25</v>
      </c>
      <c r="F18" s="50">
        <v>25</v>
      </c>
      <c r="G18" s="50">
        <v>25</v>
      </c>
      <c r="H18" s="50">
        <v>25</v>
      </c>
      <c r="I18" s="50">
        <v>25</v>
      </c>
      <c r="J18" s="50">
        <v>25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25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33.299999999999997</v>
      </c>
      <c r="C19" s="50">
        <v>33.299999999999997</v>
      </c>
      <c r="D19" s="50">
        <v>33.299999999999997</v>
      </c>
      <c r="E19" s="50">
        <v>33.299999999999997</v>
      </c>
      <c r="F19" s="50">
        <v>33.299999999999997</v>
      </c>
      <c r="G19" s="50">
        <v>33.299999999999997</v>
      </c>
      <c r="H19" s="50">
        <v>33.299999999999997</v>
      </c>
      <c r="I19" s="50">
        <v>33.299999999999997</v>
      </c>
      <c r="J19" s="50">
        <v>33.299999999999997</v>
      </c>
      <c r="K19" s="50">
        <v>33.299999999999997</v>
      </c>
      <c r="L19" s="50">
        <v>33.299999999999997</v>
      </c>
      <c r="M19" s="50">
        <v>33.200000000000003</v>
      </c>
      <c r="N19" s="50">
        <v>33.200000000000003</v>
      </c>
      <c r="O19" s="50">
        <v>33.200000000000003</v>
      </c>
      <c r="P19" s="50">
        <v>24.8</v>
      </c>
      <c r="Q19" s="50">
        <v>24.8</v>
      </c>
      <c r="R19" s="50">
        <v>24.8</v>
      </c>
      <c r="S19" s="50">
        <v>24.8</v>
      </c>
      <c r="T19" s="50">
        <v>24.8</v>
      </c>
      <c r="U19" s="50">
        <v>24.8</v>
      </c>
      <c r="V19" s="50">
        <v>24.8</v>
      </c>
      <c r="W19" s="50">
        <v>24.8</v>
      </c>
      <c r="X19" s="50">
        <v>24.8</v>
      </c>
      <c r="Y19" s="50">
        <v>24.8</v>
      </c>
      <c r="Z19" s="50">
        <v>24.8</v>
      </c>
      <c r="AA19" s="50">
        <v>24.8</v>
      </c>
      <c r="AB19" s="50">
        <v>24.8</v>
      </c>
      <c r="AC19" s="50">
        <v>24.8</v>
      </c>
      <c r="AD19" s="50">
        <v>33.200000000000003</v>
      </c>
      <c r="AE19" s="50">
        <v>33.200000000000003</v>
      </c>
      <c r="AF19" s="50">
        <v>33.200000000000003</v>
      </c>
      <c r="AG19" s="134">
        <v>24.2</v>
      </c>
      <c r="AH19" s="54">
        <f t="shared" si="2"/>
        <v>33.299999999999997</v>
      </c>
      <c r="AI19" s="55">
        <f t="shared" si="3"/>
        <v>24.8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24.1</v>
      </c>
      <c r="C20" s="50">
        <v>24.1</v>
      </c>
      <c r="D20" s="50">
        <v>24.1</v>
      </c>
      <c r="E20" s="50">
        <v>24.1</v>
      </c>
      <c r="F20" s="50">
        <v>24.1</v>
      </c>
      <c r="G20" s="50">
        <v>24.1</v>
      </c>
      <c r="H20" s="50">
        <v>24.1</v>
      </c>
      <c r="I20" s="50">
        <v>24.1</v>
      </c>
      <c r="J20" s="50">
        <v>24.1</v>
      </c>
      <c r="K20" s="50">
        <v>24.1</v>
      </c>
      <c r="L20" s="50">
        <v>24.1</v>
      </c>
      <c r="M20" s="50">
        <v>19.600000000000001</v>
      </c>
      <c r="N20" s="50">
        <v>19.600000000000001</v>
      </c>
      <c r="O20" s="50">
        <v>19.600000000000001</v>
      </c>
      <c r="P20" s="50">
        <v>24.1</v>
      </c>
      <c r="Q20" s="50">
        <v>24.1</v>
      </c>
      <c r="R20" s="50">
        <v>24.1</v>
      </c>
      <c r="S20" s="50">
        <v>24.1</v>
      </c>
      <c r="T20" s="50">
        <v>24.1</v>
      </c>
      <c r="U20" s="50">
        <v>24.1</v>
      </c>
      <c r="V20" s="50">
        <v>24.1</v>
      </c>
      <c r="W20" s="50">
        <v>24.1</v>
      </c>
      <c r="X20" s="50">
        <v>24.1</v>
      </c>
      <c r="Y20" s="50">
        <v>24.1</v>
      </c>
      <c r="Z20" s="50">
        <v>24.1</v>
      </c>
      <c r="AA20" s="50">
        <v>24.1</v>
      </c>
      <c r="AB20" s="50">
        <v>24.1</v>
      </c>
      <c r="AC20" s="50">
        <v>24.1</v>
      </c>
      <c r="AD20" s="50">
        <v>24.1</v>
      </c>
      <c r="AE20" s="50">
        <v>24.3</v>
      </c>
      <c r="AF20" s="50">
        <v>24.3</v>
      </c>
      <c r="AG20" s="134">
        <v>23.5</v>
      </c>
      <c r="AH20" s="54">
        <f t="shared" si="2"/>
        <v>24.3</v>
      </c>
      <c r="AI20" s="55">
        <f t="shared" si="3"/>
        <v>19.600000000000001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16</v>
      </c>
      <c r="C21" s="50">
        <v>16</v>
      </c>
      <c r="D21" s="50">
        <v>16</v>
      </c>
      <c r="E21" s="50">
        <v>16</v>
      </c>
      <c r="F21" s="50">
        <v>16</v>
      </c>
      <c r="G21" s="50">
        <v>16</v>
      </c>
      <c r="H21" s="50">
        <v>16</v>
      </c>
      <c r="I21" s="50">
        <v>16</v>
      </c>
      <c r="J21" s="50">
        <v>16</v>
      </c>
      <c r="K21" s="50">
        <v>16</v>
      </c>
      <c r="L21" s="50">
        <v>16</v>
      </c>
      <c r="M21" s="50">
        <v>16</v>
      </c>
      <c r="N21" s="50">
        <v>16</v>
      </c>
      <c r="O21" s="50">
        <v>16</v>
      </c>
      <c r="P21" s="50">
        <v>16</v>
      </c>
      <c r="Q21" s="50">
        <v>16</v>
      </c>
      <c r="R21" s="50">
        <v>16</v>
      </c>
      <c r="S21" s="50">
        <v>16</v>
      </c>
      <c r="T21" s="50">
        <v>16</v>
      </c>
      <c r="U21" s="50">
        <v>16</v>
      </c>
      <c r="V21" s="50">
        <v>16</v>
      </c>
      <c r="W21" s="50">
        <v>16</v>
      </c>
      <c r="X21" s="50">
        <v>16</v>
      </c>
      <c r="Y21" s="50">
        <v>16</v>
      </c>
      <c r="Z21" s="50">
        <v>16</v>
      </c>
      <c r="AA21" s="50">
        <v>16</v>
      </c>
      <c r="AB21" s="50">
        <v>16</v>
      </c>
      <c r="AC21" s="50">
        <v>16</v>
      </c>
      <c r="AD21" s="50">
        <v>16</v>
      </c>
      <c r="AE21" s="50">
        <v>16</v>
      </c>
      <c r="AF21" s="50">
        <v>16</v>
      </c>
      <c r="AG21" s="134">
        <v>22.2</v>
      </c>
      <c r="AH21" s="54">
        <f t="shared" si="2"/>
        <v>16</v>
      </c>
      <c r="AI21" s="55">
        <f t="shared" si="3"/>
        <v>16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134">
        <v>22.1</v>
      </c>
      <c r="AH22" s="54">
        <f t="shared" si="2"/>
        <v>22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22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22</v>
      </c>
      <c r="AI24" s="55">
        <f t="shared" si="3"/>
        <v>22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0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134">
        <v>20</v>
      </c>
      <c r="AH25" s="54">
        <f t="shared" si="2"/>
        <v>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7.8</v>
      </c>
      <c r="C26" s="50">
        <v>7.8</v>
      </c>
      <c r="D26" s="50">
        <v>7.8</v>
      </c>
      <c r="E26" s="50">
        <v>7.8</v>
      </c>
      <c r="F26" s="50">
        <v>7.8</v>
      </c>
      <c r="G26" s="50">
        <v>7.8</v>
      </c>
      <c r="H26" s="50">
        <v>7.8</v>
      </c>
      <c r="I26" s="50">
        <v>7.8</v>
      </c>
      <c r="J26" s="50">
        <v>7.8</v>
      </c>
      <c r="K26" s="50">
        <v>7.8</v>
      </c>
      <c r="L26" s="50">
        <v>7.8</v>
      </c>
      <c r="M26" s="50">
        <v>7.8</v>
      </c>
      <c r="N26" s="50">
        <v>7.8</v>
      </c>
      <c r="O26" s="50">
        <v>7.8</v>
      </c>
      <c r="P26" s="50">
        <v>7.8</v>
      </c>
      <c r="Q26" s="50">
        <v>7.8</v>
      </c>
      <c r="R26" s="50">
        <v>7.8</v>
      </c>
      <c r="S26" s="50">
        <v>7.8</v>
      </c>
      <c r="T26" s="50">
        <v>7.8</v>
      </c>
      <c r="U26" s="50">
        <v>7.8</v>
      </c>
      <c r="V26" s="50">
        <v>7.8</v>
      </c>
      <c r="W26" s="50">
        <v>7.8</v>
      </c>
      <c r="X26" s="50">
        <v>7.8</v>
      </c>
      <c r="Y26" s="50">
        <v>7.8</v>
      </c>
      <c r="Z26" s="50">
        <v>7.8</v>
      </c>
      <c r="AA26" s="50">
        <v>7.8</v>
      </c>
      <c r="AB26" s="50">
        <v>7.8</v>
      </c>
      <c r="AC26" s="50">
        <v>7.8</v>
      </c>
      <c r="AD26" s="50">
        <v>7.8</v>
      </c>
      <c r="AE26" s="50">
        <v>7.8</v>
      </c>
      <c r="AF26" s="50">
        <v>7.8</v>
      </c>
      <c r="AG26" s="134">
        <v>14.9</v>
      </c>
      <c r="AH26" s="54">
        <f t="shared" si="2"/>
        <v>7.8</v>
      </c>
      <c r="AI26" s="55">
        <f t="shared" si="3"/>
        <v>7.8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12</v>
      </c>
      <c r="C27" s="50">
        <v>12</v>
      </c>
      <c r="D27" s="50">
        <v>12</v>
      </c>
      <c r="E27" s="50">
        <v>12</v>
      </c>
      <c r="F27" s="50">
        <v>12</v>
      </c>
      <c r="G27" s="50">
        <v>12</v>
      </c>
      <c r="H27" s="50">
        <v>12</v>
      </c>
      <c r="I27" s="50">
        <v>12</v>
      </c>
      <c r="J27" s="50">
        <v>12</v>
      </c>
      <c r="K27" s="50">
        <v>12</v>
      </c>
      <c r="L27" s="50">
        <v>12</v>
      </c>
      <c r="M27" s="50">
        <v>12</v>
      </c>
      <c r="N27" s="50">
        <v>12</v>
      </c>
      <c r="O27" s="50">
        <v>12</v>
      </c>
      <c r="P27" s="50">
        <v>12</v>
      </c>
      <c r="Q27" s="50">
        <v>12</v>
      </c>
      <c r="R27" s="50">
        <v>12</v>
      </c>
      <c r="S27" s="50">
        <v>12</v>
      </c>
      <c r="T27" s="50">
        <v>12</v>
      </c>
      <c r="U27" s="50">
        <v>12</v>
      </c>
      <c r="V27" s="50">
        <v>12</v>
      </c>
      <c r="W27" s="50">
        <v>12</v>
      </c>
      <c r="X27" s="50">
        <v>12</v>
      </c>
      <c r="Y27" s="50">
        <v>12</v>
      </c>
      <c r="Z27" s="50">
        <v>12</v>
      </c>
      <c r="AA27" s="50">
        <v>12</v>
      </c>
      <c r="AB27" s="50">
        <v>12</v>
      </c>
      <c r="AC27" s="50">
        <v>12</v>
      </c>
      <c r="AD27" s="50">
        <v>12</v>
      </c>
      <c r="AE27" s="50">
        <v>12</v>
      </c>
      <c r="AF27" s="50">
        <v>12</v>
      </c>
      <c r="AG27" s="134">
        <v>13.6</v>
      </c>
      <c r="AH27" s="54">
        <f t="shared" si="2"/>
        <v>12</v>
      </c>
      <c r="AI27" s="55">
        <f t="shared" si="3"/>
        <v>12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12</v>
      </c>
      <c r="C28" s="50">
        <v>12</v>
      </c>
      <c r="D28" s="50">
        <v>12</v>
      </c>
      <c r="E28" s="50">
        <v>12</v>
      </c>
      <c r="F28" s="50">
        <v>12</v>
      </c>
      <c r="G28" s="50">
        <v>12</v>
      </c>
      <c r="H28" s="50">
        <v>12</v>
      </c>
      <c r="I28" s="50">
        <v>12</v>
      </c>
      <c r="J28" s="50">
        <v>12</v>
      </c>
      <c r="K28" s="50">
        <v>12</v>
      </c>
      <c r="L28" s="50">
        <v>12</v>
      </c>
      <c r="M28" s="50">
        <v>12</v>
      </c>
      <c r="N28" s="50">
        <v>12</v>
      </c>
      <c r="O28" s="50">
        <v>12</v>
      </c>
      <c r="P28" s="50">
        <v>12</v>
      </c>
      <c r="Q28" s="50">
        <v>12</v>
      </c>
      <c r="R28" s="50">
        <v>12</v>
      </c>
      <c r="S28" s="50">
        <v>12</v>
      </c>
      <c r="T28" s="50">
        <v>12</v>
      </c>
      <c r="U28" s="50">
        <v>12</v>
      </c>
      <c r="V28" s="50">
        <v>12</v>
      </c>
      <c r="W28" s="50">
        <v>12</v>
      </c>
      <c r="X28" s="50">
        <v>12</v>
      </c>
      <c r="Y28" s="50">
        <v>12</v>
      </c>
      <c r="Z28" s="50">
        <v>12</v>
      </c>
      <c r="AA28" s="50">
        <v>12</v>
      </c>
      <c r="AB28" s="50">
        <v>12</v>
      </c>
      <c r="AC28" s="50">
        <v>12</v>
      </c>
      <c r="AD28" s="50">
        <v>12</v>
      </c>
      <c r="AE28" s="50">
        <v>12</v>
      </c>
      <c r="AF28" s="50">
        <v>12</v>
      </c>
      <c r="AG28" s="134">
        <v>13</v>
      </c>
      <c r="AH28" s="54">
        <f t="shared" si="2"/>
        <v>12</v>
      </c>
      <c r="AI28" s="55">
        <f t="shared" si="3"/>
        <v>12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12</v>
      </c>
      <c r="I29" s="50">
        <v>12</v>
      </c>
      <c r="J29" s="50">
        <v>12</v>
      </c>
      <c r="K29" s="50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134">
        <v>12</v>
      </c>
      <c r="AH29" s="54">
        <f t="shared" si="2"/>
        <v>12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7</v>
      </c>
      <c r="C30" s="50">
        <v>7</v>
      </c>
      <c r="D30" s="50">
        <v>7</v>
      </c>
      <c r="E30" s="50">
        <v>7</v>
      </c>
      <c r="F30" s="50">
        <v>7</v>
      </c>
      <c r="G30" s="50">
        <v>7</v>
      </c>
      <c r="H30" s="50">
        <v>7</v>
      </c>
      <c r="I30" s="50">
        <v>7</v>
      </c>
      <c r="J30" s="50">
        <v>7</v>
      </c>
      <c r="K30" s="50">
        <v>7</v>
      </c>
      <c r="L30" s="50">
        <v>7</v>
      </c>
      <c r="M30" s="50">
        <v>7</v>
      </c>
      <c r="N30" s="50">
        <v>7</v>
      </c>
      <c r="O30" s="50">
        <v>7</v>
      </c>
      <c r="P30" s="50">
        <v>7</v>
      </c>
      <c r="Q30" s="50">
        <v>7</v>
      </c>
      <c r="R30" s="50">
        <v>7</v>
      </c>
      <c r="S30" s="50">
        <v>7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134">
        <v>12</v>
      </c>
      <c r="AH30" s="54">
        <f t="shared" si="2"/>
        <v>7</v>
      </c>
      <c r="AI30" s="55">
        <f t="shared" si="3"/>
        <v>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12</v>
      </c>
      <c r="C31" s="50">
        <v>12</v>
      </c>
      <c r="D31" s="50">
        <v>12</v>
      </c>
      <c r="E31" s="50">
        <v>12</v>
      </c>
      <c r="F31" s="50">
        <v>12</v>
      </c>
      <c r="G31" s="50">
        <v>12</v>
      </c>
      <c r="H31" s="50">
        <v>12</v>
      </c>
      <c r="I31" s="50">
        <v>12</v>
      </c>
      <c r="J31" s="50">
        <v>12</v>
      </c>
      <c r="K31" s="50">
        <v>12</v>
      </c>
      <c r="L31" s="50">
        <v>12</v>
      </c>
      <c r="M31" s="50">
        <v>12</v>
      </c>
      <c r="N31" s="50">
        <v>12</v>
      </c>
      <c r="O31" s="50">
        <v>12</v>
      </c>
      <c r="P31" s="50">
        <v>12</v>
      </c>
      <c r="Q31" s="50">
        <v>12</v>
      </c>
      <c r="R31" s="50">
        <v>12</v>
      </c>
      <c r="S31" s="50">
        <v>12</v>
      </c>
      <c r="T31" s="50">
        <v>12</v>
      </c>
      <c r="U31" s="50">
        <v>12</v>
      </c>
      <c r="V31" s="50">
        <v>12</v>
      </c>
      <c r="W31" s="50">
        <v>12</v>
      </c>
      <c r="X31" s="50">
        <v>12</v>
      </c>
      <c r="Y31" s="50">
        <v>12</v>
      </c>
      <c r="Z31" s="50">
        <v>12</v>
      </c>
      <c r="AA31" s="50">
        <v>12</v>
      </c>
      <c r="AB31" s="50">
        <v>12</v>
      </c>
      <c r="AC31" s="50">
        <v>12</v>
      </c>
      <c r="AD31" s="50">
        <v>12</v>
      </c>
      <c r="AE31" s="50">
        <v>12</v>
      </c>
      <c r="AF31" s="50">
        <v>12</v>
      </c>
      <c r="AG31" s="178">
        <v>22</v>
      </c>
      <c r="AH31" s="54">
        <f>MAX(B31:AF31)</f>
        <v>12</v>
      </c>
      <c r="AI31" s="55">
        <f>MIN(B31:AF31)</f>
        <v>12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11.5</v>
      </c>
      <c r="C32" s="50">
        <v>11.5</v>
      </c>
      <c r="D32" s="50">
        <v>11.5</v>
      </c>
      <c r="E32" s="50">
        <v>11.5</v>
      </c>
      <c r="F32" s="50">
        <v>11.5</v>
      </c>
      <c r="G32" s="50">
        <v>11.5</v>
      </c>
      <c r="H32" s="50">
        <v>11.5</v>
      </c>
      <c r="I32" s="50">
        <v>11.5</v>
      </c>
      <c r="J32" s="50">
        <v>11.5</v>
      </c>
      <c r="K32" s="50">
        <v>11.5</v>
      </c>
      <c r="L32" s="50">
        <v>11.5</v>
      </c>
      <c r="M32" s="50">
        <v>11.5</v>
      </c>
      <c r="N32" s="50">
        <v>11.5</v>
      </c>
      <c r="O32" s="50">
        <v>11.5</v>
      </c>
      <c r="P32" s="50">
        <v>11.5</v>
      </c>
      <c r="Q32" s="50">
        <v>11.5</v>
      </c>
      <c r="R32" s="50">
        <v>11.5</v>
      </c>
      <c r="S32" s="50">
        <v>11.5</v>
      </c>
      <c r="T32" s="50">
        <v>11.5</v>
      </c>
      <c r="U32" s="50">
        <v>11.5</v>
      </c>
      <c r="V32" s="50">
        <v>11.5</v>
      </c>
      <c r="W32" s="50">
        <v>11.5</v>
      </c>
      <c r="X32" s="50">
        <v>11.5</v>
      </c>
      <c r="Y32" s="50">
        <v>11.5</v>
      </c>
      <c r="Z32" s="50">
        <v>11.5</v>
      </c>
      <c r="AA32" s="50">
        <v>11.5</v>
      </c>
      <c r="AB32" s="50">
        <v>11.5</v>
      </c>
      <c r="AC32" s="50">
        <v>11.5</v>
      </c>
      <c r="AD32" s="50">
        <v>11.5</v>
      </c>
      <c r="AE32" s="50">
        <v>11.5</v>
      </c>
      <c r="AF32" s="50">
        <v>11.5</v>
      </c>
      <c r="AG32" s="135">
        <v>11.88</v>
      </c>
      <c r="AH32" s="54">
        <f t="shared" si="2"/>
        <v>11.5</v>
      </c>
      <c r="AI32" s="55">
        <f t="shared" si="3"/>
        <v>11.5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11</v>
      </c>
      <c r="D33" s="50">
        <v>11</v>
      </c>
      <c r="E33" s="50">
        <v>11</v>
      </c>
      <c r="F33" s="50">
        <v>11</v>
      </c>
      <c r="G33" s="50">
        <v>11</v>
      </c>
      <c r="H33" s="50">
        <v>11</v>
      </c>
      <c r="I33" s="50">
        <v>11</v>
      </c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11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10</v>
      </c>
      <c r="C34" s="50">
        <v>10</v>
      </c>
      <c r="D34" s="50">
        <v>10</v>
      </c>
      <c r="E34" s="50">
        <v>10</v>
      </c>
      <c r="F34" s="50">
        <v>10</v>
      </c>
      <c r="G34" s="50">
        <v>10</v>
      </c>
      <c r="H34" s="50">
        <v>10</v>
      </c>
      <c r="I34" s="50">
        <v>10</v>
      </c>
      <c r="J34" s="50">
        <v>10</v>
      </c>
      <c r="K34" s="50">
        <v>10</v>
      </c>
      <c r="L34" s="50">
        <v>10</v>
      </c>
      <c r="M34" s="50">
        <v>10</v>
      </c>
      <c r="N34" s="50">
        <v>10</v>
      </c>
      <c r="O34" s="50">
        <v>10</v>
      </c>
      <c r="P34" s="50">
        <v>10</v>
      </c>
      <c r="Q34" s="50">
        <v>10</v>
      </c>
      <c r="R34" s="50">
        <v>10</v>
      </c>
      <c r="S34" s="50">
        <v>10</v>
      </c>
      <c r="T34" s="50">
        <v>10</v>
      </c>
      <c r="U34" s="50">
        <v>10</v>
      </c>
      <c r="V34" s="50">
        <v>10</v>
      </c>
      <c r="W34" s="50">
        <v>10</v>
      </c>
      <c r="X34" s="50">
        <v>10</v>
      </c>
      <c r="Y34" s="50">
        <v>10</v>
      </c>
      <c r="Z34" s="50">
        <v>10</v>
      </c>
      <c r="AA34" s="50">
        <v>10</v>
      </c>
      <c r="AB34" s="50">
        <v>10</v>
      </c>
      <c r="AC34" s="50">
        <v>10</v>
      </c>
      <c r="AD34" s="50">
        <v>10</v>
      </c>
      <c r="AE34" s="50">
        <v>10</v>
      </c>
      <c r="AF34" s="50">
        <v>10</v>
      </c>
      <c r="AG34" s="136">
        <v>10</v>
      </c>
      <c r="AH34" s="54">
        <f t="shared" si="2"/>
        <v>10</v>
      </c>
      <c r="AI34" s="55">
        <f t="shared" si="3"/>
        <v>10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136">
        <v>10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300</v>
      </c>
      <c r="C36" s="62">
        <v>300</v>
      </c>
      <c r="D36" s="62">
        <v>300</v>
      </c>
      <c r="E36" s="62">
        <v>300</v>
      </c>
      <c r="F36" s="62">
        <v>300</v>
      </c>
      <c r="G36" s="62">
        <v>300</v>
      </c>
      <c r="H36" s="62">
        <v>300</v>
      </c>
      <c r="I36" s="62">
        <v>300</v>
      </c>
      <c r="J36" s="62">
        <v>300</v>
      </c>
      <c r="K36" s="62">
        <v>300</v>
      </c>
      <c r="L36" s="62">
        <v>300</v>
      </c>
      <c r="M36" s="62">
        <v>300</v>
      </c>
      <c r="N36" s="62">
        <v>300</v>
      </c>
      <c r="O36" s="62">
        <v>300</v>
      </c>
      <c r="P36" s="62">
        <v>300</v>
      </c>
      <c r="Q36" s="62">
        <v>300</v>
      </c>
      <c r="R36" s="62">
        <v>300</v>
      </c>
      <c r="S36" s="62">
        <v>300</v>
      </c>
      <c r="T36" s="62">
        <v>300</v>
      </c>
      <c r="U36" s="62">
        <v>300</v>
      </c>
      <c r="V36" s="62">
        <v>300</v>
      </c>
      <c r="W36" s="62">
        <v>300</v>
      </c>
      <c r="X36" s="62">
        <v>300</v>
      </c>
      <c r="Y36" s="62">
        <v>300</v>
      </c>
      <c r="Z36" s="62">
        <v>300</v>
      </c>
      <c r="AA36" s="62">
        <v>300</v>
      </c>
      <c r="AB36" s="62">
        <v>300</v>
      </c>
      <c r="AC36" s="62">
        <v>300</v>
      </c>
      <c r="AD36" s="62">
        <v>300</v>
      </c>
      <c r="AE36" s="62">
        <v>300</v>
      </c>
      <c r="AF36" s="62">
        <v>300</v>
      </c>
      <c r="AG36" s="136">
        <v>85</v>
      </c>
      <c r="AH36" s="54">
        <f t="shared" si="2"/>
        <v>300</v>
      </c>
      <c r="AI36" s="55">
        <f t="shared" si="3"/>
        <v>300</v>
      </c>
      <c r="AK36" s="56"/>
    </row>
    <row r="37" spans="1:88" ht="15.75" thickBot="1" x14ac:dyDescent="0.3">
      <c r="A37" s="63" t="s">
        <v>21</v>
      </c>
      <c r="B37" s="64">
        <v>157</v>
      </c>
      <c r="C37" s="64">
        <v>157</v>
      </c>
      <c r="D37" s="64">
        <v>157</v>
      </c>
      <c r="E37" s="62">
        <v>162</v>
      </c>
      <c r="F37" s="62">
        <v>161</v>
      </c>
      <c r="G37" s="62">
        <v>160</v>
      </c>
      <c r="H37" s="62">
        <v>160</v>
      </c>
      <c r="I37" s="62">
        <v>160</v>
      </c>
      <c r="J37" s="62">
        <v>160</v>
      </c>
      <c r="K37" s="62">
        <v>160</v>
      </c>
      <c r="L37" s="62">
        <v>160</v>
      </c>
      <c r="M37" s="62">
        <f>98+68.8</f>
        <v>166.8</v>
      </c>
      <c r="N37" s="62">
        <v>166.8</v>
      </c>
      <c r="O37" s="62">
        <f>97.8+68</f>
        <v>165.8</v>
      </c>
      <c r="P37" s="62">
        <v>165.8</v>
      </c>
      <c r="Q37" s="62">
        <v>165.8</v>
      </c>
      <c r="R37" s="62">
        <f>97.6+68.4</f>
        <v>166</v>
      </c>
      <c r="S37" s="62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136">
        <v>240</v>
      </c>
      <c r="AH37" s="54">
        <f t="shared" si="2"/>
        <v>166.8</v>
      </c>
      <c r="AI37" s="55">
        <f t="shared" si="3"/>
        <v>157</v>
      </c>
      <c r="AK37" s="56"/>
    </row>
    <row r="38" spans="1:88" ht="15.75" thickBot="1" x14ac:dyDescent="0.3">
      <c r="A38" s="131" t="s">
        <v>22</v>
      </c>
      <c r="B38" s="66">
        <f t="shared" ref="B38:AG38" si="4">SUM(B11:B36)</f>
        <v>802.90000000000009</v>
      </c>
      <c r="C38" s="66">
        <f t="shared" si="4"/>
        <v>798.90000000000009</v>
      </c>
      <c r="D38" s="66">
        <f t="shared" si="4"/>
        <v>798.90000000000009</v>
      </c>
      <c r="E38" s="66">
        <f t="shared" si="4"/>
        <v>798.90000000000009</v>
      </c>
      <c r="F38" s="66">
        <f t="shared" si="4"/>
        <v>798.90000000000009</v>
      </c>
      <c r="G38" s="66">
        <f t="shared" si="4"/>
        <v>808.90000000000009</v>
      </c>
      <c r="H38" s="66">
        <f t="shared" si="4"/>
        <v>826.90000000000009</v>
      </c>
      <c r="I38" s="66">
        <f t="shared" si="4"/>
        <v>826.90000000000009</v>
      </c>
      <c r="J38" s="66">
        <f t="shared" si="4"/>
        <v>826.90000000000009</v>
      </c>
      <c r="K38" s="66">
        <f t="shared" si="4"/>
        <v>826.90000000000009</v>
      </c>
      <c r="L38" s="66">
        <f t="shared" si="4"/>
        <v>803.2</v>
      </c>
      <c r="M38" s="66">
        <f t="shared" si="4"/>
        <v>814.40000000000009</v>
      </c>
      <c r="N38" s="66">
        <f t="shared" si="4"/>
        <v>826.40000000000009</v>
      </c>
      <c r="O38" s="66">
        <f t="shared" si="4"/>
        <v>804.40000000000009</v>
      </c>
      <c r="P38" s="66">
        <f t="shared" si="4"/>
        <v>804.5</v>
      </c>
      <c r="Q38" s="66">
        <f t="shared" si="4"/>
        <v>778.8</v>
      </c>
      <c r="R38" s="66">
        <f t="shared" si="4"/>
        <v>809</v>
      </c>
      <c r="S38" s="66">
        <f t="shared" si="4"/>
        <v>809</v>
      </c>
      <c r="T38" s="66">
        <f t="shared" si="4"/>
        <v>802</v>
      </c>
      <c r="U38" s="66">
        <f t="shared" si="4"/>
        <v>811</v>
      </c>
      <c r="V38" s="66">
        <f t="shared" si="4"/>
        <v>787</v>
      </c>
      <c r="W38" s="66">
        <f t="shared" si="4"/>
        <v>777</v>
      </c>
      <c r="X38" s="66">
        <f t="shared" si="4"/>
        <v>777</v>
      </c>
      <c r="Y38" s="66">
        <f t="shared" si="4"/>
        <v>777</v>
      </c>
      <c r="Z38" s="66">
        <f t="shared" si="4"/>
        <v>801.1</v>
      </c>
      <c r="AA38" s="66">
        <f t="shared" si="4"/>
        <v>801.1</v>
      </c>
      <c r="AB38" s="66">
        <f t="shared" si="4"/>
        <v>815.80000000000007</v>
      </c>
      <c r="AC38" s="66">
        <f t="shared" si="4"/>
        <v>815.80000000000007</v>
      </c>
      <c r="AD38" s="66">
        <f t="shared" si="4"/>
        <v>824.1</v>
      </c>
      <c r="AE38" s="66">
        <f t="shared" si="4"/>
        <v>824</v>
      </c>
      <c r="AF38" s="66">
        <f t="shared" si="4"/>
        <v>824.40000000000009</v>
      </c>
      <c r="AG38" s="143">
        <f t="shared" si="4"/>
        <v>665.78</v>
      </c>
      <c r="AH38" s="54">
        <f t="shared" si="2"/>
        <v>826.90000000000009</v>
      </c>
      <c r="AI38" s="55">
        <f t="shared" si="3"/>
        <v>777</v>
      </c>
      <c r="AK38" s="56"/>
    </row>
    <row r="39" spans="1:88" x14ac:dyDescent="0.25">
      <c r="A39" s="159" t="s">
        <v>130</v>
      </c>
      <c r="B39" s="50">
        <v>456</v>
      </c>
      <c r="C39" s="50">
        <v>456</v>
      </c>
      <c r="D39" s="50">
        <v>456</v>
      </c>
      <c r="E39" s="50">
        <v>456</v>
      </c>
      <c r="F39" s="50">
        <v>456</v>
      </c>
      <c r="G39" s="50">
        <v>456</v>
      </c>
      <c r="H39" s="50">
        <v>370</v>
      </c>
      <c r="I39" s="50">
        <v>456</v>
      </c>
      <c r="J39" s="50">
        <v>456</v>
      </c>
      <c r="K39" s="50">
        <v>456</v>
      </c>
      <c r="L39" s="50">
        <v>456</v>
      </c>
      <c r="M39" s="50">
        <v>456</v>
      </c>
      <c r="N39" s="50">
        <v>456</v>
      </c>
      <c r="O39" s="50">
        <v>456</v>
      </c>
      <c r="P39" s="50">
        <v>456</v>
      </c>
      <c r="Q39" s="50">
        <v>456</v>
      </c>
      <c r="R39" s="50">
        <v>450</v>
      </c>
      <c r="S39" s="50">
        <v>456</v>
      </c>
      <c r="T39" s="50">
        <v>456</v>
      </c>
      <c r="U39" s="50">
        <v>456</v>
      </c>
      <c r="V39" s="50">
        <v>456</v>
      </c>
      <c r="W39" s="50">
        <v>456</v>
      </c>
      <c r="X39" s="50">
        <v>456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456</v>
      </c>
      <c r="AF39" s="50">
        <v>456</v>
      </c>
      <c r="AG39" s="135">
        <v>456</v>
      </c>
      <c r="AH39" s="54">
        <f t="shared" si="2"/>
        <v>456</v>
      </c>
      <c r="AI39" s="55">
        <f t="shared" si="3"/>
        <v>370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f>SUM(B39:B41)</f>
        <v>538</v>
      </c>
      <c r="C42" s="66">
        <f t="shared" ref="C42:AG42" si="5">SUM(C39:C41)</f>
        <v>538</v>
      </c>
      <c r="D42" s="66">
        <f t="shared" si="5"/>
        <v>538</v>
      </c>
      <c r="E42" s="66">
        <f t="shared" si="5"/>
        <v>538</v>
      </c>
      <c r="F42" s="66">
        <f t="shared" si="5"/>
        <v>538</v>
      </c>
      <c r="G42" s="66">
        <f t="shared" si="5"/>
        <v>538</v>
      </c>
      <c r="H42" s="66">
        <f t="shared" si="5"/>
        <v>452</v>
      </c>
      <c r="I42" s="66">
        <f t="shared" si="5"/>
        <v>538</v>
      </c>
      <c r="J42" s="66">
        <f t="shared" si="5"/>
        <v>538</v>
      </c>
      <c r="K42" s="66">
        <f t="shared" si="5"/>
        <v>538</v>
      </c>
      <c r="L42" s="66">
        <f t="shared" si="5"/>
        <v>538</v>
      </c>
      <c r="M42" s="66">
        <f t="shared" si="5"/>
        <v>538</v>
      </c>
      <c r="N42" s="66">
        <f t="shared" si="5"/>
        <v>538</v>
      </c>
      <c r="O42" s="66">
        <f t="shared" si="5"/>
        <v>538</v>
      </c>
      <c r="P42" s="66">
        <f t="shared" si="5"/>
        <v>538</v>
      </c>
      <c r="Q42" s="66">
        <f t="shared" si="5"/>
        <v>538</v>
      </c>
      <c r="R42" s="66">
        <f t="shared" si="5"/>
        <v>532</v>
      </c>
      <c r="S42" s="66">
        <f t="shared" si="5"/>
        <v>538</v>
      </c>
      <c r="T42" s="66">
        <f t="shared" si="5"/>
        <v>538</v>
      </c>
      <c r="U42" s="66">
        <f t="shared" si="5"/>
        <v>538</v>
      </c>
      <c r="V42" s="66">
        <f t="shared" si="5"/>
        <v>538</v>
      </c>
      <c r="W42" s="66">
        <f t="shared" si="5"/>
        <v>538</v>
      </c>
      <c r="X42" s="66">
        <f t="shared" si="5"/>
        <v>538</v>
      </c>
      <c r="Y42" s="66">
        <f t="shared" si="5"/>
        <v>538</v>
      </c>
      <c r="Z42" s="66">
        <f t="shared" si="5"/>
        <v>538</v>
      </c>
      <c r="AA42" s="66">
        <f t="shared" si="5"/>
        <v>538</v>
      </c>
      <c r="AB42" s="66">
        <f t="shared" si="5"/>
        <v>538</v>
      </c>
      <c r="AC42" s="66">
        <f t="shared" si="5"/>
        <v>538</v>
      </c>
      <c r="AD42" s="66">
        <f t="shared" si="5"/>
        <v>538</v>
      </c>
      <c r="AE42" s="66">
        <f t="shared" si="5"/>
        <v>538</v>
      </c>
      <c r="AF42" s="66">
        <f t="shared" si="5"/>
        <v>538</v>
      </c>
      <c r="AG42" s="143">
        <f t="shared" si="5"/>
        <v>538.1</v>
      </c>
      <c r="AH42" s="54">
        <f t="shared" si="2"/>
        <v>538</v>
      </c>
      <c r="AI42" s="55">
        <f t="shared" si="3"/>
        <v>452</v>
      </c>
      <c r="AK42" s="56"/>
    </row>
    <row r="43" spans="1:88" x14ac:dyDescent="0.25">
      <c r="A43" s="57" t="s">
        <v>23</v>
      </c>
      <c r="B43" s="50">
        <v>74</v>
      </c>
      <c r="C43" s="50">
        <v>74</v>
      </c>
      <c r="D43" s="50">
        <v>74</v>
      </c>
      <c r="E43" s="50">
        <v>138</v>
      </c>
      <c r="F43" s="50">
        <v>137.4</v>
      </c>
      <c r="G43" s="50">
        <v>137.6</v>
      </c>
      <c r="H43" s="50">
        <v>137.6</v>
      </c>
      <c r="I43" s="50">
        <v>137.6</v>
      </c>
      <c r="J43" s="50">
        <v>137.80000000000001</v>
      </c>
      <c r="K43" s="50">
        <v>137.80000000000001</v>
      </c>
      <c r="L43" s="50">
        <v>137.80000000000001</v>
      </c>
      <c r="M43" s="50">
        <v>137.80000000000001</v>
      </c>
      <c r="N43" s="50">
        <v>137.30000000000001</v>
      </c>
      <c r="O43" s="50">
        <v>136.30000000000001</v>
      </c>
      <c r="P43" s="50">
        <v>136.5</v>
      </c>
      <c r="Q43" s="50">
        <v>136.6</v>
      </c>
      <c r="R43" s="50">
        <v>137.19999999999999</v>
      </c>
      <c r="S43" s="50">
        <v>137.6</v>
      </c>
      <c r="T43" s="50">
        <v>137.30000000000001</v>
      </c>
      <c r="U43" s="50">
        <v>138</v>
      </c>
      <c r="V43" s="50">
        <v>138</v>
      </c>
      <c r="W43" s="50">
        <v>138</v>
      </c>
      <c r="X43" s="50">
        <v>138</v>
      </c>
      <c r="Y43" s="50">
        <v>138</v>
      </c>
      <c r="Z43" s="50">
        <v>138</v>
      </c>
      <c r="AA43" s="50">
        <v>138</v>
      </c>
      <c r="AB43" s="50">
        <v>138.69999999999999</v>
      </c>
      <c r="AC43" s="50">
        <v>138.69999999999999</v>
      </c>
      <c r="AD43" s="50">
        <v>138.5</v>
      </c>
      <c r="AE43" s="50">
        <v>138.6</v>
      </c>
      <c r="AF43" s="50">
        <v>138.69999999999999</v>
      </c>
      <c r="AG43" s="135">
        <v>144</v>
      </c>
      <c r="AH43" s="54">
        <f t="shared" si="2"/>
        <v>138.69999999999999</v>
      </c>
      <c r="AI43" s="55">
        <f t="shared" si="3"/>
        <v>74</v>
      </c>
      <c r="AK43" s="56"/>
    </row>
    <row r="44" spans="1:88" x14ac:dyDescent="0.25">
      <c r="A44" s="60" t="s">
        <v>24</v>
      </c>
      <c r="B44" s="48">
        <v>70.099999999999994</v>
      </c>
      <c r="C44" s="48">
        <v>70.099999999999994</v>
      </c>
      <c r="D44" s="48">
        <v>72.8</v>
      </c>
      <c r="E44" s="48">
        <v>71.5</v>
      </c>
      <c r="F44" s="48">
        <v>72.2</v>
      </c>
      <c r="G44" s="48">
        <v>71.5</v>
      </c>
      <c r="H44" s="48">
        <v>71.5</v>
      </c>
      <c r="I44" s="48">
        <v>71.5</v>
      </c>
      <c r="J44" s="48">
        <v>71.5</v>
      </c>
      <c r="K44" s="48">
        <v>71.5</v>
      </c>
      <c r="L44" s="48">
        <v>71.5</v>
      </c>
      <c r="M44" s="50">
        <v>72.2</v>
      </c>
      <c r="N44" s="50">
        <v>70</v>
      </c>
      <c r="O44" s="50">
        <v>70.5</v>
      </c>
      <c r="P44" s="50">
        <v>69</v>
      </c>
      <c r="Q44" s="50">
        <v>62.6</v>
      </c>
      <c r="R44" s="50">
        <v>70.599999999999994</v>
      </c>
      <c r="S44" s="48">
        <v>70.5</v>
      </c>
      <c r="T44" s="48">
        <v>70.7</v>
      </c>
      <c r="U44" s="48">
        <v>70.7</v>
      </c>
      <c r="V44" s="48">
        <v>70.7</v>
      </c>
      <c r="W44" s="48">
        <v>70.7</v>
      </c>
      <c r="X44" s="48">
        <v>70.7</v>
      </c>
      <c r="Y44" s="48">
        <v>70.7</v>
      </c>
      <c r="Z44" s="48">
        <v>69.8</v>
      </c>
      <c r="AA44" s="48">
        <v>69.8</v>
      </c>
      <c r="AB44" s="48">
        <v>71.599999999999994</v>
      </c>
      <c r="AC44" s="48">
        <v>71.599999999999994</v>
      </c>
      <c r="AD44" s="48">
        <v>73.599999999999994</v>
      </c>
      <c r="AE44" s="48">
        <v>73.099999999999994</v>
      </c>
      <c r="AF44" s="48">
        <v>73.599999999999994</v>
      </c>
      <c r="AG44" s="136">
        <v>70</v>
      </c>
      <c r="AH44" s="54">
        <f t="shared" si="2"/>
        <v>73.599999999999994</v>
      </c>
      <c r="AI44" s="55">
        <f t="shared" si="3"/>
        <v>62.6</v>
      </c>
      <c r="AK44" s="56"/>
    </row>
    <row r="45" spans="1:88" x14ac:dyDescent="0.25">
      <c r="A45" s="60" t="s">
        <v>25</v>
      </c>
      <c r="B45" s="48">
        <v>62.4</v>
      </c>
      <c r="C45" s="48">
        <v>62.4</v>
      </c>
      <c r="D45" s="48">
        <v>62.4</v>
      </c>
      <c r="E45" s="48">
        <v>38.200000000000003</v>
      </c>
      <c r="F45" s="48">
        <v>0</v>
      </c>
      <c r="G45" s="48">
        <v>0</v>
      </c>
      <c r="H45" s="48">
        <v>0</v>
      </c>
      <c r="I45" s="48">
        <v>0</v>
      </c>
      <c r="J45" s="48">
        <v>0</v>
      </c>
      <c r="K45" s="48">
        <v>0</v>
      </c>
      <c r="L45" s="48">
        <v>0</v>
      </c>
      <c r="M45" s="50">
        <v>22.17</v>
      </c>
      <c r="N45" s="50">
        <v>63</v>
      </c>
      <c r="O45" s="50">
        <v>62.8</v>
      </c>
      <c r="P45" s="50">
        <v>63</v>
      </c>
      <c r="Q45" s="50">
        <v>62.9</v>
      </c>
      <c r="R45" s="50">
        <v>62.5</v>
      </c>
      <c r="S45" s="48">
        <v>63.3</v>
      </c>
      <c r="T45" s="48">
        <v>63.3</v>
      </c>
      <c r="U45" s="48">
        <v>63.3</v>
      </c>
      <c r="V45" s="48">
        <v>63.3</v>
      </c>
      <c r="W45" s="48">
        <v>63.3</v>
      </c>
      <c r="X45" s="48">
        <v>63.3</v>
      </c>
      <c r="Y45" s="48">
        <v>63.3</v>
      </c>
      <c r="Z45" s="48">
        <v>63.3</v>
      </c>
      <c r="AA45" s="48">
        <v>63.3</v>
      </c>
      <c r="AB45" s="48">
        <v>63</v>
      </c>
      <c r="AC45" s="48">
        <v>63</v>
      </c>
      <c r="AD45" s="48">
        <v>63.3</v>
      </c>
      <c r="AE45" s="48">
        <v>63.1</v>
      </c>
      <c r="AF45" s="48">
        <v>62.9</v>
      </c>
      <c r="AG45" s="136">
        <v>69</v>
      </c>
      <c r="AH45" s="54">
        <f t="shared" si="2"/>
        <v>63.3</v>
      </c>
      <c r="AI45" s="55">
        <f t="shared" si="3"/>
        <v>0</v>
      </c>
      <c r="AK45" s="56"/>
    </row>
    <row r="46" spans="1:88" x14ac:dyDescent="0.25">
      <c r="A46" s="60" t="s">
        <v>26</v>
      </c>
      <c r="B46" s="62">
        <v>60.2</v>
      </c>
      <c r="C46" s="62">
        <v>60.2</v>
      </c>
      <c r="D46" s="62">
        <v>60.2</v>
      </c>
      <c r="E46" s="62">
        <v>60.2</v>
      </c>
      <c r="F46" s="62">
        <v>60.4</v>
      </c>
      <c r="G46" s="62">
        <v>60.4</v>
      </c>
      <c r="H46" s="62">
        <v>60.4</v>
      </c>
      <c r="I46" s="62">
        <v>60.4</v>
      </c>
      <c r="J46" s="62">
        <v>60.4</v>
      </c>
      <c r="K46" s="62">
        <v>60.4</v>
      </c>
      <c r="L46" s="62">
        <v>60.4</v>
      </c>
      <c r="M46" s="50">
        <v>60.2</v>
      </c>
      <c r="N46" s="50">
        <v>0</v>
      </c>
      <c r="O46" s="50">
        <v>60.4</v>
      </c>
      <c r="P46" s="50">
        <v>58.5</v>
      </c>
      <c r="Q46" s="50">
        <v>60</v>
      </c>
      <c r="R46" s="50">
        <v>60</v>
      </c>
      <c r="S46" s="50">
        <v>60</v>
      </c>
      <c r="T46" s="50">
        <v>60</v>
      </c>
      <c r="U46" s="50">
        <v>60</v>
      </c>
      <c r="V46" s="50">
        <v>60</v>
      </c>
      <c r="W46" s="50">
        <v>60</v>
      </c>
      <c r="X46" s="50">
        <v>60</v>
      </c>
      <c r="Y46" s="50">
        <v>60</v>
      </c>
      <c r="Z46" s="50">
        <v>60.2</v>
      </c>
      <c r="AA46" s="50">
        <v>60.2</v>
      </c>
      <c r="AB46" s="62">
        <v>60.2</v>
      </c>
      <c r="AC46" s="62">
        <v>60.2</v>
      </c>
      <c r="AD46" s="62">
        <v>60.2</v>
      </c>
      <c r="AE46" s="62">
        <v>60.2</v>
      </c>
      <c r="AF46" s="62">
        <v>60.2</v>
      </c>
      <c r="AG46" s="136">
        <v>60</v>
      </c>
      <c r="AH46" s="54">
        <f t="shared" si="2"/>
        <v>60.4</v>
      </c>
      <c r="AI46" s="55">
        <f t="shared" si="3"/>
        <v>0</v>
      </c>
      <c r="AK46" s="56"/>
    </row>
    <row r="47" spans="1:88" x14ac:dyDescent="0.25">
      <c r="A47" s="60" t="s">
        <v>27</v>
      </c>
      <c r="B47" s="62">
        <v>28.6</v>
      </c>
      <c r="C47" s="62">
        <v>28.4</v>
      </c>
      <c r="D47" s="62">
        <v>28.6</v>
      </c>
      <c r="E47" s="62">
        <v>28.5</v>
      </c>
      <c r="F47" s="62">
        <v>28.5</v>
      </c>
      <c r="G47" s="62">
        <v>28.1</v>
      </c>
      <c r="H47" s="62">
        <v>28.1</v>
      </c>
      <c r="I47" s="62">
        <v>28.1</v>
      </c>
      <c r="J47" s="62">
        <v>0</v>
      </c>
      <c r="K47" s="62">
        <v>0</v>
      </c>
      <c r="L47" s="62">
        <v>0</v>
      </c>
      <c r="M47" s="62">
        <v>0</v>
      </c>
      <c r="N47" s="50">
        <v>15.1</v>
      </c>
      <c r="O47" s="50">
        <v>28.8</v>
      </c>
      <c r="P47" s="50">
        <v>29</v>
      </c>
      <c r="Q47" s="50">
        <v>29.1</v>
      </c>
      <c r="R47" s="50">
        <v>29.1</v>
      </c>
      <c r="S47" s="50">
        <v>27.3</v>
      </c>
      <c r="T47" s="50">
        <v>27.3</v>
      </c>
      <c r="U47" s="50">
        <v>27.3</v>
      </c>
      <c r="V47" s="50">
        <v>27.3</v>
      </c>
      <c r="W47" s="50">
        <v>27.3</v>
      </c>
      <c r="X47" s="50">
        <v>27.3</v>
      </c>
      <c r="Y47" s="50">
        <v>27.3</v>
      </c>
      <c r="Z47" s="50">
        <v>27.3</v>
      </c>
      <c r="AA47" s="50">
        <v>27.3</v>
      </c>
      <c r="AB47" s="50">
        <v>28.7</v>
      </c>
      <c r="AC47" s="50">
        <v>28.7</v>
      </c>
      <c r="AD47" s="62">
        <v>28.7</v>
      </c>
      <c r="AE47" s="62">
        <v>28.7</v>
      </c>
      <c r="AF47" s="62">
        <v>28.6</v>
      </c>
      <c r="AG47" s="136">
        <v>30</v>
      </c>
      <c r="AH47" s="54">
        <f t="shared" si="2"/>
        <v>29.1</v>
      </c>
      <c r="AI47" s="55">
        <f t="shared" si="3"/>
        <v>0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48">
        <v>0</v>
      </c>
      <c r="M48" s="48">
        <v>8</v>
      </c>
      <c r="N48" s="50">
        <v>8</v>
      </c>
      <c r="O48" s="50">
        <v>8</v>
      </c>
      <c r="P48" s="50">
        <v>8</v>
      </c>
      <c r="Q48" s="50">
        <v>8</v>
      </c>
      <c r="R48" s="50">
        <v>8</v>
      </c>
      <c r="S48" s="50">
        <v>8</v>
      </c>
      <c r="T48" s="50">
        <v>8</v>
      </c>
      <c r="U48" s="50">
        <v>8</v>
      </c>
      <c r="V48" s="50">
        <v>8</v>
      </c>
      <c r="W48" s="50">
        <v>8</v>
      </c>
      <c r="X48" s="50">
        <v>8</v>
      </c>
      <c r="Y48" s="50">
        <v>8</v>
      </c>
      <c r="Z48" s="50">
        <v>8</v>
      </c>
      <c r="AA48" s="50">
        <v>8</v>
      </c>
      <c r="AB48" s="50">
        <v>0</v>
      </c>
      <c r="AC48" s="50">
        <v>0</v>
      </c>
      <c r="AD48" s="48">
        <v>0</v>
      </c>
      <c r="AE48" s="48">
        <v>0</v>
      </c>
      <c r="AF48" s="48">
        <v>0</v>
      </c>
      <c r="AG48" s="136">
        <v>25</v>
      </c>
      <c r="AH48" s="54">
        <f t="shared" si="2"/>
        <v>8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13.8</v>
      </c>
      <c r="C49" s="48">
        <v>13.8</v>
      </c>
      <c r="D49" s="48">
        <v>13.8</v>
      </c>
      <c r="E49" s="48">
        <v>13.1</v>
      </c>
      <c r="F49" s="48">
        <v>13.1</v>
      </c>
      <c r="G49" s="48">
        <v>13.1</v>
      </c>
      <c r="H49" s="48">
        <v>13.1</v>
      </c>
      <c r="I49" s="48">
        <v>12.9</v>
      </c>
      <c r="J49" s="48">
        <v>12.9</v>
      </c>
      <c r="K49" s="48">
        <v>8.9</v>
      </c>
      <c r="L49" s="48">
        <v>8.9</v>
      </c>
      <c r="M49" s="48">
        <v>16</v>
      </c>
      <c r="N49" s="50">
        <v>16</v>
      </c>
      <c r="O49" s="50">
        <v>15.3</v>
      </c>
      <c r="P49" s="50">
        <v>15.3</v>
      </c>
      <c r="Q49" s="50">
        <v>15.3</v>
      </c>
      <c r="R49" s="50">
        <v>14.9</v>
      </c>
      <c r="S49" s="50">
        <v>14.9</v>
      </c>
      <c r="T49" s="50">
        <v>14.9</v>
      </c>
      <c r="U49" s="50">
        <v>14.9</v>
      </c>
      <c r="V49" s="50">
        <v>14.9</v>
      </c>
      <c r="W49" s="50">
        <v>14.9</v>
      </c>
      <c r="X49" s="50">
        <v>14.9</v>
      </c>
      <c r="Y49" s="50">
        <v>14.9</v>
      </c>
      <c r="Z49" s="50">
        <v>14.9</v>
      </c>
      <c r="AA49" s="50">
        <v>14.9</v>
      </c>
      <c r="AB49" s="50">
        <v>15.4</v>
      </c>
      <c r="AC49" s="50">
        <v>15.4</v>
      </c>
      <c r="AD49" s="48">
        <v>15.4</v>
      </c>
      <c r="AE49" s="48">
        <v>15.4</v>
      </c>
      <c r="AF49" s="48">
        <v>15.3</v>
      </c>
      <c r="AG49" s="136">
        <v>24</v>
      </c>
      <c r="AH49" s="54">
        <f t="shared" si="2"/>
        <v>16</v>
      </c>
      <c r="AI49" s="55">
        <f t="shared" si="3"/>
        <v>8.9</v>
      </c>
      <c r="AK49" s="56"/>
    </row>
    <row r="50" spans="1:41" x14ac:dyDescent="0.25">
      <c r="A50" s="60" t="s">
        <v>30</v>
      </c>
      <c r="B50" s="48">
        <v>3</v>
      </c>
      <c r="C50" s="48">
        <v>3</v>
      </c>
      <c r="D50" s="48">
        <v>3</v>
      </c>
      <c r="E50" s="48">
        <v>3</v>
      </c>
      <c r="F50" s="48">
        <v>3</v>
      </c>
      <c r="G50" s="48">
        <v>3</v>
      </c>
      <c r="H50" s="48">
        <v>3</v>
      </c>
      <c r="I50" s="48">
        <v>3</v>
      </c>
      <c r="J50" s="48">
        <v>3</v>
      </c>
      <c r="K50" s="48">
        <v>3</v>
      </c>
      <c r="L50" s="48">
        <v>3</v>
      </c>
      <c r="M50" s="48">
        <v>3</v>
      </c>
      <c r="N50" s="48">
        <v>3</v>
      </c>
      <c r="O50" s="48">
        <v>3</v>
      </c>
      <c r="P50" s="48">
        <v>0</v>
      </c>
      <c r="Q50" s="48">
        <v>0</v>
      </c>
      <c r="R50" s="48">
        <v>0</v>
      </c>
      <c r="S50" s="48">
        <v>3</v>
      </c>
      <c r="T50" s="48">
        <v>3</v>
      </c>
      <c r="U50" s="48">
        <v>3</v>
      </c>
      <c r="V50" s="48">
        <v>3</v>
      </c>
      <c r="W50" s="48">
        <v>3</v>
      </c>
      <c r="X50" s="48">
        <v>3</v>
      </c>
      <c r="Y50" s="48">
        <v>3</v>
      </c>
      <c r="Z50" s="48">
        <v>3</v>
      </c>
      <c r="AA50" s="48">
        <v>3</v>
      </c>
      <c r="AB50" s="48">
        <v>3</v>
      </c>
      <c r="AC50" s="48">
        <v>3</v>
      </c>
      <c r="AD50" s="48">
        <v>3</v>
      </c>
      <c r="AE50" s="48">
        <v>3</v>
      </c>
      <c r="AF50" s="48">
        <v>3</v>
      </c>
      <c r="AG50" s="136">
        <v>15</v>
      </c>
      <c r="AH50" s="54">
        <f t="shared" si="2"/>
        <v>3</v>
      </c>
      <c r="AI50" s="55">
        <f t="shared" si="3"/>
        <v>0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9</v>
      </c>
      <c r="C51" s="48">
        <v>9</v>
      </c>
      <c r="D51" s="48">
        <v>9</v>
      </c>
      <c r="E51" s="48">
        <v>9</v>
      </c>
      <c r="F51" s="48">
        <v>8.8000000000000007</v>
      </c>
      <c r="G51" s="48">
        <v>8.8000000000000007</v>
      </c>
      <c r="H51" s="48">
        <v>8.8000000000000007</v>
      </c>
      <c r="I51" s="48">
        <v>9</v>
      </c>
      <c r="J51" s="48">
        <v>9</v>
      </c>
      <c r="K51" s="48">
        <v>9</v>
      </c>
      <c r="L51" s="48">
        <v>9</v>
      </c>
      <c r="M51" s="48">
        <v>9</v>
      </c>
      <c r="N51" s="48">
        <v>9</v>
      </c>
      <c r="O51" s="48">
        <v>9</v>
      </c>
      <c r="P51" s="48">
        <v>9</v>
      </c>
      <c r="Q51" s="48">
        <v>9</v>
      </c>
      <c r="R51" s="48">
        <v>9</v>
      </c>
      <c r="S51" s="48">
        <v>9</v>
      </c>
      <c r="T51" s="48">
        <v>9</v>
      </c>
      <c r="U51" s="48">
        <v>9</v>
      </c>
      <c r="V51" s="48">
        <v>9</v>
      </c>
      <c r="W51" s="48">
        <v>9</v>
      </c>
      <c r="X51" s="48">
        <v>9</v>
      </c>
      <c r="Y51" s="48">
        <v>9</v>
      </c>
      <c r="Z51" s="48">
        <v>9</v>
      </c>
      <c r="AA51" s="48">
        <v>9</v>
      </c>
      <c r="AB51" s="48">
        <v>11.2</v>
      </c>
      <c r="AC51" s="48">
        <v>11.2</v>
      </c>
      <c r="AD51" s="48">
        <v>11.6</v>
      </c>
      <c r="AE51" s="48">
        <v>11.6</v>
      </c>
      <c r="AF51" s="48">
        <v>11.7</v>
      </c>
      <c r="AG51" s="136">
        <v>14.1</v>
      </c>
      <c r="AH51" s="54">
        <f t="shared" si="2"/>
        <v>11.7</v>
      </c>
      <c r="AI51" s="55">
        <f t="shared" si="3"/>
        <v>8.8000000000000007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0</v>
      </c>
      <c r="C52" s="48">
        <v>0</v>
      </c>
      <c r="D52" s="48">
        <v>0</v>
      </c>
      <c r="E52" s="48">
        <v>13.8</v>
      </c>
      <c r="F52" s="48">
        <v>13.8</v>
      </c>
      <c r="G52" s="48">
        <v>13.8</v>
      </c>
      <c r="H52" s="48">
        <v>13.8</v>
      </c>
      <c r="I52" s="48">
        <v>13.7</v>
      </c>
      <c r="J52" s="48">
        <v>13.7</v>
      </c>
      <c r="K52" s="48">
        <v>13.7</v>
      </c>
      <c r="L52" s="48">
        <v>13.7</v>
      </c>
      <c r="M52" s="48">
        <v>13.7</v>
      </c>
      <c r="N52" s="48">
        <v>13.7</v>
      </c>
      <c r="O52" s="48">
        <v>13.7</v>
      </c>
      <c r="P52" s="48">
        <v>13.7</v>
      </c>
      <c r="Q52" s="48">
        <v>13.7</v>
      </c>
      <c r="R52" s="48">
        <v>13.9</v>
      </c>
      <c r="S52" s="48">
        <v>13.9</v>
      </c>
      <c r="T52" s="48">
        <v>13.9</v>
      </c>
      <c r="U52" s="48">
        <v>13.9</v>
      </c>
      <c r="V52" s="48">
        <v>13.9</v>
      </c>
      <c r="W52" s="48">
        <v>13.9</v>
      </c>
      <c r="X52" s="48">
        <v>13.9</v>
      </c>
      <c r="Y52" s="48">
        <v>13.9</v>
      </c>
      <c r="Z52" s="48">
        <v>13.9</v>
      </c>
      <c r="AA52" s="48">
        <v>13.9</v>
      </c>
      <c r="AB52" s="48">
        <v>13.8</v>
      </c>
      <c r="AC52" s="48">
        <v>13.8</v>
      </c>
      <c r="AD52" s="48">
        <v>14</v>
      </c>
      <c r="AE52" s="48">
        <v>2.1</v>
      </c>
      <c r="AF52" s="48">
        <v>14</v>
      </c>
      <c r="AG52" s="136">
        <v>14</v>
      </c>
      <c r="AH52" s="54">
        <f t="shared" si="2"/>
        <v>14</v>
      </c>
      <c r="AI52" s="55">
        <f t="shared" si="3"/>
        <v>0</v>
      </c>
      <c r="AK52" s="56"/>
    </row>
    <row r="53" spans="1:41" x14ac:dyDescent="0.25">
      <c r="A53" s="60" t="s">
        <v>33</v>
      </c>
      <c r="B53" s="48">
        <v>9.1</v>
      </c>
      <c r="C53" s="48">
        <v>9.1</v>
      </c>
      <c r="D53" s="48">
        <v>9.1</v>
      </c>
      <c r="E53" s="48">
        <v>9.1</v>
      </c>
      <c r="F53" s="48">
        <v>9.1</v>
      </c>
      <c r="G53" s="48">
        <v>9.1</v>
      </c>
      <c r="H53" s="48">
        <v>9.1</v>
      </c>
      <c r="I53" s="48">
        <v>9.1</v>
      </c>
      <c r="J53" s="48">
        <v>9.1</v>
      </c>
      <c r="K53" s="48">
        <v>9.1</v>
      </c>
      <c r="L53" s="48">
        <v>9.1</v>
      </c>
      <c r="M53" s="48">
        <v>9.1</v>
      </c>
      <c r="N53" s="48">
        <v>9.1</v>
      </c>
      <c r="O53" s="48">
        <v>9.1</v>
      </c>
      <c r="P53" s="48">
        <v>9.1</v>
      </c>
      <c r="Q53" s="48">
        <v>9.1</v>
      </c>
      <c r="R53" s="48">
        <v>9.1</v>
      </c>
      <c r="S53" s="48">
        <v>9.1</v>
      </c>
      <c r="T53" s="48">
        <v>9.1</v>
      </c>
      <c r="U53" s="48">
        <v>9.1</v>
      </c>
      <c r="V53" s="48">
        <v>9.1</v>
      </c>
      <c r="W53" s="48">
        <v>9.1</v>
      </c>
      <c r="X53" s="48">
        <v>9.1</v>
      </c>
      <c r="Y53" s="48">
        <v>9.1</v>
      </c>
      <c r="Z53" s="48">
        <v>9.1</v>
      </c>
      <c r="AA53" s="48">
        <v>9.1</v>
      </c>
      <c r="AB53" s="48">
        <v>9</v>
      </c>
      <c r="AC53" s="48">
        <v>9</v>
      </c>
      <c r="AD53" s="48">
        <v>9.3000000000000007</v>
      </c>
      <c r="AE53" s="48">
        <v>9.3000000000000007</v>
      </c>
      <c r="AF53" s="48">
        <v>9.1999999999999993</v>
      </c>
      <c r="AG53" s="136">
        <v>10.050000000000001</v>
      </c>
      <c r="AH53" s="54">
        <f t="shared" si="2"/>
        <v>9.3000000000000007</v>
      </c>
      <c r="AI53" s="55">
        <f t="shared" si="3"/>
        <v>9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48">
        <v>6.2</v>
      </c>
      <c r="N54" s="48">
        <v>6.2</v>
      </c>
      <c r="O54" s="48">
        <v>6.2</v>
      </c>
      <c r="P54" s="48">
        <v>6.2</v>
      </c>
      <c r="Q54" s="48">
        <v>6.2</v>
      </c>
      <c r="R54" s="48">
        <v>6.2</v>
      </c>
      <c r="S54" s="48">
        <v>6.2</v>
      </c>
      <c r="T54" s="48">
        <v>6.2</v>
      </c>
      <c r="U54" s="48">
        <v>6.2</v>
      </c>
      <c r="V54" s="48">
        <v>6.2</v>
      </c>
      <c r="W54" s="48">
        <v>6.2</v>
      </c>
      <c r="X54" s="48">
        <v>6.2</v>
      </c>
      <c r="Y54" s="48">
        <v>6.2</v>
      </c>
      <c r="Z54" s="48">
        <v>6.2</v>
      </c>
      <c r="AA54" s="48">
        <v>6.2</v>
      </c>
      <c r="AB54" s="48">
        <v>6.2</v>
      </c>
      <c r="AC54" s="48">
        <v>6.2</v>
      </c>
      <c r="AD54" s="48">
        <v>6.2</v>
      </c>
      <c r="AE54" s="48">
        <v>6.2</v>
      </c>
      <c r="AF54" s="48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6">AG220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>SUM(B43:B55)</f>
        <v>339.94000000000005</v>
      </c>
      <c r="C56" s="66">
        <f t="shared" ref="C56:AG56" si="7">SUM(C43:C55)</f>
        <v>339.74</v>
      </c>
      <c r="D56" s="66">
        <f t="shared" si="7"/>
        <v>342.6400000000001</v>
      </c>
      <c r="E56" s="66">
        <f t="shared" si="7"/>
        <v>394.14000000000004</v>
      </c>
      <c r="F56" s="66">
        <f t="shared" si="7"/>
        <v>356.04000000000008</v>
      </c>
      <c r="G56" s="66">
        <f t="shared" si="7"/>
        <v>355.1400000000001</v>
      </c>
      <c r="H56" s="66">
        <f t="shared" si="7"/>
        <v>355.1400000000001</v>
      </c>
      <c r="I56" s="66">
        <f t="shared" si="7"/>
        <v>355.04</v>
      </c>
      <c r="J56" s="66">
        <f t="shared" si="7"/>
        <v>327.14</v>
      </c>
      <c r="K56" s="66">
        <f t="shared" si="7"/>
        <v>323.14</v>
      </c>
      <c r="L56" s="66">
        <f t="shared" si="7"/>
        <v>323.14</v>
      </c>
      <c r="M56" s="66">
        <f t="shared" si="7"/>
        <v>360.91</v>
      </c>
      <c r="N56" s="66">
        <f t="shared" si="7"/>
        <v>353.94000000000005</v>
      </c>
      <c r="O56" s="66">
        <f t="shared" si="7"/>
        <v>426.64000000000004</v>
      </c>
      <c r="P56" s="66">
        <f t="shared" si="7"/>
        <v>420.84000000000003</v>
      </c>
      <c r="Q56" s="66">
        <f t="shared" si="7"/>
        <v>416.04</v>
      </c>
      <c r="R56" s="66">
        <f t="shared" si="7"/>
        <v>424.03999999999996</v>
      </c>
      <c r="S56" s="66">
        <f t="shared" si="7"/>
        <v>426.34</v>
      </c>
      <c r="T56" s="66">
        <f t="shared" si="7"/>
        <v>426.24</v>
      </c>
      <c r="U56" s="66">
        <f t="shared" si="7"/>
        <v>426.94</v>
      </c>
      <c r="V56" s="66">
        <f t="shared" si="7"/>
        <v>426.94</v>
      </c>
      <c r="W56" s="66">
        <f t="shared" si="7"/>
        <v>426.94</v>
      </c>
      <c r="X56" s="66">
        <f t="shared" si="7"/>
        <v>426.94</v>
      </c>
      <c r="Y56" s="66">
        <f t="shared" si="7"/>
        <v>426.94</v>
      </c>
      <c r="Z56" s="66">
        <f t="shared" si="7"/>
        <v>426.24</v>
      </c>
      <c r="AA56" s="66">
        <f t="shared" si="7"/>
        <v>426.24</v>
      </c>
      <c r="AB56" s="66">
        <f t="shared" si="7"/>
        <v>424.33999999999992</v>
      </c>
      <c r="AC56" s="66">
        <f t="shared" si="7"/>
        <v>424.33999999999992</v>
      </c>
      <c r="AD56" s="66">
        <f t="shared" si="7"/>
        <v>427.34</v>
      </c>
      <c r="AE56" s="66">
        <f t="shared" si="7"/>
        <v>414.84000000000003</v>
      </c>
      <c r="AF56" s="66">
        <f t="shared" si="7"/>
        <v>426.94</v>
      </c>
      <c r="AG56" s="143">
        <f t="shared" si="7"/>
        <v>489.91</v>
      </c>
      <c r="AH56" s="54">
        <f t="shared" si="2"/>
        <v>427.34</v>
      </c>
      <c r="AI56" s="55">
        <f t="shared" si="3"/>
        <v>323.14</v>
      </c>
      <c r="AK56" s="56"/>
    </row>
    <row r="57" spans="1:41" x14ac:dyDescent="0.25">
      <c r="A57" s="57" t="s">
        <v>37</v>
      </c>
      <c r="B57" s="50">
        <v>30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20</v>
      </c>
      <c r="K57" s="50">
        <v>60.3</v>
      </c>
      <c r="L57" s="50">
        <v>60.3</v>
      </c>
      <c r="M57" s="50">
        <v>60.3</v>
      </c>
      <c r="N57" s="50">
        <v>10.3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14</v>
      </c>
      <c r="AA57" s="50">
        <v>59.3</v>
      </c>
      <c r="AB57" s="50">
        <v>10.7</v>
      </c>
      <c r="AC57" s="50">
        <v>35.6</v>
      </c>
      <c r="AD57" s="50">
        <v>35.6</v>
      </c>
      <c r="AE57" s="50">
        <v>13.5</v>
      </c>
      <c r="AF57" s="50">
        <v>0</v>
      </c>
      <c r="AG57" s="135">
        <v>60</v>
      </c>
      <c r="AH57" s="54">
        <f t="shared" si="2"/>
        <v>60.3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10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12</v>
      </c>
      <c r="K58" s="48">
        <v>26.8</v>
      </c>
      <c r="L58" s="48">
        <v>26.8</v>
      </c>
      <c r="M58" s="48">
        <v>26.8</v>
      </c>
      <c r="N58" s="48">
        <v>5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5</v>
      </c>
      <c r="AA58" s="48">
        <v>24.9</v>
      </c>
      <c r="AB58" s="48">
        <v>5.0999999999999996</v>
      </c>
      <c r="AC58" s="48">
        <v>18.600000000000001</v>
      </c>
      <c r="AD58" s="48">
        <v>14.4</v>
      </c>
      <c r="AE58" s="48">
        <v>9.6</v>
      </c>
      <c r="AF58" s="48">
        <v>0</v>
      </c>
      <c r="AG58" s="136">
        <v>32</v>
      </c>
      <c r="AH58" s="54">
        <f t="shared" si="2"/>
        <v>26.8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3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5</v>
      </c>
      <c r="K59" s="70">
        <v>9.8000000000000007</v>
      </c>
      <c r="L59" s="70">
        <v>9.8000000000000007</v>
      </c>
      <c r="M59" s="70">
        <v>9.8000000000000007</v>
      </c>
      <c r="N59" s="70">
        <v>1.8</v>
      </c>
      <c r="O59" s="70">
        <v>0</v>
      </c>
      <c r="P59" s="70">
        <v>0</v>
      </c>
      <c r="Q59" s="70">
        <v>0</v>
      </c>
      <c r="R59" s="70">
        <v>0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1.9</v>
      </c>
      <c r="AA59" s="70">
        <v>9.1</v>
      </c>
      <c r="AB59" s="70">
        <v>1.9</v>
      </c>
      <c r="AC59" s="70">
        <v>6.8</v>
      </c>
      <c r="AD59" s="70">
        <v>5.2</v>
      </c>
      <c r="AE59" s="70">
        <v>3.5</v>
      </c>
      <c r="AF59" s="70">
        <v>0</v>
      </c>
      <c r="AG59" s="137">
        <v>14</v>
      </c>
      <c r="AH59" s="54">
        <f t="shared" si="2"/>
        <v>9.8000000000000007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>SUM(B57:B59)</f>
        <v>43</v>
      </c>
      <c r="C60" s="66">
        <f t="shared" ref="C60:AG60" si="8">SUM(C57:C59)</f>
        <v>0</v>
      </c>
      <c r="D60" s="66">
        <f t="shared" si="8"/>
        <v>0</v>
      </c>
      <c r="E60" s="66">
        <f t="shared" si="8"/>
        <v>0</v>
      </c>
      <c r="F60" s="66">
        <f t="shared" si="8"/>
        <v>0</v>
      </c>
      <c r="G60" s="66">
        <f t="shared" si="8"/>
        <v>0</v>
      </c>
      <c r="H60" s="66">
        <f t="shared" si="8"/>
        <v>0</v>
      </c>
      <c r="I60" s="66">
        <f t="shared" si="8"/>
        <v>0</v>
      </c>
      <c r="J60" s="66">
        <f t="shared" si="8"/>
        <v>37</v>
      </c>
      <c r="K60" s="66">
        <f t="shared" si="8"/>
        <v>96.899999999999991</v>
      </c>
      <c r="L60" s="66">
        <f t="shared" si="8"/>
        <v>96.899999999999991</v>
      </c>
      <c r="M60" s="66">
        <f t="shared" si="8"/>
        <v>96.899999999999991</v>
      </c>
      <c r="N60" s="66">
        <f t="shared" si="8"/>
        <v>17.100000000000001</v>
      </c>
      <c r="O60" s="66">
        <f t="shared" si="8"/>
        <v>0</v>
      </c>
      <c r="P60" s="66">
        <f t="shared" si="8"/>
        <v>0</v>
      </c>
      <c r="Q60" s="66">
        <f t="shared" si="8"/>
        <v>0</v>
      </c>
      <c r="R60" s="66">
        <f t="shared" si="8"/>
        <v>0</v>
      </c>
      <c r="S60" s="66">
        <f t="shared" si="8"/>
        <v>0</v>
      </c>
      <c r="T60" s="66">
        <f t="shared" si="8"/>
        <v>0</v>
      </c>
      <c r="U60" s="66">
        <f t="shared" si="8"/>
        <v>0</v>
      </c>
      <c r="V60" s="66">
        <f t="shared" si="8"/>
        <v>0</v>
      </c>
      <c r="W60" s="66">
        <f t="shared" si="8"/>
        <v>0</v>
      </c>
      <c r="X60" s="66">
        <f t="shared" si="8"/>
        <v>0</v>
      </c>
      <c r="Y60" s="66">
        <f t="shared" si="8"/>
        <v>0</v>
      </c>
      <c r="Z60" s="66">
        <f t="shared" si="8"/>
        <v>20.9</v>
      </c>
      <c r="AA60" s="66">
        <f t="shared" si="8"/>
        <v>93.299999999999983</v>
      </c>
      <c r="AB60" s="66">
        <f t="shared" si="8"/>
        <v>17.7</v>
      </c>
      <c r="AC60" s="66">
        <f t="shared" si="8"/>
        <v>61</v>
      </c>
      <c r="AD60" s="66">
        <f t="shared" si="8"/>
        <v>55.2</v>
      </c>
      <c r="AE60" s="66">
        <f t="shared" si="8"/>
        <v>26.6</v>
      </c>
      <c r="AF60" s="66">
        <f t="shared" si="8"/>
        <v>0</v>
      </c>
      <c r="AG60" s="143">
        <f t="shared" si="8"/>
        <v>106</v>
      </c>
      <c r="AH60" s="54">
        <f t="shared" si="2"/>
        <v>96.899999999999991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65</v>
      </c>
      <c r="C61" s="50">
        <v>64.3</v>
      </c>
      <c r="D61" s="50">
        <v>65</v>
      </c>
      <c r="E61" s="50">
        <v>26.3</v>
      </c>
      <c r="F61" s="50">
        <v>23</v>
      </c>
      <c r="G61" s="50">
        <v>9</v>
      </c>
      <c r="H61" s="50">
        <v>7.9</v>
      </c>
      <c r="I61" s="50">
        <v>2.2999999999999998</v>
      </c>
      <c r="J61" s="50">
        <v>26.3</v>
      </c>
      <c r="K61" s="50">
        <v>23.3</v>
      </c>
      <c r="L61" s="50">
        <v>42.3</v>
      </c>
      <c r="M61" s="50">
        <v>35.200000000000003</v>
      </c>
      <c r="N61" s="50">
        <v>33.299999999999997</v>
      </c>
      <c r="O61" s="50">
        <v>23.5</v>
      </c>
      <c r="P61" s="50">
        <v>30.5</v>
      </c>
      <c r="Q61" s="50">
        <v>51</v>
      </c>
      <c r="R61" s="50">
        <v>28</v>
      </c>
      <c r="S61" s="50">
        <v>27.3</v>
      </c>
      <c r="T61" s="50">
        <v>31.8</v>
      </c>
      <c r="U61" s="50">
        <v>27.5</v>
      </c>
      <c r="V61" s="50">
        <v>21</v>
      </c>
      <c r="W61" s="50">
        <v>19.2</v>
      </c>
      <c r="X61" s="50">
        <v>20</v>
      </c>
      <c r="Y61" s="50">
        <v>20</v>
      </c>
      <c r="Z61" s="50">
        <v>44.1</v>
      </c>
      <c r="AA61" s="50">
        <v>52.1</v>
      </c>
      <c r="AB61" s="50">
        <v>69</v>
      </c>
      <c r="AC61" s="50">
        <v>47.7</v>
      </c>
      <c r="AD61" s="50">
        <v>48.9</v>
      </c>
      <c r="AE61" s="50">
        <v>48</v>
      </c>
      <c r="AF61" s="50">
        <v>30</v>
      </c>
      <c r="AG61" s="135"/>
      <c r="AH61" s="54">
        <f t="shared" si="2"/>
        <v>69</v>
      </c>
      <c r="AI61" s="55">
        <f t="shared" si="3"/>
        <v>2.2999999999999998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-330</v>
      </c>
      <c r="C63" s="48">
        <v>-370</v>
      </c>
      <c r="D63" s="48">
        <v>-380</v>
      </c>
      <c r="E63" s="48">
        <v>-393</v>
      </c>
      <c r="F63" s="48">
        <v>-377.7</v>
      </c>
      <c r="G63" s="48">
        <v>-395</v>
      </c>
      <c r="H63" s="48">
        <v>-334.6</v>
      </c>
      <c r="I63" s="48">
        <v>-373.8</v>
      </c>
      <c r="J63" s="48">
        <v>-372</v>
      </c>
      <c r="K63" s="48">
        <v>-375.2</v>
      </c>
      <c r="L63" s="48">
        <v>-357</v>
      </c>
      <c r="M63" s="48">
        <v>-340.2</v>
      </c>
      <c r="N63" s="48">
        <v>-330.2</v>
      </c>
      <c r="O63" s="48">
        <v>-329.5</v>
      </c>
      <c r="P63" s="48">
        <v>-299.2</v>
      </c>
      <c r="Q63" s="48">
        <v>-313.39999999999998</v>
      </c>
      <c r="R63" s="48">
        <v>-300.5</v>
      </c>
      <c r="S63" s="48">
        <v>-296</v>
      </c>
      <c r="T63" s="48">
        <v>-281</v>
      </c>
      <c r="U63" s="48">
        <v>-320</v>
      </c>
      <c r="V63" s="48">
        <v>-356</v>
      </c>
      <c r="W63" s="48">
        <v>-346</v>
      </c>
      <c r="X63" s="48">
        <v>-354</v>
      </c>
      <c r="Y63" s="48">
        <v>-354</v>
      </c>
      <c r="Z63" s="48">
        <v>-270</v>
      </c>
      <c r="AA63" s="48">
        <v>-260</v>
      </c>
      <c r="AB63" s="48">
        <v>-231.8</v>
      </c>
      <c r="AC63" s="48">
        <v>-268.60000000000002</v>
      </c>
      <c r="AD63" s="48">
        <v>-284</v>
      </c>
      <c r="AE63" s="48">
        <v>-328</v>
      </c>
      <c r="AF63" s="48">
        <v>-345</v>
      </c>
      <c r="AG63" s="140"/>
      <c r="AH63" s="54">
        <f t="shared" si="2"/>
        <v>-231.8</v>
      </c>
      <c r="AI63" s="55">
        <f t="shared" si="3"/>
        <v>-395</v>
      </c>
      <c r="AK63" s="56"/>
    </row>
    <row r="64" spans="1:41" x14ac:dyDescent="0.25">
      <c r="A64" s="60" t="s">
        <v>44</v>
      </c>
      <c r="B64" s="71">
        <v>12</v>
      </c>
      <c r="C64" s="71">
        <v>12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140"/>
      <c r="AH64" s="54">
        <f t="shared" si="2"/>
        <v>12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8</v>
      </c>
      <c r="C66" s="72">
        <v>8</v>
      </c>
      <c r="D66" s="72">
        <v>8</v>
      </c>
      <c r="E66" s="72">
        <v>8</v>
      </c>
      <c r="F66" s="72">
        <v>8</v>
      </c>
      <c r="G66" s="72">
        <v>8</v>
      </c>
      <c r="H66" s="72">
        <v>8</v>
      </c>
      <c r="I66" s="72">
        <v>7</v>
      </c>
      <c r="J66" s="72">
        <v>4</v>
      </c>
      <c r="K66" s="72">
        <v>4</v>
      </c>
      <c r="L66" s="72">
        <v>4</v>
      </c>
      <c r="M66" s="72">
        <v>4</v>
      </c>
      <c r="N66" s="72">
        <v>4</v>
      </c>
      <c r="O66" s="72">
        <v>4</v>
      </c>
      <c r="P66" s="72">
        <v>4</v>
      </c>
      <c r="Q66" s="72">
        <v>4</v>
      </c>
      <c r="R66" s="72">
        <v>4</v>
      </c>
      <c r="S66" s="72">
        <v>4</v>
      </c>
      <c r="T66" s="72">
        <v>4</v>
      </c>
      <c r="U66" s="72">
        <v>4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0</v>
      </c>
      <c r="AD66" s="72">
        <v>0</v>
      </c>
      <c r="AE66" s="72">
        <v>0</v>
      </c>
      <c r="AF66" s="72">
        <v>5</v>
      </c>
      <c r="AG66" s="140"/>
      <c r="AH66" s="54">
        <f t="shared" si="2"/>
        <v>8</v>
      </c>
      <c r="AI66" s="55">
        <f t="shared" si="3"/>
        <v>0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1">
        <v>0</v>
      </c>
      <c r="D68" s="71">
        <v>0</v>
      </c>
      <c r="E68" s="71">
        <v>0</v>
      </c>
      <c r="F68" s="71">
        <v>0</v>
      </c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1">
        <v>0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4">
        <v>0</v>
      </c>
      <c r="C70" s="74">
        <v>0</v>
      </c>
      <c r="D70" s="74">
        <v>0</v>
      </c>
      <c r="E70" s="74">
        <v>0</v>
      </c>
      <c r="F70" s="74">
        <v>0</v>
      </c>
      <c r="G70" s="74">
        <v>0</v>
      </c>
      <c r="H70" s="74">
        <v>0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4">
        <v>0</v>
      </c>
      <c r="C71" s="74">
        <v>0</v>
      </c>
      <c r="D71" s="74">
        <v>0</v>
      </c>
      <c r="E71" s="74">
        <v>0</v>
      </c>
      <c r="F71" s="74">
        <v>0</v>
      </c>
      <c r="G71" s="74">
        <v>0</v>
      </c>
      <c r="H71" s="74">
        <v>0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>SUMIF(B61:B71,"&gt;0")</f>
        <v>85</v>
      </c>
      <c r="C72" s="66">
        <f t="shared" ref="C72:L72" si="9">SUMIF(C61:C71,"&gt;0")</f>
        <v>84.3</v>
      </c>
      <c r="D72" s="66">
        <f t="shared" si="9"/>
        <v>73</v>
      </c>
      <c r="E72" s="66">
        <f t="shared" si="9"/>
        <v>34.299999999999997</v>
      </c>
      <c r="F72" s="66">
        <f t="shared" si="9"/>
        <v>31</v>
      </c>
      <c r="G72" s="66">
        <f t="shared" si="9"/>
        <v>17</v>
      </c>
      <c r="H72" s="66">
        <f t="shared" si="9"/>
        <v>15.9</v>
      </c>
      <c r="I72" s="66">
        <f t="shared" si="9"/>
        <v>9.3000000000000007</v>
      </c>
      <c r="J72" s="66">
        <f t="shared" si="9"/>
        <v>30.3</v>
      </c>
      <c r="K72" s="66">
        <f t="shared" si="9"/>
        <v>27.3</v>
      </c>
      <c r="L72" s="66">
        <f t="shared" si="9"/>
        <v>46.3</v>
      </c>
      <c r="M72" s="66">
        <f>SUMIF(M61:M71,"&gt;0")</f>
        <v>39.200000000000003</v>
      </c>
      <c r="N72" s="66">
        <f t="shared" ref="N72:AF72" si="10">SUMIF(N61:N71,"&gt;0")</f>
        <v>37.299999999999997</v>
      </c>
      <c r="O72" s="66">
        <f t="shared" si="10"/>
        <v>27.5</v>
      </c>
      <c r="P72" s="66">
        <f t="shared" si="10"/>
        <v>34.5</v>
      </c>
      <c r="Q72" s="66">
        <f t="shared" si="10"/>
        <v>55</v>
      </c>
      <c r="R72" s="66">
        <f t="shared" si="10"/>
        <v>32</v>
      </c>
      <c r="S72" s="66">
        <f t="shared" si="10"/>
        <v>31.3</v>
      </c>
      <c r="T72" s="66">
        <f t="shared" si="10"/>
        <v>35.799999999999997</v>
      </c>
      <c r="U72" s="66">
        <f t="shared" si="10"/>
        <v>31.5</v>
      </c>
      <c r="V72" s="66">
        <f t="shared" si="10"/>
        <v>21</v>
      </c>
      <c r="W72" s="66">
        <f t="shared" si="10"/>
        <v>19.2</v>
      </c>
      <c r="X72" s="66">
        <f t="shared" si="10"/>
        <v>20</v>
      </c>
      <c r="Y72" s="66">
        <f t="shared" si="10"/>
        <v>20</v>
      </c>
      <c r="Z72" s="66">
        <f t="shared" si="10"/>
        <v>44.1</v>
      </c>
      <c r="AA72" s="66">
        <f t="shared" si="10"/>
        <v>52.1</v>
      </c>
      <c r="AB72" s="66">
        <f t="shared" si="10"/>
        <v>69</v>
      </c>
      <c r="AC72" s="66">
        <f t="shared" si="10"/>
        <v>47.7</v>
      </c>
      <c r="AD72" s="66">
        <f t="shared" si="10"/>
        <v>48.9</v>
      </c>
      <c r="AE72" s="66">
        <f t="shared" si="10"/>
        <v>48</v>
      </c>
      <c r="AF72" s="66">
        <f t="shared" si="10"/>
        <v>35</v>
      </c>
      <c r="AG72" s="138">
        <f>SUM(AG61:AG71)</f>
        <v>0</v>
      </c>
      <c r="AH72" s="54">
        <f t="shared" si="2"/>
        <v>85</v>
      </c>
      <c r="AI72" s="55">
        <f t="shared" si="3"/>
        <v>9.3000000000000007</v>
      </c>
      <c r="AK72" s="56"/>
    </row>
    <row r="73" spans="1:88" x14ac:dyDescent="0.25">
      <c r="A73" s="57" t="s">
        <v>53</v>
      </c>
      <c r="B73" s="71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>
        <v>0</v>
      </c>
      <c r="C75" s="74">
        <v>0</v>
      </c>
      <c r="D75" s="74">
        <v>0</v>
      </c>
      <c r="E75" s="74">
        <v>0</v>
      </c>
      <c r="F75" s="74">
        <v>0</v>
      </c>
      <c r="G75" s="74">
        <v>0</v>
      </c>
      <c r="H75" s="74">
        <v>0</v>
      </c>
      <c r="I75" s="74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>B38+B42+B60+B56+B72+B76</f>
        <v>1808.8400000000001</v>
      </c>
      <c r="C77" s="75">
        <f t="shared" ref="C77:AF77" si="11">C38+C42+C60+C56+C72+C76</f>
        <v>1760.94</v>
      </c>
      <c r="D77" s="75">
        <f t="shared" si="11"/>
        <v>1752.5400000000002</v>
      </c>
      <c r="E77" s="75">
        <f t="shared" si="11"/>
        <v>1765.3400000000001</v>
      </c>
      <c r="F77" s="75">
        <f t="shared" si="11"/>
        <v>1723.94</v>
      </c>
      <c r="G77" s="75">
        <f t="shared" si="11"/>
        <v>1719.0400000000002</v>
      </c>
      <c r="H77" s="75">
        <f t="shared" si="11"/>
        <v>1649.9400000000003</v>
      </c>
      <c r="I77" s="75">
        <f t="shared" si="11"/>
        <v>1729.24</v>
      </c>
      <c r="J77" s="75">
        <f t="shared" si="11"/>
        <v>1759.34</v>
      </c>
      <c r="K77" s="75">
        <f t="shared" si="11"/>
        <v>1812.24</v>
      </c>
      <c r="L77" s="75">
        <f t="shared" si="11"/>
        <v>1807.5400000000002</v>
      </c>
      <c r="M77" s="75">
        <f t="shared" si="11"/>
        <v>1849.4100000000003</v>
      </c>
      <c r="N77" s="75">
        <f t="shared" si="11"/>
        <v>1772.74</v>
      </c>
      <c r="O77" s="75">
        <f t="shared" si="11"/>
        <v>1796.5400000000002</v>
      </c>
      <c r="P77" s="75">
        <f t="shared" si="11"/>
        <v>1797.8400000000001</v>
      </c>
      <c r="Q77" s="75">
        <f t="shared" si="11"/>
        <v>1787.84</v>
      </c>
      <c r="R77" s="75">
        <f t="shared" si="11"/>
        <v>1797.04</v>
      </c>
      <c r="S77" s="75">
        <f t="shared" si="11"/>
        <v>1804.6399999999999</v>
      </c>
      <c r="T77" s="75">
        <f t="shared" si="11"/>
        <v>1802.04</v>
      </c>
      <c r="U77" s="75">
        <f t="shared" si="11"/>
        <v>1807.44</v>
      </c>
      <c r="V77" s="75">
        <f t="shared" si="11"/>
        <v>1772.94</v>
      </c>
      <c r="W77" s="75">
        <f t="shared" si="11"/>
        <v>1761.14</v>
      </c>
      <c r="X77" s="75">
        <f t="shared" si="11"/>
        <v>1761.94</v>
      </c>
      <c r="Y77" s="75">
        <f t="shared" si="11"/>
        <v>1761.94</v>
      </c>
      <c r="Z77" s="75">
        <f t="shared" si="11"/>
        <v>1830.34</v>
      </c>
      <c r="AA77" s="75">
        <f t="shared" si="11"/>
        <v>1910.7399999999998</v>
      </c>
      <c r="AB77" s="75">
        <f t="shared" si="11"/>
        <v>1864.8400000000001</v>
      </c>
      <c r="AC77" s="75">
        <f t="shared" si="11"/>
        <v>1886.8400000000001</v>
      </c>
      <c r="AD77" s="75">
        <f t="shared" si="11"/>
        <v>1893.54</v>
      </c>
      <c r="AE77" s="75">
        <f t="shared" si="11"/>
        <v>1851.44</v>
      </c>
      <c r="AF77" s="75">
        <f t="shared" si="11"/>
        <v>1824.3400000000001</v>
      </c>
      <c r="AG77" s="143">
        <f>AG38+AG42+AG60+AG56+AG72+AG76</f>
        <v>1855.1900000000003</v>
      </c>
      <c r="AH77" s="54">
        <f t="shared" si="2"/>
        <v>1910.7399999999998</v>
      </c>
      <c r="AI77" s="55">
        <f t="shared" si="3"/>
        <v>1649.9400000000003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0</v>
      </c>
      <c r="AI78" s="55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>B77+B78</f>
        <v>1808.8400000000001</v>
      </c>
      <c r="C79" s="75">
        <f t="shared" ref="C79:AF79" si="12">C77+C78</f>
        <v>1760.94</v>
      </c>
      <c r="D79" s="75">
        <f t="shared" si="12"/>
        <v>1752.5400000000002</v>
      </c>
      <c r="E79" s="75">
        <f t="shared" si="12"/>
        <v>1765.3400000000001</v>
      </c>
      <c r="F79" s="75">
        <f t="shared" si="12"/>
        <v>1723.94</v>
      </c>
      <c r="G79" s="75">
        <f t="shared" si="12"/>
        <v>1719.0400000000002</v>
      </c>
      <c r="H79" s="75">
        <f t="shared" si="12"/>
        <v>1649.9400000000003</v>
      </c>
      <c r="I79" s="75">
        <f t="shared" si="12"/>
        <v>1729.24</v>
      </c>
      <c r="J79" s="75">
        <f t="shared" si="12"/>
        <v>1759.34</v>
      </c>
      <c r="K79" s="75">
        <f t="shared" si="12"/>
        <v>1812.24</v>
      </c>
      <c r="L79" s="75">
        <f t="shared" si="12"/>
        <v>1807.5400000000002</v>
      </c>
      <c r="M79" s="75">
        <f t="shared" si="12"/>
        <v>1849.4100000000003</v>
      </c>
      <c r="N79" s="75">
        <f t="shared" si="12"/>
        <v>1772.74</v>
      </c>
      <c r="O79" s="75">
        <f t="shared" si="12"/>
        <v>1796.5400000000002</v>
      </c>
      <c r="P79" s="75">
        <f t="shared" si="12"/>
        <v>1797.8400000000001</v>
      </c>
      <c r="Q79" s="75">
        <f t="shared" si="12"/>
        <v>1787.84</v>
      </c>
      <c r="R79" s="75">
        <f t="shared" si="12"/>
        <v>1797.04</v>
      </c>
      <c r="S79" s="75">
        <f t="shared" si="12"/>
        <v>1804.6399999999999</v>
      </c>
      <c r="T79" s="75">
        <f t="shared" si="12"/>
        <v>1802.04</v>
      </c>
      <c r="U79" s="75">
        <f t="shared" si="12"/>
        <v>1807.44</v>
      </c>
      <c r="V79" s="75">
        <f t="shared" si="12"/>
        <v>1772.94</v>
      </c>
      <c r="W79" s="75">
        <f t="shared" si="12"/>
        <v>1761.14</v>
      </c>
      <c r="X79" s="75">
        <f t="shared" si="12"/>
        <v>1761.94</v>
      </c>
      <c r="Y79" s="75">
        <f t="shared" si="12"/>
        <v>1761.94</v>
      </c>
      <c r="Z79" s="75">
        <f t="shared" si="12"/>
        <v>1830.34</v>
      </c>
      <c r="AA79" s="75">
        <f t="shared" si="12"/>
        <v>1910.7399999999998</v>
      </c>
      <c r="AB79" s="75">
        <f t="shared" si="12"/>
        <v>1864.8400000000001</v>
      </c>
      <c r="AC79" s="75">
        <f t="shared" si="12"/>
        <v>1886.8400000000001</v>
      </c>
      <c r="AD79" s="75">
        <f t="shared" si="12"/>
        <v>1893.54</v>
      </c>
      <c r="AE79" s="75">
        <f t="shared" si="12"/>
        <v>1851.44</v>
      </c>
      <c r="AF79" s="75">
        <f t="shared" si="12"/>
        <v>1824.3400000000001</v>
      </c>
      <c r="AG79" s="138">
        <f>AG76+AG72+AG60+AG56+AG38+AG78</f>
        <v>1317.0900000000001</v>
      </c>
      <c r="AH79" s="54">
        <f t="shared" si="2"/>
        <v>1910.7399999999998</v>
      </c>
      <c r="AI79" s="55">
        <f t="shared" si="3"/>
        <v>1649.9400000000003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:AF80" si="13">B79-B87</f>
        <v>1478.8400000000001</v>
      </c>
      <c r="C80" s="75">
        <f t="shared" si="13"/>
        <v>1390.94</v>
      </c>
      <c r="D80" s="75">
        <f t="shared" si="13"/>
        <v>1372.5400000000002</v>
      </c>
      <c r="E80" s="75">
        <f t="shared" si="13"/>
        <v>1372.3400000000001</v>
      </c>
      <c r="F80" s="75">
        <f t="shared" si="13"/>
        <v>1346.24</v>
      </c>
      <c r="G80" s="75">
        <f t="shared" si="13"/>
        <v>1324.0400000000002</v>
      </c>
      <c r="H80" s="75">
        <f t="shared" si="13"/>
        <v>1315.3400000000001</v>
      </c>
      <c r="I80" s="75">
        <f t="shared" si="13"/>
        <v>1355.44</v>
      </c>
      <c r="J80" s="75">
        <f t="shared" si="13"/>
        <v>1387.34</v>
      </c>
      <c r="K80" s="75">
        <f t="shared" si="13"/>
        <v>1437.04</v>
      </c>
      <c r="L80" s="75">
        <f t="shared" si="13"/>
        <v>1450.5400000000002</v>
      </c>
      <c r="M80" s="75">
        <f t="shared" si="13"/>
        <v>1509.2100000000003</v>
      </c>
      <c r="N80" s="75">
        <f t="shared" si="13"/>
        <v>1442.54</v>
      </c>
      <c r="O80" s="75">
        <f t="shared" si="13"/>
        <v>1467.0400000000002</v>
      </c>
      <c r="P80" s="75">
        <f t="shared" si="13"/>
        <v>1498.64</v>
      </c>
      <c r="Q80" s="75">
        <f t="shared" si="13"/>
        <v>1474.44</v>
      </c>
      <c r="R80" s="75">
        <f t="shared" si="13"/>
        <v>1496.54</v>
      </c>
      <c r="S80" s="75">
        <f t="shared" si="13"/>
        <v>1508.6399999999999</v>
      </c>
      <c r="T80" s="75">
        <f t="shared" si="13"/>
        <v>1521.04</v>
      </c>
      <c r="U80" s="75">
        <f t="shared" si="13"/>
        <v>1487.44</v>
      </c>
      <c r="V80" s="75">
        <f t="shared" si="13"/>
        <v>1416.94</v>
      </c>
      <c r="W80" s="75">
        <f t="shared" si="13"/>
        <v>1415.14</v>
      </c>
      <c r="X80" s="75">
        <f t="shared" si="13"/>
        <v>1407.94</v>
      </c>
      <c r="Y80" s="75">
        <f t="shared" si="13"/>
        <v>1407.94</v>
      </c>
      <c r="Z80" s="75">
        <f t="shared" si="13"/>
        <v>1560.34</v>
      </c>
      <c r="AA80" s="75">
        <f t="shared" si="13"/>
        <v>1650.7399999999998</v>
      </c>
      <c r="AB80" s="75">
        <f t="shared" si="13"/>
        <v>1633.0400000000002</v>
      </c>
      <c r="AC80" s="75">
        <f t="shared" si="13"/>
        <v>1618.2400000000002</v>
      </c>
      <c r="AD80" s="75">
        <f t="shared" si="13"/>
        <v>1609.54</v>
      </c>
      <c r="AE80" s="75">
        <f t="shared" si="13"/>
        <v>1523.44</v>
      </c>
      <c r="AF80" s="75">
        <f t="shared" si="13"/>
        <v>1479.3400000000001</v>
      </c>
      <c r="AG80" s="138"/>
      <c r="AH80" s="54">
        <f t="shared" ref="AH80:AH97" si="14">MAX(B80:AF80)</f>
        <v>1650.7399999999998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>IF(B64&lt;0,B64*-1,0)</f>
        <v>0</v>
      </c>
      <c r="C81" s="71">
        <f t="shared" ref="C81:AF81" si="15">IF(C64&lt;0,C64*-1,0)</f>
        <v>0</v>
      </c>
      <c r="D81" s="71">
        <f t="shared" si="15"/>
        <v>0</v>
      </c>
      <c r="E81" s="71">
        <f t="shared" si="15"/>
        <v>0</v>
      </c>
      <c r="F81" s="71">
        <f t="shared" si="15"/>
        <v>0</v>
      </c>
      <c r="G81" s="71">
        <f t="shared" si="15"/>
        <v>0</v>
      </c>
      <c r="H81" s="71">
        <f t="shared" si="15"/>
        <v>0</v>
      </c>
      <c r="I81" s="71">
        <f t="shared" si="15"/>
        <v>0</v>
      </c>
      <c r="J81" s="71">
        <f t="shared" si="15"/>
        <v>0</v>
      </c>
      <c r="K81" s="71">
        <f t="shared" si="15"/>
        <v>0</v>
      </c>
      <c r="L81" s="71">
        <f t="shared" si="15"/>
        <v>0</v>
      </c>
      <c r="M81" s="71">
        <f t="shared" si="15"/>
        <v>0</v>
      </c>
      <c r="N81" s="71">
        <f t="shared" si="15"/>
        <v>0</v>
      </c>
      <c r="O81" s="71">
        <f t="shared" si="15"/>
        <v>0</v>
      </c>
      <c r="P81" s="71">
        <f t="shared" si="15"/>
        <v>0</v>
      </c>
      <c r="Q81" s="71">
        <f t="shared" si="15"/>
        <v>0</v>
      </c>
      <c r="R81" s="71">
        <f t="shared" si="15"/>
        <v>0</v>
      </c>
      <c r="S81" s="71">
        <f t="shared" si="15"/>
        <v>0</v>
      </c>
      <c r="T81" s="71">
        <f t="shared" si="15"/>
        <v>0</v>
      </c>
      <c r="U81" s="71">
        <f t="shared" si="15"/>
        <v>0</v>
      </c>
      <c r="V81" s="71">
        <f t="shared" si="15"/>
        <v>0</v>
      </c>
      <c r="W81" s="71">
        <f t="shared" si="15"/>
        <v>0</v>
      </c>
      <c r="X81" s="71">
        <f t="shared" si="15"/>
        <v>0</v>
      </c>
      <c r="Y81" s="71">
        <f t="shared" si="15"/>
        <v>0</v>
      </c>
      <c r="Z81" s="71">
        <f t="shared" si="15"/>
        <v>0</v>
      </c>
      <c r="AA81" s="71">
        <f t="shared" si="15"/>
        <v>0</v>
      </c>
      <c r="AB81" s="71">
        <f t="shared" si="15"/>
        <v>0</v>
      </c>
      <c r="AC81" s="71">
        <f t="shared" si="15"/>
        <v>0</v>
      </c>
      <c r="AD81" s="71">
        <f t="shared" si="15"/>
        <v>0</v>
      </c>
      <c r="AE81" s="71">
        <f t="shared" si="15"/>
        <v>0</v>
      </c>
      <c r="AF81" s="71">
        <f t="shared" si="15"/>
        <v>0</v>
      </c>
      <c r="AG81" s="135"/>
      <c r="AH81" s="54">
        <f t="shared" si="14"/>
        <v>0</v>
      </c>
      <c r="AI81" s="55">
        <f t="shared" ref="AI81:AI97" si="16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>IF(B62&lt;0,B62*-1,0)</f>
        <v>0</v>
      </c>
      <c r="C82" s="71">
        <f t="shared" ref="C82:AF82" si="17">IF(C62&lt;0,C62*-1,0)</f>
        <v>0</v>
      </c>
      <c r="D82" s="71">
        <f t="shared" si="17"/>
        <v>0</v>
      </c>
      <c r="E82" s="71">
        <f t="shared" si="17"/>
        <v>0</v>
      </c>
      <c r="F82" s="71">
        <f t="shared" si="17"/>
        <v>0</v>
      </c>
      <c r="G82" s="71">
        <f t="shared" si="17"/>
        <v>0</v>
      </c>
      <c r="H82" s="71">
        <f t="shared" si="17"/>
        <v>0</v>
      </c>
      <c r="I82" s="71">
        <f t="shared" si="17"/>
        <v>0</v>
      </c>
      <c r="J82" s="71">
        <f t="shared" si="17"/>
        <v>0</v>
      </c>
      <c r="K82" s="71">
        <f t="shared" si="17"/>
        <v>0</v>
      </c>
      <c r="L82" s="71">
        <f t="shared" si="17"/>
        <v>0</v>
      </c>
      <c r="M82" s="71">
        <f t="shared" si="17"/>
        <v>0</v>
      </c>
      <c r="N82" s="71">
        <f t="shared" si="17"/>
        <v>0</v>
      </c>
      <c r="O82" s="71">
        <f t="shared" si="17"/>
        <v>0</v>
      </c>
      <c r="P82" s="71">
        <f t="shared" si="17"/>
        <v>0</v>
      </c>
      <c r="Q82" s="71">
        <f t="shared" si="17"/>
        <v>0</v>
      </c>
      <c r="R82" s="71">
        <f t="shared" si="17"/>
        <v>0</v>
      </c>
      <c r="S82" s="71">
        <f t="shared" si="17"/>
        <v>0</v>
      </c>
      <c r="T82" s="71">
        <f t="shared" si="17"/>
        <v>0</v>
      </c>
      <c r="U82" s="71">
        <f t="shared" si="17"/>
        <v>0</v>
      </c>
      <c r="V82" s="71">
        <f t="shared" si="17"/>
        <v>0</v>
      </c>
      <c r="W82" s="71">
        <f t="shared" si="17"/>
        <v>0</v>
      </c>
      <c r="X82" s="71">
        <f t="shared" si="17"/>
        <v>0</v>
      </c>
      <c r="Y82" s="71">
        <f t="shared" si="17"/>
        <v>0</v>
      </c>
      <c r="Z82" s="71">
        <f t="shared" si="17"/>
        <v>0</v>
      </c>
      <c r="AA82" s="71">
        <f t="shared" si="17"/>
        <v>0</v>
      </c>
      <c r="AB82" s="71">
        <f t="shared" si="17"/>
        <v>0</v>
      </c>
      <c r="AC82" s="71">
        <f t="shared" si="17"/>
        <v>0</v>
      </c>
      <c r="AD82" s="71">
        <f t="shared" si="17"/>
        <v>0</v>
      </c>
      <c r="AE82" s="71">
        <f t="shared" si="17"/>
        <v>0</v>
      </c>
      <c r="AF82" s="71">
        <f t="shared" si="17"/>
        <v>0</v>
      </c>
      <c r="AG82" s="136"/>
      <c r="AH82" s="54">
        <f t="shared" si="14"/>
        <v>0</v>
      </c>
      <c r="AI82" s="55">
        <f t="shared" si="16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>IF(B65&lt;0,B65*-1,0)</f>
        <v>0</v>
      </c>
      <c r="C83" s="71">
        <f t="shared" ref="C83:AF83" si="18">IF(C65&lt;0,C65*-1,0)</f>
        <v>0</v>
      </c>
      <c r="D83" s="71">
        <f t="shared" si="18"/>
        <v>0</v>
      </c>
      <c r="E83" s="71">
        <f t="shared" si="18"/>
        <v>0</v>
      </c>
      <c r="F83" s="71">
        <f t="shared" si="18"/>
        <v>0</v>
      </c>
      <c r="G83" s="71">
        <f t="shared" si="18"/>
        <v>0</v>
      </c>
      <c r="H83" s="71">
        <f t="shared" si="18"/>
        <v>0</v>
      </c>
      <c r="I83" s="71">
        <f t="shared" si="18"/>
        <v>0</v>
      </c>
      <c r="J83" s="71">
        <f t="shared" si="18"/>
        <v>0</v>
      </c>
      <c r="K83" s="71">
        <f t="shared" si="18"/>
        <v>0</v>
      </c>
      <c r="L83" s="71">
        <f t="shared" si="18"/>
        <v>0</v>
      </c>
      <c r="M83" s="71">
        <f t="shared" si="18"/>
        <v>0</v>
      </c>
      <c r="N83" s="71">
        <f t="shared" si="18"/>
        <v>0</v>
      </c>
      <c r="O83" s="71">
        <f t="shared" si="18"/>
        <v>0</v>
      </c>
      <c r="P83" s="71">
        <f t="shared" si="18"/>
        <v>0</v>
      </c>
      <c r="Q83" s="71">
        <f t="shared" si="18"/>
        <v>0</v>
      </c>
      <c r="R83" s="71">
        <f t="shared" si="18"/>
        <v>0</v>
      </c>
      <c r="S83" s="71">
        <f t="shared" si="18"/>
        <v>0</v>
      </c>
      <c r="T83" s="71">
        <f t="shared" si="18"/>
        <v>0</v>
      </c>
      <c r="U83" s="71">
        <f t="shared" si="18"/>
        <v>0</v>
      </c>
      <c r="V83" s="71">
        <f t="shared" si="18"/>
        <v>0</v>
      </c>
      <c r="W83" s="71">
        <f t="shared" si="18"/>
        <v>0</v>
      </c>
      <c r="X83" s="71">
        <f t="shared" si="18"/>
        <v>0</v>
      </c>
      <c r="Y83" s="71">
        <f t="shared" si="18"/>
        <v>0</v>
      </c>
      <c r="Z83" s="71">
        <f t="shared" si="18"/>
        <v>0</v>
      </c>
      <c r="AA83" s="71">
        <f t="shared" si="18"/>
        <v>0</v>
      </c>
      <c r="AB83" s="71">
        <f t="shared" si="18"/>
        <v>0</v>
      </c>
      <c r="AC83" s="71">
        <f t="shared" si="18"/>
        <v>0</v>
      </c>
      <c r="AD83" s="71">
        <f t="shared" si="18"/>
        <v>0</v>
      </c>
      <c r="AE83" s="71">
        <f t="shared" si="18"/>
        <v>0</v>
      </c>
      <c r="AF83" s="71">
        <f t="shared" si="18"/>
        <v>0</v>
      </c>
      <c r="AG83" s="144"/>
      <c r="AH83" s="54">
        <f t="shared" si="14"/>
        <v>0</v>
      </c>
      <c r="AI83" s="55">
        <f t="shared" si="16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>IF(B63&lt;0,B63*-1,0)</f>
        <v>330</v>
      </c>
      <c r="C84" s="71">
        <f t="shared" ref="C84:AF84" si="19">IF(C63&lt;0,C63*-1,0)</f>
        <v>370</v>
      </c>
      <c r="D84" s="71">
        <f t="shared" si="19"/>
        <v>380</v>
      </c>
      <c r="E84" s="71">
        <f t="shared" si="19"/>
        <v>393</v>
      </c>
      <c r="F84" s="71">
        <f t="shared" si="19"/>
        <v>377.7</v>
      </c>
      <c r="G84" s="71">
        <f t="shared" si="19"/>
        <v>395</v>
      </c>
      <c r="H84" s="71">
        <f t="shared" si="19"/>
        <v>334.6</v>
      </c>
      <c r="I84" s="71">
        <f t="shared" si="19"/>
        <v>373.8</v>
      </c>
      <c r="J84" s="71">
        <f t="shared" si="19"/>
        <v>372</v>
      </c>
      <c r="K84" s="71">
        <f t="shared" si="19"/>
        <v>375.2</v>
      </c>
      <c r="L84" s="71">
        <f t="shared" si="19"/>
        <v>357</v>
      </c>
      <c r="M84" s="71">
        <f t="shared" si="19"/>
        <v>340.2</v>
      </c>
      <c r="N84" s="71">
        <f t="shared" si="19"/>
        <v>330.2</v>
      </c>
      <c r="O84" s="71">
        <f t="shared" si="19"/>
        <v>329.5</v>
      </c>
      <c r="P84" s="71">
        <f t="shared" si="19"/>
        <v>299.2</v>
      </c>
      <c r="Q84" s="71">
        <f t="shared" si="19"/>
        <v>313.39999999999998</v>
      </c>
      <c r="R84" s="71">
        <f t="shared" si="19"/>
        <v>300.5</v>
      </c>
      <c r="S84" s="71">
        <f t="shared" si="19"/>
        <v>296</v>
      </c>
      <c r="T84" s="71">
        <f t="shared" si="19"/>
        <v>281</v>
      </c>
      <c r="U84" s="71">
        <f t="shared" si="19"/>
        <v>320</v>
      </c>
      <c r="V84" s="71">
        <f t="shared" si="19"/>
        <v>356</v>
      </c>
      <c r="W84" s="71">
        <f t="shared" si="19"/>
        <v>346</v>
      </c>
      <c r="X84" s="71">
        <f t="shared" si="19"/>
        <v>354</v>
      </c>
      <c r="Y84" s="71">
        <f t="shared" si="19"/>
        <v>354</v>
      </c>
      <c r="Z84" s="71">
        <f t="shared" si="19"/>
        <v>270</v>
      </c>
      <c r="AA84" s="71">
        <f t="shared" si="19"/>
        <v>260</v>
      </c>
      <c r="AB84" s="71">
        <f t="shared" si="19"/>
        <v>231.8</v>
      </c>
      <c r="AC84" s="71">
        <f t="shared" si="19"/>
        <v>268.60000000000002</v>
      </c>
      <c r="AD84" s="71">
        <f t="shared" si="19"/>
        <v>284</v>
      </c>
      <c r="AE84" s="71">
        <f t="shared" si="19"/>
        <v>328</v>
      </c>
      <c r="AF84" s="71">
        <f t="shared" si="19"/>
        <v>345</v>
      </c>
      <c r="AG84" s="144"/>
      <c r="AH84" s="54">
        <f t="shared" si="14"/>
        <v>395</v>
      </c>
      <c r="AI84" s="55">
        <f t="shared" si="16"/>
        <v>231.8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>IF(B61&lt;0,B61*-1,0)</f>
        <v>0</v>
      </c>
      <c r="C85" s="71">
        <f t="shared" ref="C85:AF85" si="20">IF(C61&lt;0,C61*-1,0)</f>
        <v>0</v>
      </c>
      <c r="D85" s="71">
        <f t="shared" si="20"/>
        <v>0</v>
      </c>
      <c r="E85" s="71">
        <f t="shared" si="20"/>
        <v>0</v>
      </c>
      <c r="F85" s="71">
        <f t="shared" si="20"/>
        <v>0</v>
      </c>
      <c r="G85" s="71">
        <f t="shared" si="20"/>
        <v>0</v>
      </c>
      <c r="H85" s="71">
        <f t="shared" si="20"/>
        <v>0</v>
      </c>
      <c r="I85" s="71">
        <f t="shared" si="20"/>
        <v>0</v>
      </c>
      <c r="J85" s="71">
        <f t="shared" si="20"/>
        <v>0</v>
      </c>
      <c r="K85" s="71">
        <f t="shared" si="20"/>
        <v>0</v>
      </c>
      <c r="L85" s="71">
        <f t="shared" si="20"/>
        <v>0</v>
      </c>
      <c r="M85" s="71">
        <f t="shared" si="20"/>
        <v>0</v>
      </c>
      <c r="N85" s="71">
        <f t="shared" si="20"/>
        <v>0</v>
      </c>
      <c r="O85" s="71">
        <f t="shared" si="20"/>
        <v>0</v>
      </c>
      <c r="P85" s="71">
        <f t="shared" si="20"/>
        <v>0</v>
      </c>
      <c r="Q85" s="71">
        <f t="shared" si="20"/>
        <v>0</v>
      </c>
      <c r="R85" s="71">
        <f t="shared" si="20"/>
        <v>0</v>
      </c>
      <c r="S85" s="71">
        <f t="shared" si="20"/>
        <v>0</v>
      </c>
      <c r="T85" s="71">
        <f t="shared" si="20"/>
        <v>0</v>
      </c>
      <c r="U85" s="71">
        <f t="shared" si="20"/>
        <v>0</v>
      </c>
      <c r="V85" s="71">
        <f t="shared" si="20"/>
        <v>0</v>
      </c>
      <c r="W85" s="71">
        <f t="shared" si="20"/>
        <v>0</v>
      </c>
      <c r="X85" s="71">
        <f t="shared" si="20"/>
        <v>0</v>
      </c>
      <c r="Y85" s="71">
        <f t="shared" si="20"/>
        <v>0</v>
      </c>
      <c r="Z85" s="71">
        <f t="shared" si="20"/>
        <v>0</v>
      </c>
      <c r="AA85" s="71">
        <f t="shared" si="20"/>
        <v>0</v>
      </c>
      <c r="AB85" s="71">
        <f t="shared" si="20"/>
        <v>0</v>
      </c>
      <c r="AC85" s="71">
        <f t="shared" si="20"/>
        <v>0</v>
      </c>
      <c r="AD85" s="71">
        <f t="shared" si="20"/>
        <v>0</v>
      </c>
      <c r="AE85" s="71">
        <f t="shared" si="20"/>
        <v>0</v>
      </c>
      <c r="AF85" s="71">
        <f t="shared" si="20"/>
        <v>0</v>
      </c>
      <c r="AG85" s="144"/>
      <c r="AH85" s="54">
        <f t="shared" si="14"/>
        <v>0</v>
      </c>
      <c r="AI85" s="55">
        <f t="shared" si="16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>
        <v>0</v>
      </c>
      <c r="AD86" s="74"/>
      <c r="AE86" s="74"/>
      <c r="AF86" s="74"/>
      <c r="AG86" s="141"/>
      <c r="AH86" s="54">
        <f t="shared" si="14"/>
        <v>0</v>
      </c>
      <c r="AI86" s="55">
        <f t="shared" si="16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>SUM(B81:B86)</f>
        <v>330</v>
      </c>
      <c r="C87" s="66">
        <f t="shared" ref="C87:AF87" si="21">SUM(C81:C86)</f>
        <v>370</v>
      </c>
      <c r="D87" s="66">
        <f t="shared" si="21"/>
        <v>380</v>
      </c>
      <c r="E87" s="66">
        <f t="shared" si="21"/>
        <v>393</v>
      </c>
      <c r="F87" s="66">
        <f t="shared" si="21"/>
        <v>377.7</v>
      </c>
      <c r="G87" s="66">
        <f t="shared" si="21"/>
        <v>395</v>
      </c>
      <c r="H87" s="66">
        <f t="shared" si="21"/>
        <v>334.6</v>
      </c>
      <c r="I87" s="66">
        <f t="shared" si="21"/>
        <v>373.8</v>
      </c>
      <c r="J87" s="66">
        <f t="shared" si="21"/>
        <v>372</v>
      </c>
      <c r="K87" s="66">
        <f t="shared" si="21"/>
        <v>375.2</v>
      </c>
      <c r="L87" s="66">
        <f t="shared" si="21"/>
        <v>357</v>
      </c>
      <c r="M87" s="66">
        <f t="shared" si="21"/>
        <v>340.2</v>
      </c>
      <c r="N87" s="66">
        <f t="shared" si="21"/>
        <v>330.2</v>
      </c>
      <c r="O87" s="66">
        <f t="shared" si="21"/>
        <v>329.5</v>
      </c>
      <c r="P87" s="66">
        <f t="shared" si="21"/>
        <v>299.2</v>
      </c>
      <c r="Q87" s="66">
        <f t="shared" si="21"/>
        <v>313.39999999999998</v>
      </c>
      <c r="R87" s="66">
        <f t="shared" si="21"/>
        <v>300.5</v>
      </c>
      <c r="S87" s="66">
        <f t="shared" si="21"/>
        <v>296</v>
      </c>
      <c r="T87" s="66">
        <f t="shared" si="21"/>
        <v>281</v>
      </c>
      <c r="U87" s="66">
        <f t="shared" si="21"/>
        <v>320</v>
      </c>
      <c r="V87" s="66">
        <f t="shared" si="21"/>
        <v>356</v>
      </c>
      <c r="W87" s="66">
        <f t="shared" si="21"/>
        <v>346</v>
      </c>
      <c r="X87" s="66">
        <f t="shared" si="21"/>
        <v>354</v>
      </c>
      <c r="Y87" s="66">
        <f t="shared" si="21"/>
        <v>354</v>
      </c>
      <c r="Z87" s="66">
        <f t="shared" si="21"/>
        <v>270</v>
      </c>
      <c r="AA87" s="66">
        <f t="shared" si="21"/>
        <v>260</v>
      </c>
      <c r="AB87" s="66">
        <f t="shared" si="21"/>
        <v>231.8</v>
      </c>
      <c r="AC87" s="66">
        <f t="shared" si="21"/>
        <v>268.60000000000002</v>
      </c>
      <c r="AD87" s="66">
        <f t="shared" si="21"/>
        <v>284</v>
      </c>
      <c r="AE87" s="66">
        <f t="shared" si="21"/>
        <v>328</v>
      </c>
      <c r="AF87" s="66">
        <f t="shared" si="21"/>
        <v>345</v>
      </c>
      <c r="AG87" s="138"/>
      <c r="AH87" s="54">
        <f t="shared" si="14"/>
        <v>395</v>
      </c>
      <c r="AI87" s="55">
        <f t="shared" si="16"/>
        <v>231.8</v>
      </c>
      <c r="AK87" s="56"/>
    </row>
    <row r="88" spans="1:88" s="1" customFormat="1" ht="15.75" thickBot="1" x14ac:dyDescent="0.3">
      <c r="A88" s="65" t="s">
        <v>64</v>
      </c>
      <c r="B88" s="66">
        <f>B72-B87</f>
        <v>-245</v>
      </c>
      <c r="C88" s="66">
        <f t="shared" ref="C88:AF88" si="22">C72-C87</f>
        <v>-285.7</v>
      </c>
      <c r="D88" s="66">
        <f t="shared" si="22"/>
        <v>-307</v>
      </c>
      <c r="E88" s="66">
        <f t="shared" si="22"/>
        <v>-358.7</v>
      </c>
      <c r="F88" s="66">
        <f t="shared" si="22"/>
        <v>-346.7</v>
      </c>
      <c r="G88" s="66">
        <f t="shared" si="22"/>
        <v>-378</v>
      </c>
      <c r="H88" s="66">
        <f t="shared" si="22"/>
        <v>-318.70000000000005</v>
      </c>
      <c r="I88" s="66">
        <f t="shared" si="22"/>
        <v>-364.5</v>
      </c>
      <c r="J88" s="66">
        <f t="shared" si="22"/>
        <v>-341.7</v>
      </c>
      <c r="K88" s="66">
        <f t="shared" si="22"/>
        <v>-347.9</v>
      </c>
      <c r="L88" s="66">
        <f t="shared" si="22"/>
        <v>-310.7</v>
      </c>
      <c r="M88" s="66">
        <f t="shared" si="22"/>
        <v>-301</v>
      </c>
      <c r="N88" s="66">
        <f t="shared" si="22"/>
        <v>-292.89999999999998</v>
      </c>
      <c r="O88" s="66">
        <f t="shared" si="22"/>
        <v>-302</v>
      </c>
      <c r="P88" s="66">
        <f t="shared" si="22"/>
        <v>-264.7</v>
      </c>
      <c r="Q88" s="66">
        <f t="shared" si="22"/>
        <v>-258.39999999999998</v>
      </c>
      <c r="R88" s="66">
        <f t="shared" si="22"/>
        <v>-268.5</v>
      </c>
      <c r="S88" s="66">
        <f t="shared" si="22"/>
        <v>-264.7</v>
      </c>
      <c r="T88" s="66">
        <f t="shared" si="22"/>
        <v>-245.2</v>
      </c>
      <c r="U88" s="66">
        <f t="shared" si="22"/>
        <v>-288.5</v>
      </c>
      <c r="V88" s="66">
        <f t="shared" si="22"/>
        <v>-335</v>
      </c>
      <c r="W88" s="66">
        <f t="shared" si="22"/>
        <v>-326.8</v>
      </c>
      <c r="X88" s="66">
        <f t="shared" si="22"/>
        <v>-334</v>
      </c>
      <c r="Y88" s="66">
        <f t="shared" si="22"/>
        <v>-334</v>
      </c>
      <c r="Z88" s="66">
        <f t="shared" si="22"/>
        <v>-225.9</v>
      </c>
      <c r="AA88" s="66">
        <f t="shared" si="22"/>
        <v>-207.9</v>
      </c>
      <c r="AB88" s="66">
        <f t="shared" si="22"/>
        <v>-162.80000000000001</v>
      </c>
      <c r="AC88" s="66">
        <f t="shared" si="22"/>
        <v>-220.90000000000003</v>
      </c>
      <c r="AD88" s="66">
        <f t="shared" si="22"/>
        <v>-235.1</v>
      </c>
      <c r="AE88" s="66">
        <f t="shared" si="22"/>
        <v>-280</v>
      </c>
      <c r="AF88" s="66">
        <f t="shared" si="22"/>
        <v>-310</v>
      </c>
      <c r="AG88" s="138"/>
      <c r="AH88" s="54">
        <f t="shared" si="14"/>
        <v>-162.80000000000001</v>
      </c>
      <c r="AI88" s="55">
        <f t="shared" si="16"/>
        <v>-378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50</v>
      </c>
      <c r="C89" s="80">
        <v>49.99</v>
      </c>
      <c r="D89" s="80">
        <v>50</v>
      </c>
      <c r="E89" s="80">
        <v>50.027000000000001</v>
      </c>
      <c r="F89" s="80">
        <v>49.98</v>
      </c>
      <c r="G89" s="80">
        <v>50.003999999999998</v>
      </c>
      <c r="H89" s="80">
        <v>50.02</v>
      </c>
      <c r="I89" s="80">
        <v>50.06</v>
      </c>
      <c r="J89" s="80">
        <v>50.06</v>
      </c>
      <c r="K89" s="80">
        <v>50.055999999999997</v>
      </c>
      <c r="L89" s="80">
        <v>50.053199999999997</v>
      </c>
      <c r="M89" s="80">
        <v>49.920999999999999</v>
      </c>
      <c r="N89" s="80">
        <v>50.09</v>
      </c>
      <c r="O89" s="80">
        <v>50.162999999999997</v>
      </c>
      <c r="P89" s="80">
        <v>50.030999999999999</v>
      </c>
      <c r="Q89" s="80">
        <v>49.96</v>
      </c>
      <c r="R89" s="80">
        <v>49.985999999999997</v>
      </c>
      <c r="S89" s="80">
        <v>50.02</v>
      </c>
      <c r="T89" s="80">
        <v>49.99</v>
      </c>
      <c r="U89" s="80">
        <v>50.06</v>
      </c>
      <c r="V89" s="80">
        <v>50</v>
      </c>
      <c r="W89" s="80">
        <v>49.99</v>
      </c>
      <c r="X89" s="80">
        <v>50.02</v>
      </c>
      <c r="Y89" s="80">
        <v>50.07</v>
      </c>
      <c r="Z89" s="80">
        <v>50.01</v>
      </c>
      <c r="AA89" s="80">
        <v>50.01</v>
      </c>
      <c r="AB89" s="80">
        <v>49.951000000000001</v>
      </c>
      <c r="AC89" s="80">
        <v>50.026000000000003</v>
      </c>
      <c r="AD89" s="80">
        <v>49.99</v>
      </c>
      <c r="AE89" s="80">
        <v>49.93</v>
      </c>
      <c r="AF89" s="80">
        <v>50.04</v>
      </c>
      <c r="AG89" s="145"/>
      <c r="AH89" s="54">
        <f t="shared" si="14"/>
        <v>50.162999999999997</v>
      </c>
      <c r="AI89" s="55">
        <f t="shared" si="16"/>
        <v>49.920999999999999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125</v>
      </c>
      <c r="C90" s="48">
        <v>125</v>
      </c>
      <c r="D90" s="48">
        <v>125</v>
      </c>
      <c r="E90" s="48">
        <v>125.4</v>
      </c>
      <c r="F90" s="48">
        <v>124.7</v>
      </c>
      <c r="G90" s="48">
        <v>126.6</v>
      </c>
      <c r="H90" s="48">
        <v>126.6</v>
      </c>
      <c r="I90" s="48">
        <v>123.9</v>
      </c>
      <c r="J90" s="48">
        <v>125.4</v>
      </c>
      <c r="K90" s="48">
        <v>124.7</v>
      </c>
      <c r="L90" s="48">
        <v>124.7</v>
      </c>
      <c r="M90" s="48">
        <v>124.7</v>
      </c>
      <c r="N90" s="48">
        <v>122.4</v>
      </c>
      <c r="O90" s="48">
        <v>121.7</v>
      </c>
      <c r="P90" s="48">
        <v>119.9</v>
      </c>
      <c r="Q90" s="48">
        <v>120.5</v>
      </c>
      <c r="R90" s="48">
        <v>121.7</v>
      </c>
      <c r="S90" s="48">
        <v>120.8</v>
      </c>
      <c r="T90" s="48">
        <v>121.5</v>
      </c>
      <c r="U90" s="48">
        <v>121.5</v>
      </c>
      <c r="V90" s="48">
        <v>124.4</v>
      </c>
      <c r="W90" s="48">
        <v>123.6</v>
      </c>
      <c r="X90" s="48">
        <v>124.4</v>
      </c>
      <c r="Y90" s="48">
        <v>123.2</v>
      </c>
      <c r="Z90" s="48">
        <v>123.3</v>
      </c>
      <c r="AA90" s="48">
        <v>124.6</v>
      </c>
      <c r="AB90" s="48">
        <v>124.5</v>
      </c>
      <c r="AC90" s="48">
        <v>124</v>
      </c>
      <c r="AD90" s="48">
        <v>123.8</v>
      </c>
      <c r="AE90" s="48">
        <v>123.7</v>
      </c>
      <c r="AF90" s="48">
        <v>123.2</v>
      </c>
      <c r="AG90" s="146"/>
      <c r="AH90" s="54">
        <f t="shared" si="14"/>
        <v>126.6</v>
      </c>
      <c r="AI90" s="55">
        <f t="shared" si="16"/>
        <v>119.9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130</v>
      </c>
      <c r="C91" s="48">
        <v>130</v>
      </c>
      <c r="D91" s="48">
        <v>130</v>
      </c>
      <c r="E91" s="48">
        <v>130.6</v>
      </c>
      <c r="F91" s="48">
        <v>129.9</v>
      </c>
      <c r="G91" s="48">
        <v>130.69999999999999</v>
      </c>
      <c r="H91" s="48">
        <v>130.69999999999999</v>
      </c>
      <c r="I91" s="48">
        <v>128.19999999999999</v>
      </c>
      <c r="J91" s="48">
        <v>129</v>
      </c>
      <c r="K91" s="48">
        <v>127.7</v>
      </c>
      <c r="L91" s="48">
        <v>127.7</v>
      </c>
      <c r="M91" s="48">
        <v>128</v>
      </c>
      <c r="N91" s="48">
        <v>125.8</v>
      </c>
      <c r="O91" s="48">
        <v>124.7</v>
      </c>
      <c r="P91" s="48">
        <v>124</v>
      </c>
      <c r="Q91" s="48">
        <v>124.2</v>
      </c>
      <c r="R91" s="48">
        <v>125.5</v>
      </c>
      <c r="S91" s="48">
        <v>124.9</v>
      </c>
      <c r="T91" s="48">
        <v>125.4</v>
      </c>
      <c r="U91" s="48">
        <v>125.4</v>
      </c>
      <c r="V91" s="48">
        <v>127.5</v>
      </c>
      <c r="W91" s="48">
        <v>127.1</v>
      </c>
      <c r="X91" s="48">
        <v>128.1</v>
      </c>
      <c r="Y91" s="48">
        <v>127</v>
      </c>
      <c r="Z91" s="48">
        <v>126.3</v>
      </c>
      <c r="AA91" s="48">
        <v>127.5</v>
      </c>
      <c r="AB91" s="48">
        <v>127.8</v>
      </c>
      <c r="AC91" s="48">
        <v>128.1</v>
      </c>
      <c r="AD91" s="48">
        <v>128.4</v>
      </c>
      <c r="AE91" s="48">
        <v>128.80000000000001</v>
      </c>
      <c r="AF91" s="48">
        <v>128.1</v>
      </c>
      <c r="AG91" s="146"/>
      <c r="AH91" s="54">
        <f t="shared" si="14"/>
        <v>130.69999999999999</v>
      </c>
      <c r="AI91" s="55">
        <f t="shared" si="16"/>
        <v>124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131</v>
      </c>
      <c r="C92" s="48">
        <v>130</v>
      </c>
      <c r="D92" s="48">
        <v>130</v>
      </c>
      <c r="E92" s="48">
        <v>132.19999999999999</v>
      </c>
      <c r="F92" s="48">
        <v>129.69999999999999</v>
      </c>
      <c r="G92" s="48">
        <v>131.30000000000001</v>
      </c>
      <c r="H92" s="48">
        <v>131.30000000000001</v>
      </c>
      <c r="I92" s="48">
        <v>130</v>
      </c>
      <c r="J92" s="48">
        <v>128.30000000000001</v>
      </c>
      <c r="K92" s="48">
        <v>129.69999999999999</v>
      </c>
      <c r="L92" s="48">
        <v>129.69999999999999</v>
      </c>
      <c r="M92" s="48">
        <v>127.7</v>
      </c>
      <c r="N92" s="48">
        <v>129.80000000000001</v>
      </c>
      <c r="O92" s="48">
        <v>130</v>
      </c>
      <c r="P92" s="48">
        <v>129.6</v>
      </c>
      <c r="Q92" s="48">
        <v>127.9</v>
      </c>
      <c r="R92" s="48">
        <v>129.69999999999999</v>
      </c>
      <c r="S92" s="48">
        <v>129.1</v>
      </c>
      <c r="T92" s="48">
        <v>127.8</v>
      </c>
      <c r="U92" s="48">
        <v>127.8</v>
      </c>
      <c r="V92" s="48">
        <v>127.6</v>
      </c>
      <c r="W92" s="48">
        <v>130.4</v>
      </c>
      <c r="X92" s="48">
        <v>131.6</v>
      </c>
      <c r="Y92" s="48">
        <v>131.69999999999999</v>
      </c>
      <c r="Z92" s="48">
        <v>129.69999999999999</v>
      </c>
      <c r="AA92" s="48">
        <v>128</v>
      </c>
      <c r="AB92" s="48">
        <v>130.69999999999999</v>
      </c>
      <c r="AC92" s="48">
        <v>128.80000000000001</v>
      </c>
      <c r="AD92" s="48">
        <v>128.69999999999999</v>
      </c>
      <c r="AE92" s="48">
        <v>130.1</v>
      </c>
      <c r="AF92" s="48">
        <v>128.1</v>
      </c>
      <c r="AG92" s="146"/>
      <c r="AH92" s="54">
        <f t="shared" si="14"/>
        <v>132.19999999999999</v>
      </c>
      <c r="AI92" s="55">
        <f t="shared" si="16"/>
        <v>127.6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146"/>
      <c r="AH93" s="54">
        <f t="shared" si="14"/>
        <v>0</v>
      </c>
      <c r="AI93" s="55">
        <f t="shared" si="16"/>
        <v>0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128</v>
      </c>
      <c r="C94" s="82">
        <v>130</v>
      </c>
      <c r="D94" s="82">
        <v>130</v>
      </c>
      <c r="E94" s="82">
        <v>132.4</v>
      </c>
      <c r="F94" s="82">
        <v>134.1</v>
      </c>
      <c r="G94" s="82">
        <v>132.6</v>
      </c>
      <c r="H94" s="82">
        <v>132.6</v>
      </c>
      <c r="I94" s="82">
        <v>132.1</v>
      </c>
      <c r="J94" s="82">
        <v>132.69999999999999</v>
      </c>
      <c r="K94" s="82">
        <v>133.30000000000001</v>
      </c>
      <c r="L94" s="82">
        <v>133.30000000000001</v>
      </c>
      <c r="M94" s="82">
        <v>132.19999999999999</v>
      </c>
      <c r="N94" s="82">
        <v>130.19999999999999</v>
      </c>
      <c r="O94" s="82">
        <v>131.9</v>
      </c>
      <c r="P94" s="82">
        <v>134</v>
      </c>
      <c r="Q94" s="82">
        <v>133.6</v>
      </c>
      <c r="R94" s="82">
        <v>134.5</v>
      </c>
      <c r="S94" s="82">
        <v>130.69999999999999</v>
      </c>
      <c r="T94" s="82">
        <v>131.30000000000001</v>
      </c>
      <c r="U94" s="82">
        <v>131.30000000000001</v>
      </c>
      <c r="V94" s="82">
        <v>128.30000000000001</v>
      </c>
      <c r="W94" s="82">
        <v>133.30000000000001</v>
      </c>
      <c r="X94" s="82">
        <v>132.1</v>
      </c>
      <c r="Y94" s="82">
        <v>135</v>
      </c>
      <c r="Z94" s="82">
        <v>134</v>
      </c>
      <c r="AA94" s="82">
        <v>132.80000000000001</v>
      </c>
      <c r="AB94" s="82">
        <v>134.30000000000001</v>
      </c>
      <c r="AC94" s="82">
        <v>131</v>
      </c>
      <c r="AD94" s="82">
        <v>132</v>
      </c>
      <c r="AE94" s="82">
        <v>135.30000000000001</v>
      </c>
      <c r="AF94" s="82">
        <v>132.1</v>
      </c>
      <c r="AG94" s="147"/>
      <c r="AH94" s="54">
        <f t="shared" si="14"/>
        <v>135.30000000000001</v>
      </c>
      <c r="AI94" s="55">
        <f t="shared" si="16"/>
        <v>128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124</v>
      </c>
      <c r="C95" s="48">
        <v>128</v>
      </c>
      <c r="D95" s="48">
        <v>128</v>
      </c>
      <c r="E95" s="48">
        <v>125.3</v>
      </c>
      <c r="F95" s="48">
        <v>127</v>
      </c>
      <c r="G95" s="48">
        <v>128</v>
      </c>
      <c r="H95" s="48">
        <v>128</v>
      </c>
      <c r="I95" s="48">
        <v>128.30000000000001</v>
      </c>
      <c r="J95" s="48">
        <v>126.1</v>
      </c>
      <c r="K95" s="48">
        <v>126.3</v>
      </c>
      <c r="L95" s="48">
        <v>126.3</v>
      </c>
      <c r="M95" s="48">
        <v>126.6</v>
      </c>
      <c r="N95" s="48">
        <v>127.4</v>
      </c>
      <c r="O95" s="48">
        <v>122.4</v>
      </c>
      <c r="P95" s="48">
        <v>138.6</v>
      </c>
      <c r="Q95" s="48">
        <v>127.4</v>
      </c>
      <c r="R95" s="48">
        <v>127</v>
      </c>
      <c r="S95" s="48">
        <v>122.7</v>
      </c>
      <c r="T95" s="48">
        <v>121.7</v>
      </c>
      <c r="U95" s="48">
        <v>121.7</v>
      </c>
      <c r="V95" s="48">
        <v>121.7</v>
      </c>
      <c r="W95" s="48">
        <v>126.2</v>
      </c>
      <c r="X95" s="48">
        <v>123.8</v>
      </c>
      <c r="Y95" s="48">
        <v>129.4</v>
      </c>
      <c r="Z95" s="48">
        <v>132.1</v>
      </c>
      <c r="AA95" s="48">
        <v>127</v>
      </c>
      <c r="AB95" s="48">
        <v>126.5</v>
      </c>
      <c r="AC95" s="48">
        <v>126.5</v>
      </c>
      <c r="AD95" s="48">
        <v>130.5</v>
      </c>
      <c r="AE95" s="48">
        <v>132.4</v>
      </c>
      <c r="AF95" s="48">
        <v>129.19999999999999</v>
      </c>
      <c r="AG95" s="146"/>
      <c r="AH95" s="54">
        <f t="shared" si="14"/>
        <v>138.6</v>
      </c>
      <c r="AI95" s="55">
        <f t="shared" si="16"/>
        <v>121.7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65.8</v>
      </c>
      <c r="C96" s="83">
        <v>65.900000000000006</v>
      </c>
      <c r="D96" s="83">
        <v>65.900000000000006</v>
      </c>
      <c r="E96" s="83">
        <v>66</v>
      </c>
      <c r="F96" s="83">
        <v>65.599999999999994</v>
      </c>
      <c r="G96" s="83">
        <v>66</v>
      </c>
      <c r="H96" s="83">
        <v>66</v>
      </c>
      <c r="I96" s="83">
        <v>64.8</v>
      </c>
      <c r="J96" s="83">
        <v>65.2</v>
      </c>
      <c r="K96" s="83">
        <v>64.400000000000006</v>
      </c>
      <c r="L96" s="83">
        <v>64.400000000000006</v>
      </c>
      <c r="M96" s="83">
        <v>64.3</v>
      </c>
      <c r="N96" s="83">
        <v>63.8</v>
      </c>
      <c r="O96" s="83">
        <v>62.4</v>
      </c>
      <c r="P96" s="83">
        <v>62.3</v>
      </c>
      <c r="Q96" s="83">
        <v>62.5</v>
      </c>
      <c r="R96" s="83">
        <v>63.3</v>
      </c>
      <c r="S96" s="83">
        <v>62.9</v>
      </c>
      <c r="T96" s="83">
        <v>63.2</v>
      </c>
      <c r="U96" s="83">
        <v>63.2</v>
      </c>
      <c r="V96" s="83">
        <v>64.3</v>
      </c>
      <c r="W96" s="83">
        <v>64.099999999999994</v>
      </c>
      <c r="X96" s="83">
        <v>63.9</v>
      </c>
      <c r="Y96" s="83">
        <v>64</v>
      </c>
      <c r="Z96" s="83">
        <v>63.7</v>
      </c>
      <c r="AA96" s="83">
        <v>64</v>
      </c>
      <c r="AB96" s="83">
        <v>64.7</v>
      </c>
      <c r="AC96" s="83">
        <v>64.8</v>
      </c>
      <c r="AD96" s="83">
        <v>65</v>
      </c>
      <c r="AE96" s="83">
        <v>65</v>
      </c>
      <c r="AF96" s="83">
        <v>64.8</v>
      </c>
      <c r="AG96" s="148"/>
      <c r="AH96" s="54">
        <f t="shared" si="14"/>
        <v>66</v>
      </c>
      <c r="AI96" s="55">
        <f t="shared" si="16"/>
        <v>62.3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14"/>
        <v>0</v>
      </c>
      <c r="AI97" s="55">
        <f t="shared" si="16"/>
        <v>0</v>
      </c>
    </row>
    <row r="98" spans="1:37" ht="15.75" thickBot="1" x14ac:dyDescent="0.3">
      <c r="A98" s="85" t="s">
        <v>73</v>
      </c>
      <c r="B98" s="86">
        <f t="shared" ref="B98:AF98" si="23">SUM(B15,B18,B21:B22,B46,B48:B49,B51,B53,B99:B102,B123,B129,B135,B144,B146,B158,B165,B168:B169,B176,B178,B180,B184:B186,B188:B190,B195,B201:B202,B204:B206,B214,B219)</f>
        <v>47.099999999999994</v>
      </c>
      <c r="C98" s="86">
        <f t="shared" si="23"/>
        <v>33.639999999999993</v>
      </c>
      <c r="D98" s="86">
        <f t="shared" si="23"/>
        <v>54.539999999999992</v>
      </c>
      <c r="E98" s="86">
        <f t="shared" si="23"/>
        <v>49.839999999999989</v>
      </c>
      <c r="F98" s="86">
        <f t="shared" si="23"/>
        <v>54.640000000000008</v>
      </c>
      <c r="G98" s="86">
        <f t="shared" si="23"/>
        <v>90.440000000000012</v>
      </c>
      <c r="H98" s="86">
        <f t="shared" si="23"/>
        <v>94.04</v>
      </c>
      <c r="I98" s="86">
        <f t="shared" si="23"/>
        <v>137.34</v>
      </c>
      <c r="J98" s="86">
        <f t="shared" si="23"/>
        <v>160.94</v>
      </c>
      <c r="K98" s="86">
        <f t="shared" si="23"/>
        <v>163.13999999999999</v>
      </c>
      <c r="L98" s="86">
        <f t="shared" si="23"/>
        <v>163.13999999999999</v>
      </c>
      <c r="M98" s="86">
        <f t="shared" si="23"/>
        <v>238.23999999999998</v>
      </c>
      <c r="N98" s="86">
        <f t="shared" si="23"/>
        <v>131.24</v>
      </c>
      <c r="O98" s="86">
        <f t="shared" si="23"/>
        <v>182.14000000000001</v>
      </c>
      <c r="P98" s="86">
        <f t="shared" si="23"/>
        <v>177.64000000000001</v>
      </c>
      <c r="Q98" s="86">
        <f t="shared" si="23"/>
        <v>170.70000000000002</v>
      </c>
      <c r="R98" s="86">
        <f t="shared" si="23"/>
        <v>184.3</v>
      </c>
      <c r="S98" s="86">
        <f t="shared" si="23"/>
        <v>190.70000000000002</v>
      </c>
      <c r="T98" s="86">
        <f t="shared" si="23"/>
        <v>183.89999999999998</v>
      </c>
      <c r="U98" s="86">
        <f t="shared" si="23"/>
        <v>190.20000000000002</v>
      </c>
      <c r="V98" s="86">
        <f t="shared" si="23"/>
        <v>251.7</v>
      </c>
      <c r="W98" s="86">
        <f t="shared" si="23"/>
        <v>155.19999999999999</v>
      </c>
      <c r="X98" s="86">
        <f t="shared" si="23"/>
        <v>150.9</v>
      </c>
      <c r="Y98" s="86">
        <f t="shared" si="23"/>
        <v>176.8</v>
      </c>
      <c r="Z98" s="86">
        <f t="shared" si="23"/>
        <v>215.40000000000003</v>
      </c>
      <c r="AA98" s="86">
        <f t="shared" si="23"/>
        <v>215.49999999999997</v>
      </c>
      <c r="AB98" s="86">
        <f t="shared" si="23"/>
        <v>202.09999999999997</v>
      </c>
      <c r="AC98" s="86">
        <f t="shared" si="23"/>
        <v>170.5</v>
      </c>
      <c r="AD98" s="86">
        <f t="shared" si="23"/>
        <v>200.2</v>
      </c>
      <c r="AE98" s="86">
        <f t="shared" si="23"/>
        <v>130.5</v>
      </c>
      <c r="AF98" s="86">
        <f t="shared" si="23"/>
        <v>90.6</v>
      </c>
      <c r="AG98" s="150"/>
      <c r="AH98" s="54">
        <f>MAX(C98:AF98)</f>
        <v>251.7</v>
      </c>
      <c r="AI98" s="55">
        <f>MIN(C98:AF98)</f>
        <v>33.639999999999993</v>
      </c>
    </row>
    <row r="99" spans="1:37" x14ac:dyDescent="0.25">
      <c r="A99" s="170" t="s">
        <v>74</v>
      </c>
      <c r="B99" s="87">
        <v>12</v>
      </c>
      <c r="C99" s="87">
        <v>18</v>
      </c>
      <c r="D99" s="87">
        <v>13.5</v>
      </c>
      <c r="E99" s="87">
        <v>5.3</v>
      </c>
      <c r="F99" s="87">
        <v>0.9</v>
      </c>
      <c r="G99" s="87">
        <v>0.8</v>
      </c>
      <c r="H99" s="87">
        <v>3.5</v>
      </c>
      <c r="I99" s="87">
        <v>6.2</v>
      </c>
      <c r="J99" s="87">
        <v>9.6</v>
      </c>
      <c r="K99" s="87">
        <v>5.6</v>
      </c>
      <c r="L99" s="87">
        <v>5.6</v>
      </c>
      <c r="M99" s="87">
        <v>29.7</v>
      </c>
      <c r="N99" s="87">
        <v>28.5</v>
      </c>
      <c r="O99" s="87">
        <v>28</v>
      </c>
      <c r="P99" s="87">
        <v>31.3</v>
      </c>
      <c r="Q99" s="87">
        <v>28.1</v>
      </c>
      <c r="R99" s="87">
        <v>24.5</v>
      </c>
      <c r="S99" s="87">
        <v>23.9</v>
      </c>
      <c r="T99" s="87">
        <v>27.5</v>
      </c>
      <c r="U99" s="87">
        <v>29.1</v>
      </c>
      <c r="V99" s="87">
        <v>30.1</v>
      </c>
      <c r="W99" s="87">
        <v>25</v>
      </c>
      <c r="X99" s="87">
        <v>25.6</v>
      </c>
      <c r="Y99" s="87">
        <v>33.799999999999997</v>
      </c>
      <c r="Z99" s="87">
        <v>28.3</v>
      </c>
      <c r="AA99" s="87">
        <v>23.6</v>
      </c>
      <c r="AB99" s="87">
        <v>31.6</v>
      </c>
      <c r="AC99" s="87">
        <v>23.4</v>
      </c>
      <c r="AD99" s="87">
        <f>41.7+23.7</f>
        <v>65.400000000000006</v>
      </c>
      <c r="AE99" s="87">
        <f>35+18</f>
        <v>53</v>
      </c>
      <c r="AF99" s="87">
        <f>28.5+11.8</f>
        <v>40.299999999999997</v>
      </c>
      <c r="AG99" s="151">
        <v>75</v>
      </c>
      <c r="AH99" s="54">
        <f t="shared" ref="AH99:AH105" si="24">IF(ABS(MAX(C99:AF99))&gt;ABS(MIN(C99:AF99)),MAX(C99:AF99),MIN(C99:AF99))</f>
        <v>65.400000000000006</v>
      </c>
      <c r="AI99" s="89">
        <f t="shared" ref="AI99:AI105" si="25">INDEX($C$9:$AF$9,1,MATCH(AH99,C99:AF99,0))</f>
        <v>0.875</v>
      </c>
    </row>
    <row r="100" spans="1:37" x14ac:dyDescent="0.25">
      <c r="A100" s="163" t="s">
        <v>75</v>
      </c>
      <c r="B100" s="90">
        <v>-145</v>
      </c>
      <c r="C100" s="90">
        <v>-150</v>
      </c>
      <c r="D100" s="90">
        <v>-126</v>
      </c>
      <c r="E100" s="90">
        <v>-122</v>
      </c>
      <c r="F100" s="90">
        <v>-119</v>
      </c>
      <c r="G100" s="90">
        <v>-97.3</v>
      </c>
      <c r="H100" s="90">
        <v>-97.5</v>
      </c>
      <c r="I100" s="90">
        <v>-62.5</v>
      </c>
      <c r="J100" s="90">
        <v>-53</v>
      </c>
      <c r="K100" s="90">
        <v>-70</v>
      </c>
      <c r="L100" s="90">
        <v>-70</v>
      </c>
      <c r="M100" s="90">
        <v>-13.6</v>
      </c>
      <c r="N100" s="90">
        <v>-47.8</v>
      </c>
      <c r="O100" s="90">
        <v>-45.5</v>
      </c>
      <c r="P100" s="90">
        <v>-54.5</v>
      </c>
      <c r="Q100" s="90">
        <v>-37.200000000000003</v>
      </c>
      <c r="R100" s="90">
        <v>-47.2</v>
      </c>
      <c r="S100" s="90">
        <f>-19.8-21.3</f>
        <v>-41.1</v>
      </c>
      <c r="T100" s="90">
        <f>-28.3-24.5</f>
        <v>-52.8</v>
      </c>
      <c r="U100" s="90">
        <f>-25-25.3</f>
        <v>-50.3</v>
      </c>
      <c r="V100" s="90">
        <v>25.2</v>
      </c>
      <c r="W100" s="90">
        <f>-25.8-27.7</f>
        <v>-53.5</v>
      </c>
      <c r="X100" s="90">
        <f>-27.5-29.5</f>
        <v>-57</v>
      </c>
      <c r="Y100" s="90">
        <f>-21.3-22.9</f>
        <v>-44.2</v>
      </c>
      <c r="Z100" s="90">
        <f>-20.2-9.9</f>
        <v>-30.1</v>
      </c>
      <c r="AA100" s="90">
        <f>-36.6-7.1</f>
        <v>-43.7</v>
      </c>
      <c r="AB100" s="90">
        <v>-40</v>
      </c>
      <c r="AC100" s="90">
        <v>-77</v>
      </c>
      <c r="AD100" s="90">
        <f>-38-44.4</f>
        <v>-82.4</v>
      </c>
      <c r="AE100" s="90">
        <f>-62.9-58.6</f>
        <v>-121.5</v>
      </c>
      <c r="AF100" s="90">
        <f>-69-68</f>
        <v>-137</v>
      </c>
      <c r="AG100" s="151">
        <v>240</v>
      </c>
      <c r="AH100" s="54">
        <f t="shared" si="24"/>
        <v>-150</v>
      </c>
      <c r="AI100" s="89">
        <f t="shared" si="25"/>
        <v>4.1666666666666664E-2</v>
      </c>
    </row>
    <row r="101" spans="1:37" x14ac:dyDescent="0.25">
      <c r="A101" s="163" t="s">
        <v>76</v>
      </c>
      <c r="B101" s="90">
        <v>10</v>
      </c>
      <c r="C101" s="90">
        <v>-5.4</v>
      </c>
      <c r="D101" s="90">
        <v>-4</v>
      </c>
      <c r="E101" s="90">
        <v>-3.8</v>
      </c>
      <c r="F101" s="90">
        <v>-2.6</v>
      </c>
      <c r="G101" s="90">
        <v>1.6</v>
      </c>
      <c r="H101" s="90">
        <v>2.7</v>
      </c>
      <c r="I101" s="90">
        <v>8.3000000000000007</v>
      </c>
      <c r="J101" s="90">
        <v>19</v>
      </c>
      <c r="K101" s="90">
        <v>46.2</v>
      </c>
      <c r="L101" s="90">
        <v>46.2</v>
      </c>
      <c r="M101" s="90">
        <v>25.9</v>
      </c>
      <c r="N101" s="90">
        <v>14.5</v>
      </c>
      <c r="O101" s="90">
        <v>13.9</v>
      </c>
      <c r="P101" s="90">
        <v>13</v>
      </c>
      <c r="Q101" s="90">
        <v>15.4</v>
      </c>
      <c r="R101" s="90">
        <v>13</v>
      </c>
      <c r="S101" s="90">
        <v>13.9</v>
      </c>
      <c r="T101" s="90">
        <v>15.2</v>
      </c>
      <c r="U101" s="90">
        <v>17.399999999999999</v>
      </c>
      <c r="V101" s="90">
        <v>17.399999999999999</v>
      </c>
      <c r="W101" s="90">
        <v>14.7</v>
      </c>
      <c r="X101" s="90">
        <v>13.3</v>
      </c>
      <c r="Y101" s="90">
        <v>18.2</v>
      </c>
      <c r="Z101" s="90">
        <v>37.700000000000003</v>
      </c>
      <c r="AA101" s="90">
        <v>56.1</v>
      </c>
      <c r="AB101" s="90">
        <v>21.7</v>
      </c>
      <c r="AC101" s="90">
        <v>35.299999999999997</v>
      </c>
      <c r="AD101" s="90">
        <v>27.7</v>
      </c>
      <c r="AE101" s="90">
        <v>9.5</v>
      </c>
      <c r="AF101" s="90">
        <v>-2.1</v>
      </c>
      <c r="AG101" s="151">
        <v>60</v>
      </c>
      <c r="AH101" s="54">
        <f t="shared" si="24"/>
        <v>56.1</v>
      </c>
      <c r="AI101" s="89">
        <f t="shared" si="25"/>
        <v>0.8125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0</v>
      </c>
      <c r="M102" s="91">
        <v>0</v>
      </c>
      <c r="N102" s="91">
        <v>0</v>
      </c>
      <c r="O102" s="91">
        <v>0</v>
      </c>
      <c r="P102" s="91">
        <v>0</v>
      </c>
      <c r="Q102" s="91">
        <v>0</v>
      </c>
      <c r="R102" s="91">
        <v>0</v>
      </c>
      <c r="S102" s="91">
        <v>0</v>
      </c>
      <c r="T102" s="91">
        <v>0</v>
      </c>
      <c r="U102" s="91">
        <v>0</v>
      </c>
      <c r="V102" s="91">
        <v>0</v>
      </c>
      <c r="W102" s="91">
        <v>0</v>
      </c>
      <c r="X102" s="91">
        <v>0</v>
      </c>
      <c r="Y102" s="91">
        <v>0</v>
      </c>
      <c r="Z102" s="91">
        <v>0</v>
      </c>
      <c r="AA102" s="91">
        <v>0</v>
      </c>
      <c r="AB102" s="91">
        <v>0</v>
      </c>
      <c r="AC102" s="91">
        <v>0</v>
      </c>
      <c r="AD102" s="91">
        <v>0</v>
      </c>
      <c r="AE102" s="91">
        <v>0</v>
      </c>
      <c r="AF102" s="91">
        <v>0</v>
      </c>
      <c r="AG102" s="152">
        <v>120</v>
      </c>
      <c r="AH102" s="54">
        <f t="shared" si="24"/>
        <v>0</v>
      </c>
      <c r="AI102" s="89">
        <f t="shared" si="25"/>
        <v>4.1666666666666664E-2</v>
      </c>
    </row>
    <row r="103" spans="1:37" x14ac:dyDescent="0.25">
      <c r="A103" s="164" t="s">
        <v>78</v>
      </c>
      <c r="B103" s="91">
        <v>36</v>
      </c>
      <c r="C103" s="91">
        <v>32</v>
      </c>
      <c r="D103" s="91">
        <v>42</v>
      </c>
      <c r="E103" s="91">
        <v>47.4</v>
      </c>
      <c r="F103" s="91">
        <v>62.2</v>
      </c>
      <c r="G103" s="91">
        <v>48.6</v>
      </c>
      <c r="H103" s="91">
        <v>54.5</v>
      </c>
      <c r="I103" s="91">
        <v>77.3</v>
      </c>
      <c r="J103" s="91">
        <v>80</v>
      </c>
      <c r="K103" s="91">
        <v>64.599999999999994</v>
      </c>
      <c r="L103" s="91">
        <v>64.599999999999994</v>
      </c>
      <c r="M103" s="91">
        <v>87.8</v>
      </c>
      <c r="N103" s="91">
        <v>89.4</v>
      </c>
      <c r="O103" s="91">
        <v>96</v>
      </c>
      <c r="P103" s="91">
        <v>89.2</v>
      </c>
      <c r="Q103" s="91">
        <v>97.7</v>
      </c>
      <c r="R103" s="91">
        <v>91</v>
      </c>
      <c r="S103" s="91">
        <v>100</v>
      </c>
      <c r="T103" s="91">
        <v>85</v>
      </c>
      <c r="U103" s="91">
        <v>80</v>
      </c>
      <c r="V103" s="91">
        <v>80</v>
      </c>
      <c r="W103" s="91">
        <v>79.900000000000006</v>
      </c>
      <c r="X103" s="91">
        <v>69.3</v>
      </c>
      <c r="Y103" s="91">
        <v>81.3</v>
      </c>
      <c r="Z103" s="91">
        <v>93.9</v>
      </c>
      <c r="AA103" s="91">
        <v>89.7</v>
      </c>
      <c r="AB103" s="91">
        <v>90.1</v>
      </c>
      <c r="AC103" s="91">
        <v>73.5</v>
      </c>
      <c r="AD103" s="91">
        <v>65</v>
      </c>
      <c r="AE103" s="91">
        <v>46.9</v>
      </c>
      <c r="AF103" s="91">
        <v>49.8</v>
      </c>
      <c r="AG103" s="152"/>
      <c r="AH103" s="54">
        <f t="shared" si="24"/>
        <v>100</v>
      </c>
      <c r="AI103" s="89">
        <f t="shared" si="25"/>
        <v>0.58333333333333304</v>
      </c>
    </row>
    <row r="104" spans="1:37" x14ac:dyDescent="0.25">
      <c r="A104" s="164" t="s">
        <v>105</v>
      </c>
      <c r="B104" s="91">
        <v>54</v>
      </c>
      <c r="C104" s="91">
        <v>50</v>
      </c>
      <c r="D104" s="91">
        <v>56</v>
      </c>
      <c r="E104" s="91">
        <v>52.4</v>
      </c>
      <c r="F104" s="91">
        <v>39</v>
      </c>
      <c r="G104" s="91">
        <v>48.6</v>
      </c>
      <c r="H104" s="91">
        <v>47.8</v>
      </c>
      <c r="I104" s="91">
        <v>47.8</v>
      </c>
      <c r="J104" s="91">
        <v>48</v>
      </c>
      <c r="K104" s="91">
        <v>51.4</v>
      </c>
      <c r="L104" s="91">
        <v>51.4</v>
      </c>
      <c r="M104" s="91">
        <v>44</v>
      </c>
      <c r="N104" s="91">
        <v>37.6</v>
      </c>
      <c r="O104" s="91">
        <v>40.799999999999997</v>
      </c>
      <c r="P104" s="91">
        <v>14.6</v>
      </c>
      <c r="Q104" s="91">
        <v>7.8</v>
      </c>
      <c r="R104" s="91">
        <v>47.7</v>
      </c>
      <c r="S104" s="91">
        <v>50.6</v>
      </c>
      <c r="T104" s="91">
        <v>33</v>
      </c>
      <c r="U104" s="91">
        <v>24.6</v>
      </c>
      <c r="V104" s="91">
        <v>24.6</v>
      </c>
      <c r="W104" s="91">
        <v>9.8000000000000007</v>
      </c>
      <c r="X104" s="91">
        <v>4.5999999999999996</v>
      </c>
      <c r="Y104" s="91">
        <v>-8.5</v>
      </c>
      <c r="Z104" s="91">
        <v>-4.7</v>
      </c>
      <c r="AA104" s="91">
        <v>22.2</v>
      </c>
      <c r="AB104" s="91">
        <v>6.9</v>
      </c>
      <c r="AC104" s="91">
        <v>29.7</v>
      </c>
      <c r="AD104" s="91">
        <v>25.8</v>
      </c>
      <c r="AE104" s="91">
        <v>35.200000000000003</v>
      </c>
      <c r="AF104" s="91">
        <v>64</v>
      </c>
      <c r="AG104" s="153"/>
      <c r="AH104" s="54">
        <f t="shared" si="24"/>
        <v>64</v>
      </c>
      <c r="AI104" s="89">
        <f t="shared" si="25"/>
        <v>0.95833333333333304</v>
      </c>
    </row>
    <row r="105" spans="1:37" ht="15.75" thickBot="1" x14ac:dyDescent="0.3">
      <c r="A105" s="171" t="s">
        <v>106</v>
      </c>
      <c r="B105" s="82">
        <v>94</v>
      </c>
      <c r="C105" s="82">
        <v>103</v>
      </c>
      <c r="D105" s="82">
        <v>113</v>
      </c>
      <c r="E105" s="82">
        <v>112.3</v>
      </c>
      <c r="F105" s="82">
        <v>112.1</v>
      </c>
      <c r="G105" s="82">
        <v>115.2</v>
      </c>
      <c r="H105" s="82">
        <v>115.4</v>
      </c>
      <c r="I105" s="82">
        <v>106.2</v>
      </c>
      <c r="J105" s="82">
        <v>111</v>
      </c>
      <c r="K105" s="82">
        <v>110.2</v>
      </c>
      <c r="L105" s="82">
        <v>110.2</v>
      </c>
      <c r="M105" s="82">
        <v>105.4</v>
      </c>
      <c r="N105" s="82">
        <v>101.1</v>
      </c>
      <c r="O105" s="82">
        <v>100.1</v>
      </c>
      <c r="P105" s="82">
        <v>88.4</v>
      </c>
      <c r="Q105" s="82">
        <v>106.5</v>
      </c>
      <c r="R105" s="82">
        <v>105.5</v>
      </c>
      <c r="S105" s="82">
        <v>96.7</v>
      </c>
      <c r="T105" s="82">
        <v>65.599999999999994</v>
      </c>
      <c r="U105" s="82">
        <v>63.9</v>
      </c>
      <c r="V105" s="82">
        <v>64</v>
      </c>
      <c r="W105" s="82">
        <v>92</v>
      </c>
      <c r="X105" s="82">
        <v>92</v>
      </c>
      <c r="Y105" s="82">
        <v>82.8</v>
      </c>
      <c r="Z105" s="82">
        <v>81.900000000000006</v>
      </c>
      <c r="AA105" s="82">
        <v>57</v>
      </c>
      <c r="AB105" s="82">
        <v>86.3</v>
      </c>
      <c r="AC105" s="82">
        <v>87.7</v>
      </c>
      <c r="AD105" s="82">
        <v>89.3</v>
      </c>
      <c r="AE105" s="82">
        <v>93.6</v>
      </c>
      <c r="AF105" s="82">
        <v>98.5</v>
      </c>
      <c r="AG105" s="153"/>
      <c r="AH105" s="54">
        <f t="shared" si="24"/>
        <v>115.4</v>
      </c>
      <c r="AI105" s="89">
        <f t="shared" si="25"/>
        <v>0.22916666666666666</v>
      </c>
    </row>
    <row r="106" spans="1:37" ht="15.75" thickBot="1" x14ac:dyDescent="0.3">
      <c r="A106" s="92" t="s">
        <v>79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154"/>
      <c r="AH106" s="94"/>
      <c r="AI106" s="55"/>
      <c r="AK106" s="56"/>
    </row>
    <row r="107" spans="1:37" x14ac:dyDescent="0.25">
      <c r="A107" s="162" t="s">
        <v>133</v>
      </c>
      <c r="B107" s="95"/>
      <c r="C107" s="53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6">
        <v>9.94</v>
      </c>
      <c r="AH107" s="54"/>
      <c r="AI107" s="55"/>
      <c r="AK107" s="56"/>
    </row>
    <row r="108" spans="1:37" x14ac:dyDescent="0.25">
      <c r="A108" s="163" t="s">
        <v>134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/>
      <c r="AH108" s="54"/>
      <c r="AI108" s="55"/>
      <c r="AK108" s="56"/>
    </row>
    <row r="109" spans="1:37" x14ac:dyDescent="0.25">
      <c r="A109" s="163" t="s">
        <v>135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136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137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138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139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140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141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142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143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144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145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146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147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148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149</v>
      </c>
      <c r="B123" s="97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9">
        <v>9.9</v>
      </c>
      <c r="AH123" s="54"/>
      <c r="AI123" s="55"/>
      <c r="AK123" s="56"/>
    </row>
    <row r="124" spans="1:37" x14ac:dyDescent="0.25">
      <c r="A124" s="164" t="s">
        <v>80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100">
        <v>9.6579999999999995</v>
      </c>
      <c r="AH124" s="54"/>
      <c r="AI124" s="55"/>
      <c r="AK124" s="56"/>
    </row>
    <row r="125" spans="1:37" x14ac:dyDescent="0.25">
      <c r="A125" s="164" t="s">
        <v>150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</v>
      </c>
      <c r="AH125" s="54"/>
      <c r="AI125" s="55"/>
      <c r="AK125" s="56"/>
    </row>
    <row r="126" spans="1:37" x14ac:dyDescent="0.25">
      <c r="A126" s="164" t="s">
        <v>151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9.51</v>
      </c>
      <c r="AH126" s="54"/>
      <c r="AI126" s="55"/>
      <c r="AK126" s="56"/>
    </row>
    <row r="127" spans="1:37" x14ac:dyDescent="0.25">
      <c r="A127" s="164" t="s">
        <v>152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9.4</v>
      </c>
      <c r="AH127" s="54"/>
      <c r="AI127" s="55"/>
      <c r="AK127" s="56"/>
    </row>
    <row r="128" spans="1:37" x14ac:dyDescent="0.25">
      <c r="A128" s="164" t="s">
        <v>153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8.8000000000000007</v>
      </c>
      <c r="AH128" s="54"/>
      <c r="AI128" s="55"/>
      <c r="AK128" s="56"/>
    </row>
    <row r="129" spans="1:37" x14ac:dyDescent="0.25">
      <c r="A129" s="164" t="s">
        <v>154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8.5</v>
      </c>
      <c r="AH129" s="54"/>
      <c r="AI129" s="55"/>
      <c r="AK129" s="56"/>
    </row>
    <row r="130" spans="1:37" x14ac:dyDescent="0.25">
      <c r="A130" s="164" t="s">
        <v>155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156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8.4</v>
      </c>
      <c r="AH131" s="54"/>
      <c r="AI131" s="55"/>
      <c r="AK131" s="56"/>
    </row>
    <row r="132" spans="1:37" ht="13.5" customHeight="1" x14ac:dyDescent="0.25">
      <c r="A132" s="164" t="s">
        <v>157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</v>
      </c>
      <c r="AH132" s="54"/>
      <c r="AI132" s="55"/>
      <c r="AK132" s="56"/>
    </row>
    <row r="133" spans="1:37" x14ac:dyDescent="0.25">
      <c r="A133" s="164" t="s">
        <v>158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159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160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7.8</v>
      </c>
      <c r="AH135" s="54"/>
      <c r="AI135" s="55"/>
      <c r="AK135" s="56"/>
    </row>
    <row r="136" spans="1:37" x14ac:dyDescent="0.25">
      <c r="A136" s="164" t="s">
        <v>161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7.6</v>
      </c>
      <c r="AH136" s="54"/>
      <c r="AI136" s="55"/>
      <c r="AK136" s="56"/>
    </row>
    <row r="137" spans="1:37" x14ac:dyDescent="0.25">
      <c r="A137" s="164" t="s">
        <v>162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7.5</v>
      </c>
      <c r="AH137" s="54"/>
      <c r="AI137" s="55"/>
      <c r="AK137" s="56"/>
    </row>
    <row r="138" spans="1:37" x14ac:dyDescent="0.25">
      <c r="A138" s="164" t="s">
        <v>163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164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</v>
      </c>
      <c r="AH139" s="54"/>
      <c r="AI139" s="55"/>
      <c r="AK139" s="56"/>
    </row>
    <row r="140" spans="1:37" x14ac:dyDescent="0.25">
      <c r="A140" s="164" t="s">
        <v>165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166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167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168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6.6</v>
      </c>
      <c r="AH143" s="54"/>
      <c r="AI143" s="55"/>
      <c r="AK143" s="56"/>
    </row>
    <row r="144" spans="1:37" x14ac:dyDescent="0.25">
      <c r="A144" s="164" t="s">
        <v>169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170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6.4</v>
      </c>
      <c r="AH145" s="54"/>
      <c r="AI145" s="55"/>
      <c r="AK145" s="56"/>
    </row>
    <row r="146" spans="1:37" x14ac:dyDescent="0.25">
      <c r="A146" s="164" t="s">
        <v>171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</v>
      </c>
      <c r="AH146" s="54"/>
      <c r="AI146" s="55"/>
      <c r="AK146" s="56"/>
    </row>
    <row r="147" spans="1:37" x14ac:dyDescent="0.25">
      <c r="A147" s="164" t="s">
        <v>172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5.0999999999999996</v>
      </c>
      <c r="AH147" s="54"/>
      <c r="AI147" s="55"/>
      <c r="AK147" s="56"/>
    </row>
    <row r="148" spans="1:37" x14ac:dyDescent="0.25">
      <c r="A148" s="164" t="s">
        <v>173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</v>
      </c>
      <c r="AH148" s="54"/>
      <c r="AI148" s="55"/>
      <c r="AK148" s="56"/>
    </row>
    <row r="149" spans="1:37" x14ac:dyDescent="0.25">
      <c r="A149" s="163" t="s">
        <v>174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9">
        <v>5</v>
      </c>
      <c r="AH149" s="54"/>
      <c r="AI149" s="55"/>
      <c r="AK149" s="56"/>
    </row>
    <row r="150" spans="1:37" x14ac:dyDescent="0.25">
      <c r="A150" s="164" t="s">
        <v>175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100">
        <v>5</v>
      </c>
      <c r="AH150" s="54"/>
      <c r="AI150" s="55"/>
      <c r="AK150" s="56"/>
    </row>
    <row r="151" spans="1:37" x14ac:dyDescent="0.25">
      <c r="A151" s="164" t="s">
        <v>176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177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178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179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180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4.9930000000000003</v>
      </c>
      <c r="AH155" s="54"/>
      <c r="AI155" s="55"/>
      <c r="AK155" s="56"/>
    </row>
    <row r="156" spans="1:37" x14ac:dyDescent="0.25">
      <c r="A156" s="164" t="s">
        <v>181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4.9800000000000004</v>
      </c>
      <c r="AH156" s="54"/>
      <c r="AI156" s="55"/>
      <c r="AK156" s="56"/>
    </row>
    <row r="157" spans="1:37" x14ac:dyDescent="0.25">
      <c r="A157" s="164" t="s">
        <v>182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4.95</v>
      </c>
      <c r="AH157" s="54"/>
      <c r="AI157" s="55"/>
      <c r="AK157" s="56"/>
    </row>
    <row r="158" spans="1:37" x14ac:dyDescent="0.25">
      <c r="A158" s="164" t="s">
        <v>81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183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4.8</v>
      </c>
      <c r="AH159" s="54"/>
      <c r="AI159" s="55"/>
      <c r="AK159" s="56"/>
    </row>
    <row r="160" spans="1:37" x14ac:dyDescent="0.25">
      <c r="A160" s="164" t="s">
        <v>184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185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186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4.5</v>
      </c>
      <c r="AH162" s="54"/>
      <c r="AI162" s="55"/>
      <c r="AK162" s="56"/>
    </row>
    <row r="163" spans="1:37" x14ac:dyDescent="0.25">
      <c r="A163" s="164" t="s">
        <v>187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188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4.4550000000000001</v>
      </c>
      <c r="AH164" s="54"/>
      <c r="AI164" s="55"/>
      <c r="AK164" s="56"/>
    </row>
    <row r="165" spans="1:37" x14ac:dyDescent="0.25">
      <c r="A165" s="164" t="s">
        <v>189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4.41</v>
      </c>
      <c r="AH165" s="54"/>
      <c r="AI165" s="55"/>
      <c r="AK165" s="56"/>
    </row>
    <row r="166" spans="1:37" x14ac:dyDescent="0.25">
      <c r="A166" s="164" t="s">
        <v>190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4.4000000000000004</v>
      </c>
      <c r="AH166" s="54"/>
      <c r="AI166" s="55"/>
      <c r="AK166" s="56"/>
    </row>
    <row r="167" spans="1:37" x14ac:dyDescent="0.25">
      <c r="A167" s="164" t="s">
        <v>191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4.3600000000000003</v>
      </c>
      <c r="AH167" s="54"/>
      <c r="AI167" s="55"/>
      <c r="AK167" s="56"/>
    </row>
    <row r="168" spans="1:37" x14ac:dyDescent="0.25">
      <c r="A168" s="164" t="s">
        <v>192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4.2</v>
      </c>
      <c r="AH168" s="54"/>
      <c r="AI168" s="55"/>
      <c r="AK168" s="56"/>
    </row>
    <row r="169" spans="1:37" x14ac:dyDescent="0.25">
      <c r="A169" s="164" t="s">
        <v>193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</v>
      </c>
      <c r="AH169" s="54"/>
      <c r="AI169" s="55"/>
      <c r="AK169" s="56"/>
    </row>
    <row r="170" spans="1:37" x14ac:dyDescent="0.25">
      <c r="A170" s="164" t="s">
        <v>194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195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196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197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198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199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200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201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3.75</v>
      </c>
      <c r="AH177" s="54"/>
      <c r="AI177" s="55"/>
      <c r="AK177" s="56"/>
    </row>
    <row r="178" spans="1:37" x14ac:dyDescent="0.25">
      <c r="A178" s="164" t="s">
        <v>202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3.52</v>
      </c>
      <c r="AH178" s="54"/>
      <c r="AI178" s="55"/>
      <c r="AK178" s="56"/>
    </row>
    <row r="179" spans="1:37" x14ac:dyDescent="0.25">
      <c r="A179" s="164" t="s">
        <v>203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3.33</v>
      </c>
      <c r="AH179" s="54"/>
      <c r="AI179" s="55"/>
      <c r="AK179" s="56"/>
    </row>
    <row r="180" spans="1:37" x14ac:dyDescent="0.25">
      <c r="A180" s="164" t="s">
        <v>204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3.2</v>
      </c>
      <c r="AH180" s="54"/>
      <c r="AI180" s="55"/>
      <c r="AK180" s="56"/>
    </row>
    <row r="181" spans="1:37" x14ac:dyDescent="0.25">
      <c r="A181" s="164" t="s">
        <v>205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</v>
      </c>
      <c r="AH181" s="54"/>
      <c r="AI181" s="55"/>
      <c r="AK181" s="56"/>
    </row>
    <row r="182" spans="1:37" x14ac:dyDescent="0.25">
      <c r="A182" s="164" t="s">
        <v>206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207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208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209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210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211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212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213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2.83</v>
      </c>
      <c r="AH189" s="54"/>
      <c r="AI189" s="55"/>
      <c r="AK189" s="56"/>
    </row>
    <row r="190" spans="1:37" x14ac:dyDescent="0.25">
      <c r="A190" s="164" t="s">
        <v>214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2.5</v>
      </c>
      <c r="AH190" s="54"/>
      <c r="AI190" s="55"/>
      <c r="AK190" s="56"/>
    </row>
    <row r="191" spans="1:37" x14ac:dyDescent="0.25">
      <c r="A191" s="164" t="s">
        <v>215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216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2.4</v>
      </c>
      <c r="AH192" s="54"/>
      <c r="AI192" s="55"/>
      <c r="AK192" s="56"/>
    </row>
    <row r="193" spans="1:37" x14ac:dyDescent="0.25">
      <c r="A193" s="164" t="s">
        <v>217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218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2.2000000000000002</v>
      </c>
      <c r="AH194" s="54"/>
      <c r="AI194" s="55"/>
      <c r="AK194" s="56"/>
    </row>
    <row r="195" spans="1:37" x14ac:dyDescent="0.25">
      <c r="A195" s="164" t="s">
        <v>219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</v>
      </c>
      <c r="AH195" s="54"/>
      <c r="AI195" s="55"/>
      <c r="AK195" s="56"/>
    </row>
    <row r="196" spans="1:37" x14ac:dyDescent="0.25">
      <c r="A196" s="164" t="s">
        <v>220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221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222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1.8</v>
      </c>
      <c r="AH198" s="54"/>
      <c r="AI198" s="55"/>
      <c r="AK198" s="56"/>
    </row>
    <row r="199" spans="1:37" x14ac:dyDescent="0.25">
      <c r="A199" s="164" t="s">
        <v>223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224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1.65</v>
      </c>
      <c r="AH200" s="54"/>
      <c r="AI200" s="55"/>
      <c r="AK200" s="56"/>
    </row>
    <row r="201" spans="1:37" x14ac:dyDescent="0.25">
      <c r="A201" s="164" t="s">
        <v>225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1.5</v>
      </c>
      <c r="AH201" s="54"/>
      <c r="AI201" s="55"/>
      <c r="AK201" s="56"/>
    </row>
    <row r="202" spans="1:37" x14ac:dyDescent="0.25">
      <c r="A202" s="164" t="s">
        <v>226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0.998</v>
      </c>
      <c r="AH202" s="54"/>
      <c r="AI202" s="55"/>
      <c r="AK202" s="56"/>
    </row>
    <row r="203" spans="1:37" x14ac:dyDescent="0.25">
      <c r="A203" s="164" t="s">
        <v>227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0.997</v>
      </c>
      <c r="AH203" s="54"/>
      <c r="AI203" s="55"/>
      <c r="AK203" s="56"/>
    </row>
    <row r="204" spans="1:37" x14ac:dyDescent="0.25">
      <c r="A204" s="164" t="s">
        <v>228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229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0.996</v>
      </c>
      <c r="AH205" s="54"/>
      <c r="AI205" s="55"/>
      <c r="AK205" s="56"/>
    </row>
    <row r="206" spans="1:37" x14ac:dyDescent="0.25">
      <c r="A206" s="164" t="s">
        <v>230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231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232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0.995</v>
      </c>
      <c r="AH208" s="54"/>
      <c r="AI208" s="55"/>
      <c r="AK208" s="56"/>
    </row>
    <row r="209" spans="1:37" x14ac:dyDescent="0.25">
      <c r="A209" s="164" t="s">
        <v>233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0.99299999999999999</v>
      </c>
      <c r="AH209" s="54"/>
      <c r="AI209" s="55"/>
      <c r="AK209" s="56"/>
    </row>
    <row r="210" spans="1:37" x14ac:dyDescent="0.25">
      <c r="A210" s="164" t="s">
        <v>234</v>
      </c>
      <c r="B210" s="97"/>
      <c r="C210" s="53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</v>
      </c>
      <c r="AH210" s="54"/>
      <c r="AI210" s="55"/>
      <c r="AK210" s="56"/>
    </row>
    <row r="211" spans="1:37" ht="15.75" thickBot="1" x14ac:dyDescent="0.3">
      <c r="A211" s="164" t="s">
        <v>235</v>
      </c>
      <c r="B211" s="102"/>
      <c r="C211" s="166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0">
        <v>0.97899999999999998</v>
      </c>
      <c r="AH211" s="54"/>
      <c r="AI211" s="55"/>
      <c r="AK211" s="56"/>
    </row>
    <row r="212" spans="1:37" ht="15.75" thickBot="1" x14ac:dyDescent="0.3">
      <c r="A212" s="165" t="s">
        <v>82</v>
      </c>
      <c r="B212" s="167">
        <f>SUM(B107:B211)</f>
        <v>0</v>
      </c>
      <c r="C212" s="103">
        <f t="shared" ref="C212:AG212" si="26">SUM(C107:C211)</f>
        <v>0</v>
      </c>
      <c r="D212" s="103">
        <f t="shared" si="26"/>
        <v>0</v>
      </c>
      <c r="E212" s="103">
        <f t="shared" si="26"/>
        <v>0</v>
      </c>
      <c r="F212" s="103">
        <f t="shared" si="26"/>
        <v>0</v>
      </c>
      <c r="G212" s="103">
        <f t="shared" si="26"/>
        <v>0</v>
      </c>
      <c r="H212" s="103">
        <f t="shared" si="26"/>
        <v>0</v>
      </c>
      <c r="I212" s="103">
        <f t="shared" si="26"/>
        <v>0</v>
      </c>
      <c r="J212" s="103">
        <f t="shared" si="26"/>
        <v>0</v>
      </c>
      <c r="K212" s="103">
        <f t="shared" si="26"/>
        <v>0</v>
      </c>
      <c r="L212" s="103">
        <f t="shared" si="26"/>
        <v>0</v>
      </c>
      <c r="M212" s="103">
        <f t="shared" si="26"/>
        <v>0</v>
      </c>
      <c r="N212" s="103">
        <f t="shared" si="26"/>
        <v>0</v>
      </c>
      <c r="O212" s="103">
        <f t="shared" si="26"/>
        <v>0</v>
      </c>
      <c r="P212" s="103">
        <f t="shared" si="26"/>
        <v>0</v>
      </c>
      <c r="Q212" s="103">
        <f t="shared" si="26"/>
        <v>0</v>
      </c>
      <c r="R212" s="103">
        <f t="shared" si="26"/>
        <v>0</v>
      </c>
      <c r="S212" s="103">
        <f t="shared" si="26"/>
        <v>0</v>
      </c>
      <c r="T212" s="103">
        <f t="shared" si="26"/>
        <v>0</v>
      </c>
      <c r="U212" s="103">
        <f t="shared" si="26"/>
        <v>0</v>
      </c>
      <c r="V212" s="103">
        <f t="shared" si="26"/>
        <v>0</v>
      </c>
      <c r="W212" s="103">
        <f t="shared" si="26"/>
        <v>0</v>
      </c>
      <c r="X212" s="103">
        <f t="shared" si="26"/>
        <v>0</v>
      </c>
      <c r="Y212" s="103">
        <f t="shared" si="26"/>
        <v>0</v>
      </c>
      <c r="Z212" s="103">
        <f t="shared" si="26"/>
        <v>0</v>
      </c>
      <c r="AA212" s="103">
        <f t="shared" si="26"/>
        <v>0</v>
      </c>
      <c r="AB212" s="103">
        <f t="shared" si="26"/>
        <v>0</v>
      </c>
      <c r="AC212" s="103">
        <f t="shared" si="26"/>
        <v>0</v>
      </c>
      <c r="AD212" s="103">
        <f t="shared" si="26"/>
        <v>0</v>
      </c>
      <c r="AE212" s="103">
        <f t="shared" si="26"/>
        <v>0</v>
      </c>
      <c r="AF212" s="168">
        <f t="shared" si="26"/>
        <v>0</v>
      </c>
      <c r="AG212" s="169">
        <f t="shared" si="26"/>
        <v>412.72299999999984</v>
      </c>
      <c r="AH212" s="54"/>
      <c r="AI212" s="55"/>
      <c r="AK212" s="56"/>
    </row>
    <row r="213" spans="1:37" ht="15.75" thickBot="1" x14ac:dyDescent="0.3">
      <c r="A213" s="28" t="s">
        <v>35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149"/>
      <c r="AH213" s="54"/>
      <c r="AI213" s="55"/>
      <c r="AK213" s="56"/>
    </row>
    <row r="214" spans="1:37" x14ac:dyDescent="0.25">
      <c r="A214" s="170" t="s">
        <v>83</v>
      </c>
      <c r="B214" s="101">
        <f t="shared" ref="B214:B219" si="27">AF214</f>
        <v>0</v>
      </c>
      <c r="C214" s="101">
        <v>0.3</v>
      </c>
      <c r="D214" s="101">
        <f t="shared" ref="D214:P219" si="28">C214</f>
        <v>0.3</v>
      </c>
      <c r="E214" s="101">
        <f t="shared" si="28"/>
        <v>0.3</v>
      </c>
      <c r="F214" s="101">
        <f t="shared" si="28"/>
        <v>0.3</v>
      </c>
      <c r="G214" s="101">
        <f t="shared" si="28"/>
        <v>0.3</v>
      </c>
      <c r="H214" s="101">
        <f t="shared" si="28"/>
        <v>0.3</v>
      </c>
      <c r="I214" s="101">
        <f t="shared" si="28"/>
        <v>0.3</v>
      </c>
      <c r="J214" s="101">
        <f t="shared" si="28"/>
        <v>0.3</v>
      </c>
      <c r="K214" s="101">
        <f t="shared" si="28"/>
        <v>0.3</v>
      </c>
      <c r="L214" s="101">
        <f t="shared" si="28"/>
        <v>0.3</v>
      </c>
      <c r="M214" s="101">
        <f t="shared" si="28"/>
        <v>0.3</v>
      </c>
      <c r="N214" s="101">
        <f t="shared" si="28"/>
        <v>0.3</v>
      </c>
      <c r="O214" s="101">
        <f t="shared" si="28"/>
        <v>0.3</v>
      </c>
      <c r="P214" s="101">
        <f t="shared" si="28"/>
        <v>0.3</v>
      </c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55">
        <v>2.4</v>
      </c>
      <c r="AH214" s="54"/>
      <c r="AI214" s="55"/>
      <c r="AK214" s="56"/>
    </row>
    <row r="215" spans="1:37" x14ac:dyDescent="0.25">
      <c r="A215" s="163" t="s">
        <v>84</v>
      </c>
      <c r="B215" s="97">
        <f t="shared" si="27"/>
        <v>0</v>
      </c>
      <c r="C215" s="97">
        <v>0.4</v>
      </c>
      <c r="D215" s="97">
        <f t="shared" si="28"/>
        <v>0.4</v>
      </c>
      <c r="E215" s="97">
        <f t="shared" si="28"/>
        <v>0.4</v>
      </c>
      <c r="F215" s="97">
        <f t="shared" si="28"/>
        <v>0.4</v>
      </c>
      <c r="G215" s="97">
        <f t="shared" si="28"/>
        <v>0.4</v>
      </c>
      <c r="H215" s="97">
        <f t="shared" si="28"/>
        <v>0.4</v>
      </c>
      <c r="I215" s="97">
        <f t="shared" si="28"/>
        <v>0.4</v>
      </c>
      <c r="J215" s="97">
        <f t="shared" si="28"/>
        <v>0.4</v>
      </c>
      <c r="K215" s="97">
        <f t="shared" si="28"/>
        <v>0.4</v>
      </c>
      <c r="L215" s="97">
        <f t="shared" si="28"/>
        <v>0.4</v>
      </c>
      <c r="M215" s="97">
        <f t="shared" si="28"/>
        <v>0.4</v>
      </c>
      <c r="N215" s="97">
        <f t="shared" si="28"/>
        <v>0.4</v>
      </c>
      <c r="O215" s="97">
        <f t="shared" si="28"/>
        <v>0.4</v>
      </c>
      <c r="P215" s="97">
        <f t="shared" si="28"/>
        <v>0.4</v>
      </c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56">
        <v>2</v>
      </c>
      <c r="AH215" s="54"/>
      <c r="AI215" s="55"/>
      <c r="AK215" s="56"/>
    </row>
    <row r="216" spans="1:37" x14ac:dyDescent="0.25">
      <c r="A216" s="163" t="s">
        <v>85</v>
      </c>
      <c r="B216" s="97">
        <f t="shared" si="27"/>
        <v>0</v>
      </c>
      <c r="C216" s="97">
        <v>1.5</v>
      </c>
      <c r="D216" s="97">
        <f t="shared" si="28"/>
        <v>1.5</v>
      </c>
      <c r="E216" s="97">
        <f t="shared" si="28"/>
        <v>1.5</v>
      </c>
      <c r="F216" s="97">
        <f t="shared" si="28"/>
        <v>1.5</v>
      </c>
      <c r="G216" s="97">
        <f t="shared" si="28"/>
        <v>1.5</v>
      </c>
      <c r="H216" s="97">
        <f t="shared" si="28"/>
        <v>1.5</v>
      </c>
      <c r="I216" s="97">
        <f t="shared" si="28"/>
        <v>1.5</v>
      </c>
      <c r="J216" s="97">
        <f t="shared" si="28"/>
        <v>1.5</v>
      </c>
      <c r="K216" s="97">
        <f t="shared" si="28"/>
        <v>1.5</v>
      </c>
      <c r="L216" s="97">
        <f t="shared" si="28"/>
        <v>1.5</v>
      </c>
      <c r="M216" s="97">
        <f t="shared" si="28"/>
        <v>1.5</v>
      </c>
      <c r="N216" s="97">
        <f t="shared" si="28"/>
        <v>1.5</v>
      </c>
      <c r="O216" s="97">
        <f t="shared" si="28"/>
        <v>1.5</v>
      </c>
      <c r="P216" s="97">
        <f t="shared" si="28"/>
        <v>1.5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1.5</v>
      </c>
      <c r="AH216" s="54"/>
      <c r="AI216" s="55"/>
      <c r="AK216" s="56"/>
    </row>
    <row r="217" spans="1:37" x14ac:dyDescent="0.25">
      <c r="A217" s="163" t="s">
        <v>86</v>
      </c>
      <c r="B217" s="97">
        <f t="shared" si="27"/>
        <v>0</v>
      </c>
      <c r="C217" s="97">
        <v>0.3</v>
      </c>
      <c r="D217" s="97">
        <f t="shared" si="28"/>
        <v>0.3</v>
      </c>
      <c r="E217" s="97">
        <f t="shared" si="28"/>
        <v>0.3</v>
      </c>
      <c r="F217" s="97">
        <f t="shared" si="28"/>
        <v>0.3</v>
      </c>
      <c r="G217" s="97">
        <f t="shared" si="28"/>
        <v>0.3</v>
      </c>
      <c r="H217" s="97">
        <f t="shared" si="28"/>
        <v>0.3</v>
      </c>
      <c r="I217" s="97">
        <f t="shared" si="28"/>
        <v>0.3</v>
      </c>
      <c r="J217" s="97">
        <f t="shared" si="28"/>
        <v>0.3</v>
      </c>
      <c r="K217" s="97">
        <f t="shared" si="28"/>
        <v>0.3</v>
      </c>
      <c r="L217" s="97">
        <f t="shared" si="28"/>
        <v>0.3</v>
      </c>
      <c r="M217" s="97">
        <f t="shared" si="28"/>
        <v>0.3</v>
      </c>
      <c r="N217" s="97">
        <f t="shared" si="28"/>
        <v>0.3</v>
      </c>
      <c r="O217" s="97">
        <f t="shared" si="28"/>
        <v>0.3</v>
      </c>
      <c r="P217" s="97">
        <f t="shared" si="28"/>
        <v>0.3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</v>
      </c>
      <c r="AH217" s="54"/>
      <c r="AI217" s="55"/>
      <c r="AK217" s="56"/>
    </row>
    <row r="218" spans="1:37" x14ac:dyDescent="0.25">
      <c r="A218" s="163" t="s">
        <v>87</v>
      </c>
      <c r="B218" s="97">
        <f t="shared" si="27"/>
        <v>0</v>
      </c>
      <c r="C218" s="97">
        <v>0.4</v>
      </c>
      <c r="D218" s="97">
        <f t="shared" si="28"/>
        <v>0.4</v>
      </c>
      <c r="E218" s="97">
        <f t="shared" si="28"/>
        <v>0.4</v>
      </c>
      <c r="F218" s="97">
        <f t="shared" si="28"/>
        <v>0.4</v>
      </c>
      <c r="G218" s="97">
        <f t="shared" si="28"/>
        <v>0.4</v>
      </c>
      <c r="H218" s="97">
        <f t="shared" si="28"/>
        <v>0.4</v>
      </c>
      <c r="I218" s="97">
        <f t="shared" si="28"/>
        <v>0.4</v>
      </c>
      <c r="J218" s="97">
        <f t="shared" si="28"/>
        <v>0.4</v>
      </c>
      <c r="K218" s="97">
        <f t="shared" si="28"/>
        <v>0.4</v>
      </c>
      <c r="L218" s="97">
        <f t="shared" si="28"/>
        <v>0.4</v>
      </c>
      <c r="M218" s="97">
        <f t="shared" si="28"/>
        <v>0.4</v>
      </c>
      <c r="N218" s="97">
        <f t="shared" si="28"/>
        <v>0.4</v>
      </c>
      <c r="O218" s="97">
        <f t="shared" si="28"/>
        <v>0.4</v>
      </c>
      <c r="P218" s="97">
        <f t="shared" si="28"/>
        <v>0.4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ht="15.75" thickBot="1" x14ac:dyDescent="0.3">
      <c r="A219" s="164" t="s">
        <v>88</v>
      </c>
      <c r="B219" s="102">
        <f t="shared" si="27"/>
        <v>0</v>
      </c>
      <c r="C219" s="102">
        <v>0.64</v>
      </c>
      <c r="D219" s="102">
        <f t="shared" si="28"/>
        <v>0.64</v>
      </c>
      <c r="E219" s="102">
        <f t="shared" si="28"/>
        <v>0.64</v>
      </c>
      <c r="F219" s="102">
        <f t="shared" si="28"/>
        <v>0.64</v>
      </c>
      <c r="G219" s="102">
        <f t="shared" si="28"/>
        <v>0.64</v>
      </c>
      <c r="H219" s="102">
        <f t="shared" si="28"/>
        <v>0.64</v>
      </c>
      <c r="I219" s="102">
        <f t="shared" si="28"/>
        <v>0.64</v>
      </c>
      <c r="J219" s="102">
        <f t="shared" si="28"/>
        <v>0.64</v>
      </c>
      <c r="K219" s="102">
        <f t="shared" si="28"/>
        <v>0.64</v>
      </c>
      <c r="L219" s="102">
        <f t="shared" si="28"/>
        <v>0.64</v>
      </c>
      <c r="M219" s="102">
        <f t="shared" si="28"/>
        <v>0.64</v>
      </c>
      <c r="N219" s="102">
        <f t="shared" si="28"/>
        <v>0.64</v>
      </c>
      <c r="O219" s="102">
        <f t="shared" si="28"/>
        <v>0.64</v>
      </c>
      <c r="P219" s="102">
        <f t="shared" si="28"/>
        <v>0.64</v>
      </c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57">
        <v>0.66</v>
      </c>
      <c r="AH219" s="54"/>
      <c r="AI219" s="55"/>
    </row>
    <row r="220" spans="1:37" ht="15.75" thickBot="1" x14ac:dyDescent="0.3">
      <c r="A220" s="173" t="s">
        <v>35</v>
      </c>
      <c r="B220" s="103">
        <f>SUM(B214:B219)</f>
        <v>0</v>
      </c>
      <c r="C220" s="103">
        <f>SUM(C214:C219)</f>
        <v>3.54</v>
      </c>
      <c r="D220" s="103">
        <f t="shared" ref="D220:L220" si="29">SUM(D214:D219)</f>
        <v>3.54</v>
      </c>
      <c r="E220" s="103">
        <f t="shared" si="29"/>
        <v>3.54</v>
      </c>
      <c r="F220" s="103">
        <f t="shared" si="29"/>
        <v>3.54</v>
      </c>
      <c r="G220" s="103">
        <f t="shared" si="29"/>
        <v>3.54</v>
      </c>
      <c r="H220" s="103">
        <f t="shared" si="29"/>
        <v>3.54</v>
      </c>
      <c r="I220" s="103">
        <f t="shared" si="29"/>
        <v>3.54</v>
      </c>
      <c r="J220" s="103">
        <f t="shared" si="29"/>
        <v>3.54</v>
      </c>
      <c r="K220" s="103">
        <f t="shared" si="29"/>
        <v>3.54</v>
      </c>
      <c r="L220" s="103">
        <f t="shared" si="29"/>
        <v>3.54</v>
      </c>
      <c r="M220" s="103">
        <f>SUM(M214:M219)</f>
        <v>3.54</v>
      </c>
      <c r="N220" s="103">
        <f t="shared" ref="N220:S220" si="30">SUM(N214:N219)</f>
        <v>3.54</v>
      </c>
      <c r="O220" s="103">
        <f t="shared" si="30"/>
        <v>3.54</v>
      </c>
      <c r="P220" s="103">
        <f t="shared" si="30"/>
        <v>3.54</v>
      </c>
      <c r="Q220" s="103">
        <f t="shared" si="30"/>
        <v>0</v>
      </c>
      <c r="R220" s="103">
        <f t="shared" si="30"/>
        <v>0</v>
      </c>
      <c r="S220" s="103">
        <f t="shared" si="30"/>
        <v>0</v>
      </c>
      <c r="T220" s="103">
        <f>SUM(T214:T219)</f>
        <v>0</v>
      </c>
      <c r="U220" s="103">
        <f t="shared" ref="U220:AG220" si="31">SUM(U214:U219)</f>
        <v>0</v>
      </c>
      <c r="V220" s="103">
        <f t="shared" si="31"/>
        <v>0</v>
      </c>
      <c r="W220" s="103">
        <f t="shared" si="31"/>
        <v>0</v>
      </c>
      <c r="X220" s="103">
        <f t="shared" si="31"/>
        <v>0</v>
      </c>
      <c r="Y220" s="103">
        <f t="shared" si="31"/>
        <v>0</v>
      </c>
      <c r="Z220" s="103">
        <f t="shared" si="31"/>
        <v>0</v>
      </c>
      <c r="AA220" s="103">
        <f t="shared" si="31"/>
        <v>0</v>
      </c>
      <c r="AB220" s="103">
        <f t="shared" si="31"/>
        <v>0</v>
      </c>
      <c r="AC220" s="103">
        <f t="shared" si="31"/>
        <v>0</v>
      </c>
      <c r="AD220" s="103">
        <f t="shared" si="31"/>
        <v>0</v>
      </c>
      <c r="AE220" s="103">
        <f t="shared" si="31"/>
        <v>0</v>
      </c>
      <c r="AF220" s="103">
        <f t="shared" si="31"/>
        <v>0</v>
      </c>
      <c r="AG220" s="158">
        <f t="shared" si="31"/>
        <v>8.56</v>
      </c>
      <c r="AH220" s="54"/>
      <c r="AI220" s="55"/>
    </row>
    <row r="221" spans="1:37" ht="15.75" thickBot="1" x14ac:dyDescent="0.3"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  <c r="AC221" s="179"/>
      <c r="AD221" s="179"/>
      <c r="AE221" s="179"/>
      <c r="AF221" s="179"/>
      <c r="AG221" s="84"/>
      <c r="AH221" s="179"/>
    </row>
    <row r="222" spans="1:37" x14ac:dyDescent="0.25">
      <c r="A222" s="79" t="s">
        <v>89</v>
      </c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5"/>
      <c r="AG222" s="179"/>
      <c r="AH222" s="54"/>
      <c r="AI222" s="55"/>
    </row>
    <row r="223" spans="1:37" x14ac:dyDescent="0.25">
      <c r="A223" s="106" t="s">
        <v>90</v>
      </c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8"/>
      <c r="AG223" s="109"/>
      <c r="AH223" s="54"/>
      <c r="AI223" s="55"/>
    </row>
    <row r="224" spans="1:37" x14ac:dyDescent="0.25">
      <c r="A224" s="81" t="s">
        <v>91</v>
      </c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1"/>
      <c r="AG224" s="109"/>
      <c r="AH224" s="54"/>
      <c r="AI224" s="55"/>
    </row>
    <row r="225" spans="1:50" x14ac:dyDescent="0.25">
      <c r="A225" s="81" t="s">
        <v>92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ht="15.75" thickBot="1" x14ac:dyDescent="0.3">
      <c r="A226" s="112" t="s">
        <v>93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4"/>
      <c r="AG226" s="109"/>
      <c r="AH226" s="54"/>
      <c r="AI226" s="55"/>
    </row>
    <row r="227" spans="1:50" x14ac:dyDescent="0.25"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  <c r="AC227" s="179"/>
      <c r="AD227" s="179"/>
      <c r="AE227" s="179"/>
      <c r="AF227" s="179"/>
      <c r="AG227" s="179"/>
      <c r="AH227" s="179"/>
    </row>
    <row r="228" spans="1:50" x14ac:dyDescent="0.25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  <c r="AC228" s="179"/>
      <c r="AD228" s="179"/>
      <c r="AE228" s="179"/>
      <c r="AF228" s="179"/>
      <c r="AG228" s="179"/>
      <c r="AH228" s="179"/>
    </row>
    <row r="229" spans="1:50" x14ac:dyDescent="0.25">
      <c r="A229" s="115" t="s">
        <v>94</v>
      </c>
      <c r="B229" s="116">
        <f>MAX(G79:N79)</f>
        <v>1849.4100000000003</v>
      </c>
      <c r="C229" s="117">
        <f>INDEX(G9:N9,1,MATCH(MAX(G79:N79),G79:N79,0))</f>
        <v>0.33333333333333331</v>
      </c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  <c r="AC229" s="179"/>
      <c r="AD229" s="179"/>
      <c r="AE229" s="179"/>
      <c r="AF229" s="179"/>
      <c r="AG229" s="179"/>
      <c r="AH229" s="179"/>
    </row>
    <row r="230" spans="1:50" x14ac:dyDescent="0.25"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18" t="str">
        <f ca="1">MID(CELL("filename",C7),FIND("]",CELL("filename",C7))+1,600)</f>
        <v>24</v>
      </c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79"/>
      <c r="AH230" s="179"/>
    </row>
    <row r="231" spans="1:50" x14ac:dyDescent="0.25">
      <c r="A231" s="208" t="s">
        <v>95</v>
      </c>
      <c r="B231" s="208"/>
      <c r="C231" s="179"/>
      <c r="D231" s="118" t="str">
        <f ca="1">"Pie Chart of Daily Peak Demand(Inclusive of Export) of Nepal ("&amp;A4&amp;" "&amp;B4&amp;")"</f>
        <v>Pie Chart of Daily Peak Demand(Inclusive of Export) of Nepal (Nepali Date: 2079/02/24)</v>
      </c>
      <c r="E231" s="179"/>
      <c r="F231" s="179"/>
      <c r="G231" s="118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18" t="str">
        <f ca="1">"Daily Load Curve(Excluding of Export) of Nepal ("&amp;A4&amp;" "&amp;B4&amp;")"</f>
        <v>Daily Load Curve(Excluding of Export) of Nepal (Nepali Date: 2079/02/24)</v>
      </c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  <c r="AE231" s="179"/>
      <c r="AF231" s="179"/>
      <c r="AG231" s="179"/>
      <c r="AH231" s="179"/>
    </row>
    <row r="232" spans="1:50" ht="12.75" customHeight="1" thickBot="1" x14ac:dyDescent="0.3">
      <c r="A232" s="119" t="s">
        <v>7</v>
      </c>
      <c r="B232" s="120"/>
      <c r="C232" s="179"/>
      <c r="D232" s="121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  <c r="AC232" s="179"/>
      <c r="AD232" s="179"/>
      <c r="AE232" s="179"/>
      <c r="AF232" s="179"/>
      <c r="AG232" s="179"/>
      <c r="AH232" s="179"/>
    </row>
    <row r="233" spans="1:50" ht="15.75" thickTop="1" x14ac:dyDescent="0.25">
      <c r="A233" s="119" t="s">
        <v>96</v>
      </c>
      <c r="B233" s="120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22" t="s">
        <v>97</v>
      </c>
      <c r="T233" s="123">
        <v>0</v>
      </c>
      <c r="U233" s="124">
        <v>4.1666666666666664E-2</v>
      </c>
      <c r="V233" s="125">
        <v>8.3333333333333301E-2</v>
      </c>
      <c r="W233" s="125">
        <v>0.125</v>
      </c>
      <c r="X233" s="125">
        <v>0.16666666666666699</v>
      </c>
      <c r="Y233" s="125">
        <v>0.20833333333333301</v>
      </c>
      <c r="Z233" s="125">
        <v>0.22916666666666666</v>
      </c>
      <c r="AA233" s="125">
        <v>0.25</v>
      </c>
      <c r="AB233" s="125">
        <v>0.27083333333333331</v>
      </c>
      <c r="AC233" s="125">
        <v>0.29166666666666669</v>
      </c>
      <c r="AD233" s="125">
        <v>0.3125</v>
      </c>
      <c r="AE233" s="126">
        <v>0.33333333333333331</v>
      </c>
      <c r="AF233" s="126">
        <v>0.375</v>
      </c>
      <c r="AG233" s="126">
        <v>0.41666666666666702</v>
      </c>
      <c r="AH233" s="126">
        <v>0.45833333333333298</v>
      </c>
      <c r="AI233" s="126">
        <v>0.5</v>
      </c>
      <c r="AJ233" s="126">
        <v>0.54166666666666696</v>
      </c>
      <c r="AK233" s="126">
        <v>0.58333333333333304</v>
      </c>
      <c r="AL233" s="126">
        <v>0.625</v>
      </c>
      <c r="AM233" s="126">
        <v>0.66666666666666696</v>
      </c>
      <c r="AN233" s="126">
        <v>0.70833333333333304</v>
      </c>
      <c r="AO233" s="126">
        <v>0.72916666666666663</v>
      </c>
      <c r="AP233" s="126">
        <v>0.75</v>
      </c>
      <c r="AQ233" s="126">
        <v>0.77083333333333337</v>
      </c>
      <c r="AR233" s="126">
        <v>0.79166666666666663</v>
      </c>
      <c r="AS233" s="126">
        <v>0.8125</v>
      </c>
      <c r="AT233" s="125">
        <v>0.83333333333333337</v>
      </c>
      <c r="AU233" s="125">
        <v>0.85416666666666663</v>
      </c>
      <c r="AV233" s="125">
        <v>0.875</v>
      </c>
      <c r="AW233" s="125">
        <v>0.91666666666666696</v>
      </c>
      <c r="AX233" s="125">
        <v>0.95833333333333304</v>
      </c>
    </row>
    <row r="234" spans="1:50" x14ac:dyDescent="0.25">
      <c r="A234" s="119" t="s">
        <v>98</v>
      </c>
      <c r="B234" s="120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 t="s">
        <v>99</v>
      </c>
      <c r="T234" s="127">
        <f t="shared" ref="T234:AX234" si="32">B79</f>
        <v>1808.8400000000001</v>
      </c>
      <c r="U234" s="127">
        <f t="shared" si="32"/>
        <v>1760.94</v>
      </c>
      <c r="V234" s="127">
        <f t="shared" si="32"/>
        <v>1752.5400000000002</v>
      </c>
      <c r="W234" s="127">
        <f t="shared" si="32"/>
        <v>1765.3400000000001</v>
      </c>
      <c r="X234" s="127">
        <f t="shared" si="32"/>
        <v>1723.94</v>
      </c>
      <c r="Y234" s="127">
        <f t="shared" si="32"/>
        <v>1719.0400000000002</v>
      </c>
      <c r="Z234" s="127">
        <f t="shared" si="32"/>
        <v>1649.9400000000003</v>
      </c>
      <c r="AA234" s="127">
        <f t="shared" si="32"/>
        <v>1729.24</v>
      </c>
      <c r="AB234" s="127">
        <f t="shared" si="32"/>
        <v>1759.34</v>
      </c>
      <c r="AC234" s="127">
        <f t="shared" si="32"/>
        <v>1812.24</v>
      </c>
      <c r="AD234" s="127">
        <f t="shared" si="32"/>
        <v>1807.5400000000002</v>
      </c>
      <c r="AE234" s="127">
        <f t="shared" si="32"/>
        <v>1849.4100000000003</v>
      </c>
      <c r="AF234" s="127">
        <f t="shared" si="32"/>
        <v>1772.74</v>
      </c>
      <c r="AG234" s="127">
        <f t="shared" si="32"/>
        <v>1796.5400000000002</v>
      </c>
      <c r="AH234" s="127">
        <f t="shared" si="32"/>
        <v>1797.8400000000001</v>
      </c>
      <c r="AI234" s="127">
        <f t="shared" si="32"/>
        <v>1787.84</v>
      </c>
      <c r="AJ234" s="127">
        <f t="shared" si="32"/>
        <v>1797.04</v>
      </c>
      <c r="AK234" s="127">
        <f t="shared" si="32"/>
        <v>1804.6399999999999</v>
      </c>
      <c r="AL234" s="127">
        <f t="shared" si="32"/>
        <v>1802.04</v>
      </c>
      <c r="AM234" s="127">
        <f t="shared" si="32"/>
        <v>1807.44</v>
      </c>
      <c r="AN234" s="127">
        <f t="shared" si="32"/>
        <v>1772.94</v>
      </c>
      <c r="AO234" s="127">
        <f t="shared" si="32"/>
        <v>1761.14</v>
      </c>
      <c r="AP234" s="127">
        <f t="shared" si="32"/>
        <v>1761.94</v>
      </c>
      <c r="AQ234" s="127">
        <f t="shared" si="32"/>
        <v>1761.94</v>
      </c>
      <c r="AR234" s="127">
        <f t="shared" si="32"/>
        <v>1830.34</v>
      </c>
      <c r="AS234" s="127">
        <f t="shared" si="32"/>
        <v>1910.7399999999998</v>
      </c>
      <c r="AT234" s="127">
        <f t="shared" si="32"/>
        <v>1864.8400000000001</v>
      </c>
      <c r="AU234" s="127">
        <f t="shared" si="32"/>
        <v>1886.8400000000001</v>
      </c>
      <c r="AV234" s="127">
        <f t="shared" si="32"/>
        <v>1893.54</v>
      </c>
      <c r="AW234" s="127">
        <f t="shared" si="32"/>
        <v>1851.44</v>
      </c>
      <c r="AX234" s="127">
        <f t="shared" si="32"/>
        <v>1824.3400000000001</v>
      </c>
    </row>
    <row r="235" spans="1:50" x14ac:dyDescent="0.25">
      <c r="A235" s="119" t="s">
        <v>100</v>
      </c>
      <c r="B235" s="120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  <c r="AC235" s="179"/>
      <c r="AD235" s="179"/>
      <c r="AE235" s="179"/>
      <c r="AF235" s="179"/>
      <c r="AG235" s="179"/>
      <c r="AH235" s="179"/>
    </row>
    <row r="236" spans="1:50" x14ac:dyDescent="0.25">
      <c r="A236" s="119" t="s">
        <v>101</v>
      </c>
      <c r="B236" s="120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79"/>
      <c r="AE236" s="179"/>
      <c r="AF236" s="179"/>
      <c r="AG236" s="179"/>
      <c r="AH236" s="179"/>
    </row>
    <row r="237" spans="1:50" x14ac:dyDescent="0.25">
      <c r="A237" s="119" t="s">
        <v>102</v>
      </c>
      <c r="B237" s="120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  <c r="AE237" s="179"/>
      <c r="AF237" s="179"/>
      <c r="AG237" s="179"/>
      <c r="AH237" s="179"/>
    </row>
    <row r="238" spans="1:50" x14ac:dyDescent="0.25">
      <c r="A238" s="119" t="s">
        <v>103</v>
      </c>
      <c r="B238" s="128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  <c r="AE238" s="179"/>
      <c r="AF238" s="179"/>
      <c r="AG238" s="179"/>
      <c r="AH238" s="179"/>
    </row>
    <row r="239" spans="1:50" x14ac:dyDescent="0.25">
      <c r="A239" s="119" t="s">
        <v>104</v>
      </c>
      <c r="B239" s="120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</row>
    <row r="240" spans="1:50" x14ac:dyDescent="0.25"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  <c r="AD240" s="179"/>
      <c r="AE240" s="179"/>
      <c r="AF240" s="179"/>
      <c r="AG240" s="179"/>
      <c r="AH240" s="179"/>
    </row>
    <row r="241" spans="1:36" x14ac:dyDescent="0.25"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  <c r="AC241" s="179"/>
      <c r="AD241" s="179"/>
      <c r="AE241" s="179"/>
      <c r="AF241" s="179"/>
      <c r="AG241" s="179"/>
      <c r="AH241" s="179"/>
    </row>
    <row r="242" spans="1:36" x14ac:dyDescent="0.25"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  <c r="AC242" s="179"/>
      <c r="AD242" s="179"/>
      <c r="AE242" s="179"/>
      <c r="AF242" s="179"/>
      <c r="AG242" s="179"/>
      <c r="AH242" s="179"/>
    </row>
    <row r="243" spans="1:36" x14ac:dyDescent="0.25"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  <c r="AC243" s="179"/>
      <c r="AD243" s="179"/>
      <c r="AE243" s="179"/>
      <c r="AF243" s="179"/>
      <c r="AG243" s="179"/>
      <c r="AH243" s="179"/>
    </row>
    <row r="244" spans="1:36" x14ac:dyDescent="0.25"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  <c r="AC244" s="179"/>
      <c r="AD244" s="179"/>
      <c r="AE244" s="179"/>
      <c r="AF244" s="179"/>
      <c r="AG244" s="179"/>
      <c r="AH244" s="179"/>
    </row>
    <row r="245" spans="1:36" x14ac:dyDescent="0.25"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  <c r="AG245" s="179"/>
      <c r="AH245" s="179"/>
    </row>
    <row r="246" spans="1:36" x14ac:dyDescent="0.25"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  <c r="AC246" s="179"/>
      <c r="AD246" s="179"/>
      <c r="AE246" s="179"/>
      <c r="AF246" s="179"/>
      <c r="AG246" s="179"/>
      <c r="AH246" s="179"/>
      <c r="AJ246"/>
    </row>
    <row r="247" spans="1:36" x14ac:dyDescent="0.25"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  <c r="AC247" s="179"/>
      <c r="AD247" s="179"/>
      <c r="AE247" s="179"/>
      <c r="AF247" s="179"/>
      <c r="AG247" s="179"/>
      <c r="AH247" s="179"/>
      <c r="AJ247"/>
    </row>
    <row r="248" spans="1:36" x14ac:dyDescent="0.25"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  <c r="AC248" s="179"/>
      <c r="AD248" s="179"/>
      <c r="AE248" s="179"/>
      <c r="AF248" s="179"/>
      <c r="AG248" s="179"/>
      <c r="AH248" s="179"/>
      <c r="AJ248"/>
    </row>
    <row r="249" spans="1:36" x14ac:dyDescent="0.25"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  <c r="AC249" s="179"/>
      <c r="AD249" s="179"/>
      <c r="AE249" s="179"/>
      <c r="AF249" s="179"/>
      <c r="AG249" s="179"/>
      <c r="AH249" s="179"/>
      <c r="AJ249"/>
    </row>
    <row r="250" spans="1:36" x14ac:dyDescent="0.25"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  <c r="AC250" s="179"/>
      <c r="AD250" s="179"/>
      <c r="AE250" s="179"/>
      <c r="AF250" s="179"/>
      <c r="AG250" s="179"/>
      <c r="AH250" s="179"/>
      <c r="AJ250"/>
    </row>
    <row r="251" spans="1:36" x14ac:dyDescent="0.25"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  <c r="AE251" s="179"/>
      <c r="AF251" s="179"/>
      <c r="AG251" s="179"/>
      <c r="AH251" s="179"/>
      <c r="AJ251"/>
    </row>
    <row r="252" spans="1:36" x14ac:dyDescent="0.25"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  <c r="AC252" s="179"/>
      <c r="AD252" s="179"/>
      <c r="AE252" s="179"/>
      <c r="AF252" s="179"/>
      <c r="AG252" s="179"/>
      <c r="AH252" s="179"/>
      <c r="AJ252"/>
    </row>
    <row r="253" spans="1:36" x14ac:dyDescent="0.25"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J253"/>
    </row>
    <row r="254" spans="1:36" x14ac:dyDescent="0.25"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  <c r="AE254" s="179"/>
      <c r="AF254" s="179"/>
      <c r="AG254" s="179"/>
      <c r="AH254" s="179"/>
      <c r="AJ254"/>
    </row>
    <row r="255" spans="1:36" x14ac:dyDescent="0.25">
      <c r="A255" s="129" t="s">
        <v>89</v>
      </c>
      <c r="B255" s="130">
        <f t="shared" ref="B255:AE255" si="33">C219</f>
        <v>0.64</v>
      </c>
      <c r="C255" s="130">
        <f t="shared" si="33"/>
        <v>0.64</v>
      </c>
      <c r="D255" s="130">
        <f t="shared" si="33"/>
        <v>0.64</v>
      </c>
      <c r="E255" s="130">
        <f t="shared" si="33"/>
        <v>0.64</v>
      </c>
      <c r="F255" s="130">
        <f t="shared" si="33"/>
        <v>0.64</v>
      </c>
      <c r="G255" s="130">
        <f t="shared" si="33"/>
        <v>0.64</v>
      </c>
      <c r="H255" s="130">
        <f t="shared" si="33"/>
        <v>0.64</v>
      </c>
      <c r="I255" s="130">
        <f t="shared" si="33"/>
        <v>0.64</v>
      </c>
      <c r="J255" s="130">
        <f t="shared" si="33"/>
        <v>0.64</v>
      </c>
      <c r="K255" s="130">
        <f t="shared" si="33"/>
        <v>0.64</v>
      </c>
      <c r="L255" s="130">
        <f t="shared" si="33"/>
        <v>0.64</v>
      </c>
      <c r="M255" s="130">
        <f t="shared" si="33"/>
        <v>0.64</v>
      </c>
      <c r="N255" s="130">
        <f t="shared" si="33"/>
        <v>0.64</v>
      </c>
      <c r="O255" s="130">
        <f t="shared" si="33"/>
        <v>0.64</v>
      </c>
      <c r="P255" s="130">
        <f t="shared" si="33"/>
        <v>0</v>
      </c>
      <c r="Q255" s="130">
        <f t="shared" si="33"/>
        <v>0</v>
      </c>
      <c r="R255" s="130">
        <f t="shared" si="33"/>
        <v>0</v>
      </c>
      <c r="S255" s="130">
        <f t="shared" si="33"/>
        <v>0</v>
      </c>
      <c r="T255" s="130">
        <f t="shared" si="33"/>
        <v>0</v>
      </c>
      <c r="U255" s="130">
        <f t="shared" si="33"/>
        <v>0</v>
      </c>
      <c r="V255" s="130">
        <f t="shared" si="33"/>
        <v>0</v>
      </c>
      <c r="W255" s="130">
        <f t="shared" si="33"/>
        <v>0</v>
      </c>
      <c r="X255" s="130">
        <f t="shared" si="33"/>
        <v>0</v>
      </c>
      <c r="Y255" s="130">
        <f t="shared" si="33"/>
        <v>0</v>
      </c>
      <c r="Z255" s="130">
        <f t="shared" si="33"/>
        <v>0</v>
      </c>
      <c r="AA255" s="130">
        <f t="shared" si="33"/>
        <v>0</v>
      </c>
      <c r="AB255" s="130">
        <f t="shared" si="33"/>
        <v>0</v>
      </c>
      <c r="AC255" s="130">
        <f t="shared" si="33"/>
        <v>0</v>
      </c>
      <c r="AD255" s="130">
        <f t="shared" si="33"/>
        <v>0</v>
      </c>
      <c r="AE255" s="130">
        <f t="shared" si="33"/>
        <v>0</v>
      </c>
      <c r="AF255" s="130">
        <f>B219</f>
        <v>0</v>
      </c>
      <c r="AG255" s="179"/>
      <c r="AH255" s="179"/>
      <c r="AJ255"/>
    </row>
    <row r="256" spans="1:36" x14ac:dyDescent="0.25">
      <c r="A256" s="88" t="str">
        <f>A223</f>
        <v>KGA</v>
      </c>
      <c r="B256" s="88" t="str">
        <f>IF(B223&lt;100,"",B223-520)</f>
        <v/>
      </c>
      <c r="C256" s="88" t="str">
        <f t="shared" ref="C256:AF256" si="34">IF(C223&lt;100,"",C223-520)</f>
        <v/>
      </c>
      <c r="D256" s="88" t="str">
        <f t="shared" si="34"/>
        <v/>
      </c>
      <c r="E256" s="88" t="str">
        <f t="shared" si="34"/>
        <v/>
      </c>
      <c r="F256" s="88" t="str">
        <f t="shared" si="34"/>
        <v/>
      </c>
      <c r="G256" s="88" t="str">
        <f t="shared" si="34"/>
        <v/>
      </c>
      <c r="H256" s="88" t="str">
        <f t="shared" si="34"/>
        <v/>
      </c>
      <c r="I256" s="88" t="str">
        <f t="shared" si="34"/>
        <v/>
      </c>
      <c r="J256" s="88" t="str">
        <f t="shared" si="34"/>
        <v/>
      </c>
      <c r="K256" s="88" t="str">
        <f t="shared" si="34"/>
        <v/>
      </c>
      <c r="L256" s="88" t="str">
        <f t="shared" si="34"/>
        <v/>
      </c>
      <c r="M256" s="88" t="str">
        <f t="shared" si="34"/>
        <v/>
      </c>
      <c r="N256" s="88" t="str">
        <f t="shared" si="34"/>
        <v/>
      </c>
      <c r="O256" s="88" t="str">
        <f t="shared" si="34"/>
        <v/>
      </c>
      <c r="P256" s="88" t="str">
        <f t="shared" si="34"/>
        <v/>
      </c>
      <c r="Q256" s="88" t="str">
        <f t="shared" si="34"/>
        <v/>
      </c>
      <c r="R256" s="88" t="str">
        <f t="shared" si="34"/>
        <v/>
      </c>
      <c r="S256" s="88" t="str">
        <f t="shared" si="34"/>
        <v/>
      </c>
      <c r="T256" s="88" t="str">
        <f t="shared" si="34"/>
        <v/>
      </c>
      <c r="U256" s="88" t="str">
        <f t="shared" si="34"/>
        <v/>
      </c>
      <c r="V256" s="88" t="str">
        <f t="shared" si="34"/>
        <v/>
      </c>
      <c r="W256" s="88" t="str">
        <f t="shared" si="34"/>
        <v/>
      </c>
      <c r="X256" s="88" t="str">
        <f t="shared" si="34"/>
        <v/>
      </c>
      <c r="Y256" s="88" t="str">
        <f t="shared" si="34"/>
        <v/>
      </c>
      <c r="Z256" s="88" t="str">
        <f t="shared" si="34"/>
        <v/>
      </c>
      <c r="AA256" s="88" t="str">
        <f t="shared" si="34"/>
        <v/>
      </c>
      <c r="AB256" s="88" t="str">
        <f t="shared" si="34"/>
        <v/>
      </c>
      <c r="AC256" s="88" t="str">
        <f t="shared" si="34"/>
        <v/>
      </c>
      <c r="AD256" s="88" t="str">
        <f t="shared" si="34"/>
        <v/>
      </c>
      <c r="AE256" s="88" t="str">
        <f t="shared" si="34"/>
        <v/>
      </c>
      <c r="AF256" s="88" t="str">
        <f t="shared" si="34"/>
        <v/>
      </c>
      <c r="AG256" s="179"/>
      <c r="AH256" s="179"/>
      <c r="AJ256"/>
    </row>
    <row r="257" spans="1:36" x14ac:dyDescent="0.25">
      <c r="A257" s="88" t="str">
        <f>A224</f>
        <v>MMRS</v>
      </c>
      <c r="B257" s="88" t="str">
        <f t="shared" ref="B257:AF257" si="35">IF(B224&lt;100,"",B224-620)</f>
        <v/>
      </c>
      <c r="C257" s="88" t="str">
        <f t="shared" si="35"/>
        <v/>
      </c>
      <c r="D257" s="88" t="str">
        <f t="shared" si="35"/>
        <v/>
      </c>
      <c r="E257" s="88" t="str">
        <f t="shared" si="35"/>
        <v/>
      </c>
      <c r="F257" s="88" t="str">
        <f t="shared" si="35"/>
        <v/>
      </c>
      <c r="G257" s="88" t="str">
        <f t="shared" si="35"/>
        <v/>
      </c>
      <c r="H257" s="88" t="str">
        <f t="shared" si="35"/>
        <v/>
      </c>
      <c r="I257" s="88" t="str">
        <f t="shared" si="35"/>
        <v/>
      </c>
      <c r="J257" s="88" t="str">
        <f t="shared" si="35"/>
        <v/>
      </c>
      <c r="K257" s="88" t="str">
        <f t="shared" si="35"/>
        <v/>
      </c>
      <c r="L257" s="88" t="str">
        <f t="shared" si="35"/>
        <v/>
      </c>
      <c r="M257" s="88" t="str">
        <f t="shared" si="35"/>
        <v/>
      </c>
      <c r="N257" s="88" t="str">
        <f t="shared" si="35"/>
        <v/>
      </c>
      <c r="O257" s="88" t="str">
        <f t="shared" si="35"/>
        <v/>
      </c>
      <c r="P257" s="88" t="str">
        <f t="shared" si="35"/>
        <v/>
      </c>
      <c r="Q257" s="88" t="str">
        <f t="shared" si="35"/>
        <v/>
      </c>
      <c r="R257" s="88" t="str">
        <f t="shared" si="35"/>
        <v/>
      </c>
      <c r="S257" s="88" t="str">
        <f t="shared" si="35"/>
        <v/>
      </c>
      <c r="T257" s="88" t="str">
        <f t="shared" si="35"/>
        <v/>
      </c>
      <c r="U257" s="88" t="str">
        <f t="shared" si="35"/>
        <v/>
      </c>
      <c r="V257" s="88" t="str">
        <f t="shared" si="35"/>
        <v/>
      </c>
      <c r="W257" s="88" t="str">
        <f t="shared" si="35"/>
        <v/>
      </c>
      <c r="X257" s="88" t="str">
        <f t="shared" si="35"/>
        <v/>
      </c>
      <c r="Y257" s="88" t="str">
        <f t="shared" si="35"/>
        <v/>
      </c>
      <c r="Z257" s="88" t="str">
        <f t="shared" si="35"/>
        <v/>
      </c>
      <c r="AA257" s="88" t="str">
        <f t="shared" si="35"/>
        <v/>
      </c>
      <c r="AB257" s="88" t="str">
        <f t="shared" si="35"/>
        <v/>
      </c>
      <c r="AC257" s="88" t="str">
        <f t="shared" si="35"/>
        <v/>
      </c>
      <c r="AD257" s="88" t="str">
        <f t="shared" si="35"/>
        <v/>
      </c>
      <c r="AE257" s="88" t="str">
        <f t="shared" si="35"/>
        <v/>
      </c>
      <c r="AF257" s="88" t="str">
        <f t="shared" si="35"/>
        <v/>
      </c>
      <c r="AG257" s="179"/>
      <c r="AH257" s="179"/>
      <c r="AJ257"/>
    </row>
    <row r="258" spans="1:36" x14ac:dyDescent="0.25">
      <c r="A258" s="88" t="str">
        <f>A225</f>
        <v>MRS</v>
      </c>
      <c r="B258" s="88" t="str">
        <f t="shared" ref="B258:AF258" si="36">IF(B225&lt;100,"",B225-330)</f>
        <v/>
      </c>
      <c r="C258" s="88" t="str">
        <f t="shared" si="36"/>
        <v/>
      </c>
      <c r="D258" s="88" t="str">
        <f t="shared" si="36"/>
        <v/>
      </c>
      <c r="E258" s="88" t="str">
        <f t="shared" si="36"/>
        <v/>
      </c>
      <c r="F258" s="88" t="str">
        <f t="shared" si="36"/>
        <v/>
      </c>
      <c r="G258" s="88" t="str">
        <f t="shared" si="36"/>
        <v/>
      </c>
      <c r="H258" s="88" t="str">
        <f t="shared" si="36"/>
        <v/>
      </c>
      <c r="I258" s="88" t="str">
        <f t="shared" si="36"/>
        <v/>
      </c>
      <c r="J258" s="88" t="str">
        <f t="shared" si="36"/>
        <v/>
      </c>
      <c r="K258" s="88" t="str">
        <f t="shared" si="36"/>
        <v/>
      </c>
      <c r="L258" s="88" t="str">
        <f t="shared" si="36"/>
        <v/>
      </c>
      <c r="M258" s="88" t="str">
        <f t="shared" si="36"/>
        <v/>
      </c>
      <c r="N258" s="88" t="str">
        <f t="shared" si="36"/>
        <v/>
      </c>
      <c r="O258" s="88" t="str">
        <f t="shared" si="36"/>
        <v/>
      </c>
      <c r="P258" s="88" t="str">
        <f t="shared" si="36"/>
        <v/>
      </c>
      <c r="Q258" s="88" t="str">
        <f t="shared" si="36"/>
        <v/>
      </c>
      <c r="R258" s="88" t="str">
        <f t="shared" si="36"/>
        <v/>
      </c>
      <c r="S258" s="88" t="str">
        <f t="shared" si="36"/>
        <v/>
      </c>
      <c r="T258" s="88" t="str">
        <f t="shared" si="36"/>
        <v/>
      </c>
      <c r="U258" s="88" t="str">
        <f t="shared" si="36"/>
        <v/>
      </c>
      <c r="V258" s="88" t="str">
        <f t="shared" si="36"/>
        <v/>
      </c>
      <c r="W258" s="88" t="str">
        <f t="shared" si="36"/>
        <v/>
      </c>
      <c r="X258" s="88" t="str">
        <f t="shared" si="36"/>
        <v/>
      </c>
      <c r="Y258" s="88" t="str">
        <f t="shared" si="36"/>
        <v/>
      </c>
      <c r="Z258" s="88" t="str">
        <f t="shared" si="36"/>
        <v/>
      </c>
      <c r="AA258" s="88" t="str">
        <f t="shared" si="36"/>
        <v/>
      </c>
      <c r="AB258" s="88" t="str">
        <f t="shared" si="36"/>
        <v/>
      </c>
      <c r="AC258" s="88" t="str">
        <f t="shared" si="36"/>
        <v/>
      </c>
      <c r="AD258" s="88" t="str">
        <f t="shared" si="36"/>
        <v/>
      </c>
      <c r="AE258" s="88" t="str">
        <f t="shared" si="36"/>
        <v/>
      </c>
      <c r="AF258" s="88" t="str">
        <f t="shared" si="36"/>
        <v/>
      </c>
      <c r="AG258" s="179"/>
      <c r="AH258" s="179"/>
      <c r="AJ258"/>
    </row>
    <row r="259" spans="1:36" x14ac:dyDescent="0.25">
      <c r="A259" s="88" t="str">
        <f>A226</f>
        <v>KL 1</v>
      </c>
      <c r="B259" s="88" t="str">
        <f>IF(B226&lt;100,"",B226-1500)</f>
        <v/>
      </c>
      <c r="C259" s="88" t="str">
        <f t="shared" ref="C259:AF259" si="37">IF(C226&lt;100,"",C226-1500)</f>
        <v/>
      </c>
      <c r="D259" s="88" t="str">
        <f t="shared" si="37"/>
        <v/>
      </c>
      <c r="E259" s="88" t="str">
        <f t="shared" si="37"/>
        <v/>
      </c>
      <c r="F259" s="88" t="str">
        <f t="shared" si="37"/>
        <v/>
      </c>
      <c r="G259" s="88" t="str">
        <f t="shared" si="37"/>
        <v/>
      </c>
      <c r="H259" s="88" t="str">
        <f t="shared" si="37"/>
        <v/>
      </c>
      <c r="I259" s="88" t="str">
        <f t="shared" si="37"/>
        <v/>
      </c>
      <c r="J259" s="88" t="str">
        <f t="shared" si="37"/>
        <v/>
      </c>
      <c r="K259" s="88" t="str">
        <f t="shared" si="37"/>
        <v/>
      </c>
      <c r="L259" s="88" t="str">
        <f t="shared" si="37"/>
        <v/>
      </c>
      <c r="M259" s="88" t="str">
        <f t="shared" si="37"/>
        <v/>
      </c>
      <c r="N259" s="88" t="str">
        <f t="shared" si="37"/>
        <v/>
      </c>
      <c r="O259" s="88" t="str">
        <f t="shared" si="37"/>
        <v/>
      </c>
      <c r="P259" s="88" t="str">
        <f t="shared" si="37"/>
        <v/>
      </c>
      <c r="Q259" s="88" t="str">
        <f t="shared" si="37"/>
        <v/>
      </c>
      <c r="R259" s="88" t="str">
        <f t="shared" si="37"/>
        <v/>
      </c>
      <c r="S259" s="88" t="str">
        <f t="shared" si="37"/>
        <v/>
      </c>
      <c r="T259" s="88" t="str">
        <f t="shared" si="37"/>
        <v/>
      </c>
      <c r="U259" s="88" t="str">
        <f t="shared" si="37"/>
        <v/>
      </c>
      <c r="V259" s="88" t="str">
        <f t="shared" si="37"/>
        <v/>
      </c>
      <c r="W259" s="88" t="str">
        <f t="shared" si="37"/>
        <v/>
      </c>
      <c r="X259" s="88" t="str">
        <f t="shared" si="37"/>
        <v/>
      </c>
      <c r="Y259" s="88" t="str">
        <f t="shared" si="37"/>
        <v/>
      </c>
      <c r="Z259" s="88" t="str">
        <f t="shared" si="37"/>
        <v/>
      </c>
      <c r="AA259" s="88" t="str">
        <f t="shared" si="37"/>
        <v/>
      </c>
      <c r="AB259" s="88" t="str">
        <f t="shared" si="37"/>
        <v/>
      </c>
      <c r="AC259" s="88" t="str">
        <f t="shared" si="37"/>
        <v/>
      </c>
      <c r="AD259" s="88" t="str">
        <f t="shared" si="37"/>
        <v/>
      </c>
      <c r="AE259" s="88" t="str">
        <f t="shared" si="37"/>
        <v/>
      </c>
      <c r="AF259" s="88" t="str">
        <f t="shared" si="37"/>
        <v/>
      </c>
      <c r="AG259" s="179"/>
      <c r="AH259" s="179"/>
      <c r="AJ259"/>
    </row>
    <row r="260" spans="1:36" x14ac:dyDescent="0.25"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  <c r="AC260" s="179"/>
      <c r="AD260" s="179"/>
      <c r="AE260" s="179"/>
      <c r="AF260" s="179"/>
      <c r="AG260" s="179"/>
      <c r="AH260" s="179"/>
      <c r="AJ260"/>
    </row>
    <row r="261" spans="1:36" x14ac:dyDescent="0.25"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  <c r="AJ261"/>
    </row>
    <row r="262" spans="1:36" x14ac:dyDescent="0.25"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  <c r="AE262" s="179"/>
      <c r="AF262" s="179"/>
      <c r="AG262" s="179"/>
      <c r="AH262" s="179"/>
      <c r="AJ262"/>
    </row>
    <row r="263" spans="1:36" x14ac:dyDescent="0.25"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  <c r="AC263" s="179"/>
      <c r="AD263" s="179"/>
      <c r="AE263" s="179"/>
      <c r="AF263" s="179"/>
      <c r="AG263" s="179"/>
      <c r="AH263" s="179"/>
      <c r="AJ263"/>
    </row>
    <row r="264" spans="1:36" x14ac:dyDescent="0.25"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  <c r="AC264" s="179"/>
      <c r="AD264" s="179"/>
      <c r="AE264" s="179"/>
      <c r="AF264" s="179"/>
      <c r="AG264" s="179"/>
      <c r="AH264" s="179"/>
      <c r="AJ264"/>
    </row>
    <row r="265" spans="1:36" x14ac:dyDescent="0.25"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  <c r="AC265" s="179"/>
      <c r="AD265" s="179"/>
      <c r="AE265" s="179"/>
      <c r="AF265" s="179"/>
      <c r="AG265" s="179"/>
      <c r="AH265" s="179"/>
      <c r="AJ265"/>
    </row>
    <row r="266" spans="1:36" x14ac:dyDescent="0.25"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  <c r="AC266" s="179"/>
      <c r="AD266" s="179"/>
      <c r="AE266" s="179"/>
      <c r="AF266" s="179"/>
      <c r="AJ266"/>
    </row>
    <row r="490" spans="36:38" x14ac:dyDescent="0.25">
      <c r="AK490" s="1"/>
    </row>
    <row r="491" spans="36:38" x14ac:dyDescent="0.25">
      <c r="AK491" s="1"/>
      <c r="AL491" s="1"/>
    </row>
    <row r="492" spans="36:38" x14ac:dyDescent="0.25">
      <c r="AJ49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1:B23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28">
      <iconSet iconSet="3TrafficLights2" reverse="1">
        <cfvo type="percent" val="0"/>
        <cfvo type="num" val="1"/>
        <cfvo type="num" val="1"/>
      </iconSet>
    </cfRule>
  </conditionalFormatting>
  <conditionalFormatting sqref="D214:AF220 B214:B220 B212:AF212 U233:AF233 B9:AF10 C99:AF105">
    <cfRule type="expression" dxfId="2074" priority="224">
      <formula>B$9&gt;=20/24</formula>
    </cfRule>
    <cfRule type="expression" dxfId="2073" priority="225">
      <formula>AND(B$9&gt;=14/24,B$9&lt;20/24)</formula>
    </cfRule>
    <cfRule type="expression" dxfId="2072" priority="226">
      <formula>AND(B$9&gt;=8/24,B$9&lt;14/24)</formula>
    </cfRule>
    <cfRule type="expression" dxfId="2071" priority="227">
      <formula>B$9&lt;8/24</formula>
    </cfRule>
  </conditionalFormatting>
  <conditionalFormatting sqref="AL4:AL6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T37:AF37">
    <cfRule type="expression" dxfId="2070" priority="219">
      <formula>T$9&gt;=20/24</formula>
    </cfRule>
    <cfRule type="expression" dxfId="2069" priority="220">
      <formula>AND(T$9&gt;=14/24,T$9&lt;20/24)</formula>
    </cfRule>
    <cfRule type="expression" dxfId="2068" priority="221">
      <formula>AND(T$9&gt;=8/24,T$9&lt;14/24)</formula>
    </cfRule>
    <cfRule type="expression" dxfId="2067" priority="222">
      <formula>T$9&lt;8/24</formula>
    </cfRule>
  </conditionalFormatting>
  <conditionalFormatting sqref="AG55 B12:L16 M11:P11 M16:P16 T37:AF37 Q11:AF16 B35:AF35">
    <cfRule type="expression" dxfId="2066" priority="218">
      <formula>B11&gt;$AG11</formula>
    </cfRule>
  </conditionalFormatting>
  <conditionalFormatting sqref="A89:A102 A11:A14 A49:A76 A85:A87 A190:A220 A16:A30 A36:A47 A106:A177 A32:A33 A81:A83 A78:A79">
    <cfRule type="expression" dxfId="2065" priority="217">
      <formula>$AH11=0</formula>
    </cfRule>
  </conditionalFormatting>
  <conditionalFormatting sqref="A103">
    <cfRule type="expression" dxfId="2064" priority="216">
      <formula>$AH103=0</formula>
    </cfRule>
  </conditionalFormatting>
  <conditionalFormatting sqref="AL3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2063" priority="214">
      <formula>$AH35=0</formula>
    </cfRule>
  </conditionalFormatting>
  <conditionalFormatting sqref="A88">
    <cfRule type="expression" dxfId="2062" priority="213">
      <formula>$AH88=0</formula>
    </cfRule>
  </conditionalFormatting>
  <conditionalFormatting sqref="A15">
    <cfRule type="expression" dxfId="2061" priority="212">
      <formula>$AH15=0</formula>
    </cfRule>
  </conditionalFormatting>
  <conditionalFormatting sqref="A184:A189">
    <cfRule type="expression" dxfId="2060" priority="211">
      <formula>$AH184=0</formula>
    </cfRule>
  </conditionalFormatting>
  <conditionalFormatting sqref="A178:A183">
    <cfRule type="expression" dxfId="2059" priority="210">
      <formula>$AH178=0</formula>
    </cfRule>
  </conditionalFormatting>
  <conditionalFormatting sqref="A48">
    <cfRule type="expression" dxfId="2058" priority="209">
      <formula>$AH48=0</formula>
    </cfRule>
  </conditionalFormatting>
  <conditionalFormatting sqref="A84">
    <cfRule type="expression" dxfId="2057" priority="208">
      <formula>$AH84=0</formula>
    </cfRule>
  </conditionalFormatting>
  <conditionalFormatting sqref="C89:AF89">
    <cfRule type="expression" dxfId="2056" priority="204">
      <formula>C$9&gt;=20/24</formula>
    </cfRule>
    <cfRule type="expression" dxfId="2055" priority="205">
      <formula>AND(C$9&gt;=14/24,C$9&lt;20/24)</formula>
    </cfRule>
    <cfRule type="expression" dxfId="2054" priority="206">
      <formula>AND(C$9&gt;=8/24,C$9&lt;14/24)</formula>
    </cfRule>
    <cfRule type="expression" dxfId="2053" priority="207">
      <formula>C$9&lt;8/24</formula>
    </cfRule>
  </conditionalFormatting>
  <conditionalFormatting sqref="AL34">
    <cfRule type="iconSet" priority="20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052" priority="230">
      <formula>C$9&gt;=20/24</formula>
    </cfRule>
    <cfRule type="expression" dxfId="2051" priority="231">
      <formula>AND(C$9&gt;=14/24,C$9&lt;20/24)</formula>
    </cfRule>
    <cfRule type="expression" dxfId="2050" priority="232">
      <formula>AND(C$9&gt;=8/24,C$9&lt;14/24)</formula>
    </cfRule>
    <cfRule type="expression" dxfId="2049" priority="233">
      <formula>C$9&lt;8/24</formula>
    </cfRule>
  </conditionalFormatting>
  <conditionalFormatting sqref="A221">
    <cfRule type="expression" dxfId="2048" priority="234">
      <formula>$AH221=0</formula>
    </cfRule>
  </conditionalFormatting>
  <conditionalFormatting sqref="AG233">
    <cfRule type="expression" dxfId="2047" priority="235">
      <formula>B$9&gt;=20/24</formula>
    </cfRule>
    <cfRule type="expression" dxfId="2046" priority="236">
      <formula>AND(B$9&gt;=14/24,B$9&lt;20/24)</formula>
    </cfRule>
    <cfRule type="expression" dxfId="2045" priority="237">
      <formula>AND(B$9&gt;=8/24,B$9&lt;14/24)</formula>
    </cfRule>
    <cfRule type="expression" dxfId="2044" priority="238">
      <formula>B$9&lt;8/24</formula>
    </cfRule>
  </conditionalFormatting>
  <conditionalFormatting sqref="S8">
    <cfRule type="expression" dxfId="2043" priority="199">
      <formula>U$9&gt;=20/24</formula>
    </cfRule>
    <cfRule type="expression" dxfId="2042" priority="200">
      <formula>AND(U$9&gt;=14/24,U$9&lt;20/24)</formula>
    </cfRule>
    <cfRule type="expression" dxfId="2041" priority="201">
      <formula>AND(U$9&gt;=8/24,U$9&lt;14/24)</formula>
    </cfRule>
    <cfRule type="expression" dxfId="2040" priority="202">
      <formula>U$9&lt;8/24</formula>
    </cfRule>
  </conditionalFormatting>
  <conditionalFormatting sqref="AB8">
    <cfRule type="expression" dxfId="2039" priority="195">
      <formula>AD$9&gt;=20/24</formula>
    </cfRule>
    <cfRule type="expression" dxfId="2038" priority="196">
      <formula>AND(AD$9&gt;=14/24,AD$9&lt;20/24)</formula>
    </cfRule>
    <cfRule type="expression" dxfId="2037" priority="197">
      <formula>AND(AD$9&gt;=8/24,AD$9&lt;14/24)</formula>
    </cfRule>
    <cfRule type="expression" dxfId="2036" priority="198">
      <formula>AD$9&lt;8/24</formula>
    </cfRule>
  </conditionalFormatting>
  <conditionalFormatting sqref="AH233:AX233">
    <cfRule type="expression" dxfId="2035" priority="239">
      <formula>AG$9&gt;=20/24</formula>
    </cfRule>
    <cfRule type="expression" dxfId="2034" priority="240">
      <formula>AND(AG$9&gt;=14/24,AG$9&lt;20/24)</formula>
    </cfRule>
    <cfRule type="expression" dxfId="2033" priority="241">
      <formula>AND(AG$9&gt;=8/24,AG$9&lt;14/24)</formula>
    </cfRule>
    <cfRule type="expression" dxfId="2032" priority="242">
      <formula>AG$9&lt;8/24</formula>
    </cfRule>
  </conditionalFormatting>
  <conditionalFormatting sqref="T233">
    <cfRule type="expression" dxfId="2031" priority="243">
      <formula>AX$9&gt;=20/24</formula>
    </cfRule>
    <cfRule type="expression" dxfId="2030" priority="244">
      <formula>AND(AX$9&gt;=14/24,AX$9&lt;20/24)</formula>
    </cfRule>
    <cfRule type="expression" dxfId="2029" priority="245">
      <formula>AND(AX$9&gt;=8/24,AX$9&lt;14/24)</formula>
    </cfRule>
    <cfRule type="expression" dxfId="2028" priority="246">
      <formula>AX$9&lt;8/24</formula>
    </cfRule>
  </conditionalFormatting>
  <conditionalFormatting sqref="A104:A105">
    <cfRule type="expression" dxfId="2027" priority="194">
      <formula>$AH104=0</formula>
    </cfRule>
  </conditionalFormatting>
  <conditionalFormatting sqref="S44:AF45 C61:AF61">
    <cfRule type="expression" dxfId="2026" priority="190">
      <formula>C$9&gt;=20/24</formula>
    </cfRule>
    <cfRule type="expression" dxfId="2025" priority="191">
      <formula>AND(C$9&gt;=14/24,C$9&lt;20/24)</formula>
    </cfRule>
    <cfRule type="expression" dxfId="2024" priority="192">
      <formula>AND(C$9&gt;=8/24,C$9&lt;14/24)</formula>
    </cfRule>
    <cfRule type="expression" dxfId="2023" priority="193">
      <formula>C$9&lt;8/24</formula>
    </cfRule>
  </conditionalFormatting>
  <conditionalFormatting sqref="J43:L43 S43:AF43">
    <cfRule type="expression" dxfId="2022" priority="186">
      <formula>J$9&gt;=20/24</formula>
    </cfRule>
    <cfRule type="expression" dxfId="2021" priority="187">
      <formula>AND(J$9&gt;=14/24,J$9&lt;20/24)</formula>
    </cfRule>
    <cfRule type="expression" dxfId="2020" priority="188">
      <formula>AND(J$9&gt;=8/24,J$9&lt;14/24)</formula>
    </cfRule>
    <cfRule type="expression" dxfId="2019" priority="189">
      <formula>J$9&lt;8/24</formula>
    </cfRule>
  </conditionalFormatting>
  <conditionalFormatting sqref="J43:L43 S43:AF45">
    <cfRule type="expression" dxfId="2018" priority="185">
      <formula>J43&gt;$AG43</formula>
    </cfRule>
  </conditionalFormatting>
  <conditionalFormatting sqref="C86:AF86 C76:AF76 M36:S37 C71:Z71 C90:AF96 S73:AF75 C57:AF59 AA67:AF71 C67:Z67 C62:AF66 M11:AF14 M16:AF16 T36:AF36 M18:AF21">
    <cfRule type="expression" dxfId="2017" priority="181">
      <formula>C$9&gt;=20/24</formula>
    </cfRule>
    <cfRule type="expression" dxfId="2016" priority="182">
      <formula>AND(C$9&gt;=14/24,C$9&lt;20/24)</formula>
    </cfRule>
    <cfRule type="expression" dxfId="2015" priority="183">
      <formula>AND(C$9&gt;=8/24,C$9&lt;14/24)</formula>
    </cfRule>
    <cfRule type="expression" dxfId="2014" priority="184">
      <formula>C$9&lt;8/24</formula>
    </cfRule>
  </conditionalFormatting>
  <conditionalFormatting sqref="C55:AF55 E37:R37 M11:P15 M36:R36 S36:S37 AD46:AF47 AB46:AC46 C57:AF59 Q11:AF11 T36:AF36 M18:AF21">
    <cfRule type="expression" dxfId="2013" priority="176">
      <formula>C11&gt;$AG11</formula>
    </cfRule>
  </conditionalFormatting>
  <conditionalFormatting sqref="M35:AF35">
    <cfRule type="expression" dxfId="2012" priority="172">
      <formula>M$9&gt;=20/24</formula>
    </cfRule>
    <cfRule type="expression" dxfId="2011" priority="173">
      <formula>AND(M$9&gt;=14/24,M$9&lt;20/24)</formula>
    </cfRule>
    <cfRule type="expression" dxfId="2010" priority="174">
      <formula>AND(M$9&gt;=8/24,M$9&lt;14/24)</formula>
    </cfRule>
    <cfRule type="expression" dxfId="2009" priority="175">
      <formula>M$9&lt;8/24</formula>
    </cfRule>
  </conditionalFormatting>
  <conditionalFormatting sqref="M15:AF15">
    <cfRule type="expression" dxfId="2008" priority="168">
      <formula>M$9&gt;=20/24</formula>
    </cfRule>
    <cfRule type="expression" dxfId="2007" priority="169">
      <formula>AND(M$9&gt;=14/24,M$9&lt;20/24)</formula>
    </cfRule>
    <cfRule type="expression" dxfId="2006" priority="170">
      <formula>AND(M$9&gt;=8/24,M$9&lt;14/24)</formula>
    </cfRule>
    <cfRule type="expression" dxfId="2005" priority="171">
      <formula>M$9&lt;8/24</formula>
    </cfRule>
  </conditionalFormatting>
  <conditionalFormatting sqref="AD48:AF54">
    <cfRule type="expression" dxfId="2004" priority="155">
      <formula>AD$9&gt;=20/24</formula>
    </cfRule>
    <cfRule type="expression" dxfId="2003" priority="156">
      <formula>AND(AD$9&gt;=14/24,AD$9&lt;20/24)</formula>
    </cfRule>
    <cfRule type="expression" dxfId="2002" priority="157">
      <formula>AND(AD$9&gt;=8/24,AD$9&lt;14/24)</formula>
    </cfRule>
    <cfRule type="expression" dxfId="2001" priority="158">
      <formula>AD$9&lt;8/24</formula>
    </cfRule>
  </conditionalFormatting>
  <conditionalFormatting sqref="AD48:AF54">
    <cfRule type="expression" dxfId="2000" priority="154">
      <formula>AD48&gt;$AG48</formula>
    </cfRule>
  </conditionalFormatting>
  <conditionalFormatting sqref="M43:R46 N47:R49 S46:AA49 AB47:AC49">
    <cfRule type="expression" dxfId="1999" priority="150">
      <formula>M$9&gt;=20/24</formula>
    </cfRule>
    <cfRule type="expression" dxfId="1998" priority="151">
      <formula>AND(M$9&gt;=14/24,M$9&lt;20/24)</formula>
    </cfRule>
    <cfRule type="expression" dxfId="1997" priority="152">
      <formula>AND(M$9&gt;=8/24,M$9&lt;14/24)</formula>
    </cfRule>
    <cfRule type="expression" dxfId="1996" priority="153">
      <formula>M$9&lt;8/24</formula>
    </cfRule>
  </conditionalFormatting>
  <conditionalFormatting sqref="M43:R46 N47:R49 S46:AA49 AB47:AC49">
    <cfRule type="expression" dxfId="1995" priority="149">
      <formula>M43&gt;$AG43</formula>
    </cfRule>
  </conditionalFormatting>
  <conditionalFormatting sqref="M17:AF17">
    <cfRule type="expression" dxfId="1994" priority="141">
      <formula>M$9&gt;=20/24</formula>
    </cfRule>
    <cfRule type="expression" dxfId="1993" priority="142">
      <formula>AND(M$9&gt;=14/24,M$9&lt;20/24)</formula>
    </cfRule>
    <cfRule type="expression" dxfId="1992" priority="143">
      <formula>AND(M$9&gt;=8/24,M$9&lt;14/24)</formula>
    </cfRule>
    <cfRule type="expression" dxfId="1991" priority="144">
      <formula>M$9&lt;8/24</formula>
    </cfRule>
  </conditionalFormatting>
  <conditionalFormatting sqref="M17:AF17">
    <cfRule type="expression" dxfId="1990" priority="136">
      <formula>M17&gt;$AG17</formula>
    </cfRule>
  </conditionalFormatting>
  <conditionalFormatting sqref="D44:L44">
    <cfRule type="expression" dxfId="1989" priority="119">
      <formula>D$9&gt;=20/24</formula>
    </cfRule>
    <cfRule type="expression" dxfId="1988" priority="120">
      <formula>AND(D$9&gt;=14/24,D$9&lt;20/24)</formula>
    </cfRule>
    <cfRule type="expression" dxfId="1987" priority="121">
      <formula>AND(D$9&gt;=8/24,D$9&lt;14/24)</formula>
    </cfRule>
    <cfRule type="expression" dxfId="1986" priority="122">
      <formula>D$9&lt;8/24</formula>
    </cfRule>
  </conditionalFormatting>
  <conditionalFormatting sqref="D43:I43">
    <cfRule type="expression" dxfId="1985" priority="115">
      <formula>D$9&gt;=20/24</formula>
    </cfRule>
    <cfRule type="expression" dxfId="1984" priority="116">
      <formula>AND(D$9&gt;=14/24,D$9&lt;20/24)</formula>
    </cfRule>
    <cfRule type="expression" dxfId="1983" priority="117">
      <formula>AND(D$9&gt;=8/24,D$9&lt;14/24)</formula>
    </cfRule>
    <cfRule type="expression" dxfId="1982" priority="118">
      <formula>D$9&lt;8/24</formula>
    </cfRule>
  </conditionalFormatting>
  <conditionalFormatting sqref="D43:I44 J44:L44">
    <cfRule type="expression" dxfId="1981" priority="114">
      <formula>D43&gt;$AG43</formula>
    </cfRule>
  </conditionalFormatting>
  <conditionalFormatting sqref="C68:Z70">
    <cfRule type="expression" dxfId="1980" priority="110">
      <formula>C$9&gt;=20/24</formula>
    </cfRule>
    <cfRule type="expression" dxfId="1979" priority="111">
      <formula>AND(C$9&gt;=14/24,C$9&lt;20/24)</formula>
    </cfRule>
    <cfRule type="expression" dxfId="1978" priority="112">
      <formula>AND(C$9&gt;=8/24,C$9&lt;14/24)</formula>
    </cfRule>
    <cfRule type="expression" dxfId="1977" priority="113">
      <formula>C$9&lt;8/24</formula>
    </cfRule>
  </conditionalFormatting>
  <conditionalFormatting sqref="B99:B105 B78:AF78 B87:AF87 B11:L11">
    <cfRule type="expression" dxfId="1976" priority="91">
      <formula>B$9&gt;=20/24</formula>
    </cfRule>
    <cfRule type="expression" dxfId="1975" priority="92">
      <formula>AND(B$9&gt;=14/24,B$9&lt;20/24)</formula>
    </cfRule>
    <cfRule type="expression" dxfId="1974" priority="93">
      <formula>AND(B$9&gt;=8/24,B$9&lt;14/24)</formula>
    </cfRule>
    <cfRule type="expression" dxfId="1973" priority="94">
      <formula>B$9&lt;8/24</formula>
    </cfRule>
  </conditionalFormatting>
  <conditionalFormatting sqref="B37:D37">
    <cfRule type="expression" dxfId="1972" priority="87">
      <formula>B$9&gt;=20/24</formula>
    </cfRule>
    <cfRule type="expression" dxfId="1971" priority="88">
      <formula>AND(B$9&gt;=14/24,B$9&lt;20/24)</formula>
    </cfRule>
    <cfRule type="expression" dxfId="1970" priority="89">
      <formula>AND(B$9&gt;=8/24,B$9&lt;14/24)</formula>
    </cfRule>
    <cfRule type="expression" dxfId="1969" priority="90">
      <formula>B$9&lt;8/24</formula>
    </cfRule>
  </conditionalFormatting>
  <conditionalFormatting sqref="B37:D37 B11:L11">
    <cfRule type="expression" dxfId="1968" priority="86">
      <formula>B11&gt;$AG11</formula>
    </cfRule>
  </conditionalFormatting>
  <conditionalFormatting sqref="B89">
    <cfRule type="expression" dxfId="1967" priority="82">
      <formula>B$9&gt;=20/24</formula>
    </cfRule>
    <cfRule type="expression" dxfId="1966" priority="83">
      <formula>AND(B$9&gt;=14/24,B$9&lt;20/24)</formula>
    </cfRule>
    <cfRule type="expression" dxfId="1965" priority="84">
      <formula>AND(B$9&gt;=8/24,B$9&lt;14/24)</formula>
    </cfRule>
    <cfRule type="expression" dxfId="1964" priority="85">
      <formula>B$9&lt;8/24</formula>
    </cfRule>
  </conditionalFormatting>
  <conditionalFormatting sqref="B61 B44:C45 B36:L36 D45:L45">
    <cfRule type="expression" dxfId="1963" priority="78">
      <formula>B$9&gt;=20/24</formula>
    </cfRule>
    <cfRule type="expression" dxfId="1962" priority="79">
      <formula>AND(B$9&gt;=14/24,B$9&lt;20/24)</formula>
    </cfRule>
    <cfRule type="expression" dxfId="1961" priority="80">
      <formula>AND(B$9&gt;=8/24,B$9&lt;14/24)</formula>
    </cfRule>
    <cfRule type="expression" dxfId="1960" priority="81">
      <formula>B$9&lt;8/24</formula>
    </cfRule>
  </conditionalFormatting>
  <conditionalFormatting sqref="B43:C43">
    <cfRule type="expression" dxfId="1959" priority="74">
      <formula>B$9&gt;=20/24</formula>
    </cfRule>
    <cfRule type="expression" dxfId="1958" priority="75">
      <formula>AND(B$9&gt;=14/24,B$9&lt;20/24)</formula>
    </cfRule>
    <cfRule type="expression" dxfId="1957" priority="76">
      <formula>AND(B$9&gt;=8/24,B$9&lt;14/24)</formula>
    </cfRule>
    <cfRule type="expression" dxfId="1956" priority="77">
      <formula>B$9&lt;8/24</formula>
    </cfRule>
  </conditionalFormatting>
  <conditionalFormatting sqref="B43:C45 B36:L36 D45:L45">
    <cfRule type="expression" dxfId="1955" priority="73">
      <formula>B36&gt;$AG36</formula>
    </cfRule>
  </conditionalFormatting>
  <conditionalFormatting sqref="B90:B96 B57:B60 B62:B71 B73:B77 B79:AF79 B86 C60:AG60 C77:AG77 B88:AF88 B12:L14 B16:L16 B18:L22 C73:R75 B28:AF30 M22:AF22 B24:AF26 B32:AF32">
    <cfRule type="expression" dxfId="1954" priority="69">
      <formula>B$9&gt;=20/24</formula>
    </cfRule>
    <cfRule type="expression" dxfId="1953" priority="70">
      <formula>AND(B$9&gt;=14/24,B$9&lt;20/24)</formula>
    </cfRule>
    <cfRule type="expression" dxfId="1952" priority="71">
      <formula>AND(B$9&gt;=8/24,B$9&lt;14/24)</formula>
    </cfRule>
    <cfRule type="expression" dxfId="1951" priority="72">
      <formula>B$9&lt;8/24</formula>
    </cfRule>
  </conditionalFormatting>
  <conditionalFormatting sqref="B33:AF33">
    <cfRule type="expression" dxfId="1950" priority="65">
      <formula>B$9&gt;=20/24</formula>
    </cfRule>
    <cfRule type="expression" dxfId="1949" priority="66">
      <formula>AND(B$9&gt;=14/24,B$9&lt;20/24)</formula>
    </cfRule>
    <cfRule type="expression" dxfId="1948" priority="67">
      <formula>AND(B$9&gt;=8/24,B$9&lt;14/24)</formula>
    </cfRule>
    <cfRule type="expression" dxfId="1947" priority="68">
      <formula>B$9&lt;8/24</formula>
    </cfRule>
  </conditionalFormatting>
  <conditionalFormatting sqref="B55:B60 B38:AG38 C56:AG56 C60:AG60 B18:L22 B46:L47 M47 M22:AF22 B24:AF30 B32:AF33">
    <cfRule type="expression" dxfId="1946" priority="64">
      <formula>B18&gt;$AG18</formula>
    </cfRule>
  </conditionalFormatting>
  <conditionalFormatting sqref="B35:L35">
    <cfRule type="expression" dxfId="1945" priority="60">
      <formula>B$9&gt;=20/24</formula>
    </cfRule>
    <cfRule type="expression" dxfId="1944" priority="61">
      <formula>AND(B$9&gt;=14/24,B$9&lt;20/24)</formula>
    </cfRule>
    <cfRule type="expression" dxfId="1943" priority="62">
      <formula>AND(B$9&gt;=8/24,B$9&lt;14/24)</formula>
    </cfRule>
    <cfRule type="expression" dxfId="1942" priority="63">
      <formula>B$9&lt;8/24</formula>
    </cfRule>
  </conditionalFormatting>
  <conditionalFormatting sqref="B15:L15">
    <cfRule type="expression" dxfId="1941" priority="56">
      <formula>B$9&gt;=20/24</formula>
    </cfRule>
    <cfRule type="expression" dxfId="1940" priority="57">
      <formula>AND(B$9&gt;=14/24,B$9&lt;20/24)</formula>
    </cfRule>
    <cfRule type="expression" dxfId="1939" priority="58">
      <formula>AND(B$9&gt;=8/24,B$9&lt;14/24)</formula>
    </cfRule>
    <cfRule type="expression" dxfId="1938" priority="59">
      <formula>B$9&lt;8/24</formula>
    </cfRule>
  </conditionalFormatting>
  <conditionalFormatting sqref="B34:AF34">
    <cfRule type="expression" dxfId="1937" priority="52">
      <formula>B$9&gt;=20/24</formula>
    </cfRule>
    <cfRule type="expression" dxfId="1936" priority="53">
      <formula>AND(B$9&gt;=14/24,B$9&lt;20/24)</formula>
    </cfRule>
    <cfRule type="expression" dxfId="1935" priority="54">
      <formula>AND(B$9&gt;=8/24,B$9&lt;14/24)</formula>
    </cfRule>
    <cfRule type="expression" dxfId="1934" priority="55">
      <formula>B$9&lt;8/24</formula>
    </cfRule>
  </conditionalFormatting>
  <conditionalFormatting sqref="B34:AF34">
    <cfRule type="expression" dxfId="1933" priority="51">
      <formula>B34&gt;$AG34</formula>
    </cfRule>
  </conditionalFormatting>
  <conditionalFormatting sqref="B48:M54 N50:AC54">
    <cfRule type="expression" dxfId="1932" priority="47">
      <formula>B$9&gt;=20/24</formula>
    </cfRule>
    <cfRule type="expression" dxfId="1931" priority="48">
      <formula>AND(B$9&gt;=14/24,B$9&lt;20/24)</formula>
    </cfRule>
    <cfRule type="expression" dxfId="1930" priority="49">
      <formula>AND(B$9&gt;=8/24,B$9&lt;14/24)</formula>
    </cfRule>
    <cfRule type="expression" dxfId="1929" priority="50">
      <formula>B$9&lt;8/24</formula>
    </cfRule>
  </conditionalFormatting>
  <conditionalFormatting sqref="B48:M54 N50:AC54">
    <cfRule type="expression" dxfId="1928" priority="46">
      <formula>B48&gt;$AG48</formula>
    </cfRule>
  </conditionalFormatting>
  <conditionalFormatting sqref="B27:AF27">
    <cfRule type="expression" dxfId="1927" priority="42">
      <formula>B$9&gt;=20/24</formula>
    </cfRule>
    <cfRule type="expression" dxfId="1926" priority="43">
      <formula>AND(B$9&gt;=14/24,B$9&lt;20/24)</formula>
    </cfRule>
    <cfRule type="expression" dxfId="1925" priority="44">
      <formula>AND(B$9&gt;=8/24,B$9&lt;14/24)</formula>
    </cfRule>
    <cfRule type="expression" dxfId="1924" priority="45">
      <formula>B$9&lt;8/24</formula>
    </cfRule>
  </conditionalFormatting>
  <conditionalFormatting sqref="B17:L17 B23:AF23">
    <cfRule type="expression" dxfId="1923" priority="38">
      <formula>B$9&gt;=20/24</formula>
    </cfRule>
    <cfRule type="expression" dxfId="1922" priority="39">
      <formula>AND(B$9&gt;=14/24,B$9&lt;20/24)</formula>
    </cfRule>
    <cfRule type="expression" dxfId="1921" priority="40">
      <formula>AND(B$9&gt;=8/24,B$9&lt;14/24)</formula>
    </cfRule>
    <cfRule type="expression" dxfId="1920" priority="41">
      <formula>B$9&lt;8/24</formula>
    </cfRule>
  </conditionalFormatting>
  <conditionalFormatting sqref="B17:L17 B23:AF23">
    <cfRule type="expression" dxfId="1919" priority="37">
      <formula>B17&gt;$AG17</formula>
    </cfRule>
  </conditionalFormatting>
  <conditionalFormatting sqref="A34">
    <cfRule type="expression" dxfId="1918" priority="36">
      <formula>$AH34=0</formula>
    </cfRule>
  </conditionalFormatting>
  <conditionalFormatting sqref="B72:AF72">
    <cfRule type="expression" dxfId="1917" priority="32">
      <formula>B$9&gt;=20/24</formula>
    </cfRule>
    <cfRule type="expression" dxfId="1916" priority="33">
      <formula>AND(B$9&gt;=14/24,B$9&lt;20/24)</formula>
    </cfRule>
    <cfRule type="expression" dxfId="1915" priority="34">
      <formula>AND(B$9&gt;=8/24,B$9&lt;14/24)</formula>
    </cfRule>
    <cfRule type="expression" dxfId="1914" priority="35">
      <formula>B$9&lt;8/24</formula>
    </cfRule>
  </conditionalFormatting>
  <conditionalFormatting sqref="B81:AF85">
    <cfRule type="expression" dxfId="1913" priority="28">
      <formula>B$9&gt;=20/24</formula>
    </cfRule>
    <cfRule type="expression" dxfId="1912" priority="29">
      <formula>AND(B$9&gt;=14/24,B$9&lt;20/24)</formula>
    </cfRule>
    <cfRule type="expression" dxfId="1911" priority="30">
      <formula>AND(B$9&gt;=8/24,B$9&lt;14/24)</formula>
    </cfRule>
    <cfRule type="expression" dxfId="1910" priority="31">
      <formula>B$9&lt;8/24</formula>
    </cfRule>
  </conditionalFormatting>
  <conditionalFormatting sqref="AL35 AL7:AL30 AL32">
    <cfRule type="iconSet" priority="247">
      <iconSet iconSet="3TrafficLights2" reverse="1">
        <cfvo type="percent" val="0"/>
        <cfvo type="num" val="1"/>
        <cfvo type="num" val="1"/>
      </iconSet>
    </cfRule>
  </conditionalFormatting>
  <conditionalFormatting sqref="Q39:AF41">
    <cfRule type="expression" dxfId="1909" priority="24">
      <formula>Q$9&gt;=20/24</formula>
    </cfRule>
    <cfRule type="expression" dxfId="1908" priority="25">
      <formula>AND(Q$9&gt;=14/24,Q$9&lt;20/24)</formula>
    </cfRule>
    <cfRule type="expression" dxfId="1907" priority="26">
      <formula>AND(Q$9&gt;=8/24,Q$9&lt;14/24)</formula>
    </cfRule>
    <cfRule type="expression" dxfId="1906" priority="27">
      <formula>Q$9&lt;8/24</formula>
    </cfRule>
  </conditionalFormatting>
  <conditionalFormatting sqref="Q39:AF41">
    <cfRule type="expression" dxfId="1905" priority="23">
      <formula>Q39&gt;$AG39</formula>
    </cfRule>
  </conditionalFormatting>
  <conditionalFormatting sqref="B39:B42 C42:AG42 C39:P41">
    <cfRule type="expression" dxfId="1904" priority="19">
      <formula>B$9&gt;=20/24</formula>
    </cfRule>
    <cfRule type="expression" dxfId="1903" priority="20">
      <formula>AND(B$9&gt;=14/24,B$9&lt;20/24)</formula>
    </cfRule>
    <cfRule type="expression" dxfId="1902" priority="21">
      <formula>AND(B$9&gt;=8/24,B$9&lt;14/24)</formula>
    </cfRule>
    <cfRule type="expression" dxfId="1901" priority="22">
      <formula>B$9&lt;8/24</formula>
    </cfRule>
  </conditionalFormatting>
  <conditionalFormatting sqref="B39:B42 C42:AG42 C39:P41">
    <cfRule type="expression" dxfId="1900" priority="18">
      <formula>B39&gt;$AG39</formula>
    </cfRule>
  </conditionalFormatting>
  <conditionalFormatting sqref="C97:AF97">
    <cfRule type="expression" dxfId="1899" priority="14">
      <formula>C$9&gt;=20/24</formula>
    </cfRule>
    <cfRule type="expression" dxfId="1898" priority="15">
      <formula>AND(C$9&gt;=14/24,C$9&lt;20/24)</formula>
    </cfRule>
    <cfRule type="expression" dxfId="1897" priority="16">
      <formula>AND(C$9&gt;=8/24,C$9&lt;14/24)</formula>
    </cfRule>
    <cfRule type="expression" dxfId="1896" priority="17">
      <formula>C$9&lt;8/24</formula>
    </cfRule>
  </conditionalFormatting>
  <conditionalFormatting sqref="B97">
    <cfRule type="expression" dxfId="1895" priority="10">
      <formula>B$9&gt;=20/24</formula>
    </cfRule>
    <cfRule type="expression" dxfId="1894" priority="11">
      <formula>AND(B$9&gt;=14/24,B$9&lt;20/24)</formula>
    </cfRule>
    <cfRule type="expression" dxfId="1893" priority="12">
      <formula>AND(B$9&gt;=8/24,B$9&lt;14/24)</formula>
    </cfRule>
    <cfRule type="expression" dxfId="1892" priority="13">
      <formula>B$9&lt;8/24</formula>
    </cfRule>
  </conditionalFormatting>
  <conditionalFormatting sqref="AL31">
    <cfRule type="iconSet" priority="9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1891" priority="3">
      <formula>$AH31=0</formula>
    </cfRule>
  </conditionalFormatting>
  <conditionalFormatting sqref="A80">
    <cfRule type="expression" dxfId="1890" priority="1">
      <formula>$AH80=0</formula>
    </cfRule>
  </conditionalFormatting>
  <conditionalFormatting sqref="A77">
    <cfRule type="expression" dxfId="1889" priority="2">
      <formula>$AH77=0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B2F7EEBE-1961-465A-9780-354031D8E963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" id="{A462C9A5-0FA2-4EBA-AAB7-FE13BA2FD16D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" id="{DC6B31F8-7E7A-4AE6-9F9B-C9143FC3A58B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" id="{9DD302C2-BBCB-4B96-85EE-E9C1910D9D56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4" id="{27152C53-1588-44A7-8D47-CEDAAC7F2E68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2"/>
  <sheetViews>
    <sheetView zoomScaleNormal="100" workbookViewId="0">
      <pane xSplit="1" ySplit="10" topLeftCell="E92" activePane="bottomRight" state="frozen"/>
      <selection activeCell="AF88" sqref="AF88"/>
      <selection pane="topRight" activeCell="AF88" sqref="AF88"/>
      <selection pane="bottomLeft" activeCell="AF88" sqref="AF88"/>
      <selection pane="bottomRight" activeCell="AH11" sqref="AH11:AI105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8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2079/02/25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("&amp;ROUND(B237,0)&amp;" MW)"&amp;"    IPP   = "&amp;ROUND(B232,0)&amp;" MW     NEA RoR = "&amp;ROUND(B233,0)&amp;" MWImport   = "&amp;ROUND(B235,0)&amp;" MW      KL1+KL2+K3 = "&amp;ROUND(B234,0) &amp;" MW    EXPORT = "&amp;ROUND(B236,0)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46.1</v>
      </c>
      <c r="C5" s="32">
        <f t="shared" si="0"/>
        <v>36.9</v>
      </c>
      <c r="D5" s="32">
        <f t="shared" si="0"/>
        <v>19.100000000000001</v>
      </c>
      <c r="E5" s="32">
        <f t="shared" si="0"/>
        <v>18.600000000000001</v>
      </c>
      <c r="F5" s="32">
        <f t="shared" si="0"/>
        <v>18.100000000000001</v>
      </c>
      <c r="G5" s="32">
        <f t="shared" si="0"/>
        <v>14.6</v>
      </c>
      <c r="H5" s="32">
        <f t="shared" si="0"/>
        <v>12</v>
      </c>
      <c r="I5" s="32">
        <f t="shared" si="0"/>
        <v>7</v>
      </c>
      <c r="J5" s="32">
        <f t="shared" si="0"/>
        <v>16.399999999999999</v>
      </c>
      <c r="K5" s="32">
        <f t="shared" si="0"/>
        <v>56.3</v>
      </c>
      <c r="L5" s="32">
        <f t="shared" si="0"/>
        <v>58.7</v>
      </c>
      <c r="M5" s="32">
        <f t="shared" si="0"/>
        <v>62.2</v>
      </c>
      <c r="N5" s="32">
        <f t="shared" si="0"/>
        <v>68</v>
      </c>
      <c r="O5" s="32">
        <f t="shared" si="0"/>
        <v>60.5</v>
      </c>
      <c r="P5" s="32">
        <f t="shared" si="0"/>
        <v>64.400000000000006</v>
      </c>
      <c r="Q5" s="32">
        <f t="shared" si="0"/>
        <v>56.5</v>
      </c>
      <c r="R5" s="32">
        <f t="shared" si="0"/>
        <v>75</v>
      </c>
      <c r="S5" s="32">
        <f t="shared" si="0"/>
        <v>70</v>
      </c>
      <c r="T5" s="32">
        <f t="shared" si="0"/>
        <v>29</v>
      </c>
      <c r="U5" s="32">
        <f t="shared" si="0"/>
        <v>57</v>
      </c>
      <c r="V5" s="32">
        <f t="shared" si="0"/>
        <v>54</v>
      </c>
      <c r="W5" s="32">
        <f t="shared" si="0"/>
        <v>24</v>
      </c>
      <c r="X5" s="32">
        <f t="shared" si="0"/>
        <v>26</v>
      </c>
      <c r="Y5" s="32">
        <f t="shared" si="0"/>
        <v>56</v>
      </c>
      <c r="Z5" s="32">
        <f t="shared" si="0"/>
        <v>38</v>
      </c>
      <c r="AA5" s="32">
        <f t="shared" si="0"/>
        <v>38.9</v>
      </c>
      <c r="AB5" s="32">
        <f t="shared" si="0"/>
        <v>28</v>
      </c>
      <c r="AC5" s="32">
        <f t="shared" si="0"/>
        <v>49.8</v>
      </c>
      <c r="AD5" s="32">
        <f t="shared" si="0"/>
        <v>53.3</v>
      </c>
      <c r="AE5" s="32">
        <f t="shared" si="0"/>
        <v>54.6</v>
      </c>
      <c r="AF5" s="32">
        <f>B72</f>
        <v>46.7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"&amp;ROUND(B237,0)&amp;"MW at "&amp;TRUNC(B238*24,0)&amp;":"&amp;ROUND((B238*24-TRUNC(B238*24,0))*60,0)&amp;"hr at "&amp;ROUND(B239,1)&amp;"Hz     "&amp;A229&amp;" "&amp;ROUND(B229,0)&amp;"MW at "&amp;TRUNC(C229*24,0)&amp;":"&amp;ROUND((C229*24-TRUNC(C229*24,0))*6,0)&amp;"0hr"</f>
        <v>Evening Peak 0MW at 0:0hr at 0Hz     Morning Peak 1851MW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Load=1753</v>
      </c>
      <c r="B7" s="37">
        <f>B79</f>
        <v>1832.14</v>
      </c>
      <c r="C7" s="37">
        <f t="shared" ref="C7:AF7" si="1">C79</f>
        <v>1806.8399999999997</v>
      </c>
      <c r="D7" s="37">
        <f t="shared" si="1"/>
        <v>1810.5400000000002</v>
      </c>
      <c r="E7" s="37">
        <f t="shared" si="1"/>
        <v>1778.8400000000001</v>
      </c>
      <c r="F7" s="37">
        <f t="shared" si="1"/>
        <v>1767.8400000000001</v>
      </c>
      <c r="G7" s="37">
        <f t="shared" si="1"/>
        <v>1779.44</v>
      </c>
      <c r="H7" s="37">
        <f t="shared" si="1"/>
        <v>1778.94</v>
      </c>
      <c r="I7" s="37">
        <f t="shared" si="1"/>
        <v>1769.84</v>
      </c>
      <c r="J7" s="37">
        <f t="shared" si="1"/>
        <v>1767.3400000000001</v>
      </c>
      <c r="K7" s="37">
        <f t="shared" si="1"/>
        <v>1804.24</v>
      </c>
      <c r="L7" s="37">
        <f t="shared" si="1"/>
        <v>1850.74</v>
      </c>
      <c r="M7" s="37">
        <f t="shared" si="1"/>
        <v>1847.74</v>
      </c>
      <c r="N7" s="37">
        <f t="shared" si="1"/>
        <v>1803.04</v>
      </c>
      <c r="O7" s="37">
        <f t="shared" si="1"/>
        <v>1830.44</v>
      </c>
      <c r="P7" s="37">
        <f t="shared" si="1"/>
        <v>1775.94</v>
      </c>
      <c r="Q7" s="37">
        <f t="shared" si="1"/>
        <v>1792.54</v>
      </c>
      <c r="R7" s="37">
        <f t="shared" si="1"/>
        <v>1786.8400000000001</v>
      </c>
      <c r="S7" s="37">
        <f t="shared" si="1"/>
        <v>1805.3400000000001</v>
      </c>
      <c r="T7" s="37">
        <f t="shared" si="1"/>
        <v>1800.3400000000001</v>
      </c>
      <c r="U7" s="37">
        <f t="shared" si="1"/>
        <v>1759.3400000000001</v>
      </c>
      <c r="V7" s="37">
        <f t="shared" si="1"/>
        <v>1792.3400000000001</v>
      </c>
      <c r="W7" s="37">
        <f t="shared" si="1"/>
        <v>1765.2400000000002</v>
      </c>
      <c r="X7" s="37">
        <f t="shared" si="1"/>
        <v>1753.14</v>
      </c>
      <c r="Y7" s="37">
        <f t="shared" si="1"/>
        <v>1772.2400000000002</v>
      </c>
      <c r="Z7" s="37">
        <f t="shared" si="1"/>
        <v>1823.7400000000002</v>
      </c>
      <c r="AA7" s="37">
        <f t="shared" si="1"/>
        <v>1885.3400000000001</v>
      </c>
      <c r="AB7" s="37">
        <f t="shared" si="1"/>
        <v>1861.0400000000002</v>
      </c>
      <c r="AC7" s="37">
        <f t="shared" si="1"/>
        <v>1831.0400000000002</v>
      </c>
      <c r="AD7" s="37">
        <f t="shared" si="1"/>
        <v>1852.8400000000001</v>
      </c>
      <c r="AE7" s="37">
        <f t="shared" si="1"/>
        <v>1829.6399999999999</v>
      </c>
      <c r="AF7" s="37">
        <f t="shared" si="1"/>
        <v>1824.1399999999999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179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0">
        <v>53.8</v>
      </c>
      <c r="C11" s="50">
        <v>53.8</v>
      </c>
      <c r="D11" s="50">
        <v>53.8</v>
      </c>
      <c r="E11" s="50">
        <v>53.8</v>
      </c>
      <c r="F11" s="50">
        <v>53.8</v>
      </c>
      <c r="G11" s="50">
        <v>53.8</v>
      </c>
      <c r="H11" s="50">
        <v>53.8</v>
      </c>
      <c r="I11" s="50">
        <v>53.8</v>
      </c>
      <c r="J11" s="50">
        <v>53.7</v>
      </c>
      <c r="K11" s="50">
        <v>53.8</v>
      </c>
      <c r="L11" s="50">
        <v>53.7</v>
      </c>
      <c r="M11" s="50">
        <v>53.7</v>
      </c>
      <c r="N11" s="50">
        <v>53.6</v>
      </c>
      <c r="O11" s="50">
        <v>53.6</v>
      </c>
      <c r="P11" s="50">
        <v>53.5</v>
      </c>
      <c r="Q11" s="50">
        <v>53.5</v>
      </c>
      <c r="R11" s="50">
        <v>53.7</v>
      </c>
      <c r="S11" s="50">
        <v>53.7</v>
      </c>
      <c r="T11" s="50">
        <v>53.7</v>
      </c>
      <c r="U11" s="50">
        <v>53.7</v>
      </c>
      <c r="V11" s="50">
        <v>53.7</v>
      </c>
      <c r="W11" s="50">
        <v>53.7</v>
      </c>
      <c r="X11" s="50">
        <v>53.7</v>
      </c>
      <c r="Y11" s="50">
        <v>53.7</v>
      </c>
      <c r="Z11" s="50">
        <v>53.7</v>
      </c>
      <c r="AA11" s="52">
        <v>53.9</v>
      </c>
      <c r="AB11" s="52">
        <v>53.9</v>
      </c>
      <c r="AC11" s="52">
        <v>53.9</v>
      </c>
      <c r="AD11" s="52">
        <v>53.9</v>
      </c>
      <c r="AE11" s="52">
        <v>53.9</v>
      </c>
      <c r="AF11" s="52">
        <v>53.6</v>
      </c>
      <c r="AG11" s="133">
        <v>52.4</v>
      </c>
      <c r="AH11" s="54">
        <f>MAX(B11:AF11)</f>
        <v>53.9</v>
      </c>
      <c r="AI11" s="55">
        <f>MIN(B11:AF11)</f>
        <v>53.5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50.2</v>
      </c>
      <c r="C12" s="50">
        <v>50.3</v>
      </c>
      <c r="D12" s="50">
        <v>50.4</v>
      </c>
      <c r="E12" s="50">
        <v>50.4</v>
      </c>
      <c r="F12" s="50">
        <v>50.4</v>
      </c>
      <c r="G12" s="50">
        <v>50.4</v>
      </c>
      <c r="H12" s="50">
        <v>50.4</v>
      </c>
      <c r="I12" s="50">
        <v>50.4</v>
      </c>
      <c r="J12" s="50">
        <v>50.4</v>
      </c>
      <c r="K12" s="50">
        <v>50.4</v>
      </c>
      <c r="L12" s="50">
        <v>50.3</v>
      </c>
      <c r="M12" s="50">
        <v>50.3</v>
      </c>
      <c r="N12" s="50">
        <v>50.3</v>
      </c>
      <c r="O12" s="50">
        <v>50</v>
      </c>
      <c r="P12" s="50">
        <v>50.4</v>
      </c>
      <c r="Q12" s="50">
        <v>50.4</v>
      </c>
      <c r="R12" s="50">
        <v>50.2</v>
      </c>
      <c r="S12" s="50">
        <v>50.2</v>
      </c>
      <c r="T12" s="50">
        <v>50.2</v>
      </c>
      <c r="U12" s="50">
        <v>50.2</v>
      </c>
      <c r="V12" s="50">
        <v>50.2</v>
      </c>
      <c r="W12" s="50">
        <v>50.2</v>
      </c>
      <c r="X12" s="50">
        <v>50.2</v>
      </c>
      <c r="Y12" s="50">
        <v>50.2</v>
      </c>
      <c r="Z12" s="50">
        <v>50.2</v>
      </c>
      <c r="AA12" s="50">
        <v>50.4</v>
      </c>
      <c r="AB12" s="50">
        <v>50.4</v>
      </c>
      <c r="AC12" s="50">
        <v>50.4</v>
      </c>
      <c r="AD12" s="50">
        <v>50.4</v>
      </c>
      <c r="AE12" s="50">
        <v>50.4</v>
      </c>
      <c r="AF12" s="50">
        <v>50.3</v>
      </c>
      <c r="AG12" s="134">
        <v>50</v>
      </c>
      <c r="AH12" s="54">
        <f t="shared" ref="AH12:AH79" si="2">MAX(B12:AF12)</f>
        <v>50.4</v>
      </c>
      <c r="AI12" s="55">
        <f t="shared" ref="AI12:AI79" si="3">MIN(B12:AF12)</f>
        <v>50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45.9</v>
      </c>
      <c r="C13" s="50">
        <v>45.9</v>
      </c>
      <c r="D13" s="50">
        <v>45.9</v>
      </c>
      <c r="E13" s="50">
        <v>45.9</v>
      </c>
      <c r="F13" s="50">
        <v>45.9</v>
      </c>
      <c r="G13" s="50">
        <v>45.9</v>
      </c>
      <c r="H13" s="50">
        <v>45.9</v>
      </c>
      <c r="I13" s="50">
        <v>45.9</v>
      </c>
      <c r="J13" s="50">
        <v>45.9</v>
      </c>
      <c r="K13" s="50">
        <v>45.9</v>
      </c>
      <c r="L13" s="50">
        <v>45.9</v>
      </c>
      <c r="M13" s="50">
        <v>45.9</v>
      </c>
      <c r="N13" s="50">
        <v>45.8</v>
      </c>
      <c r="O13" s="50">
        <v>45.8</v>
      </c>
      <c r="P13" s="50">
        <v>45.9</v>
      </c>
      <c r="Q13" s="50">
        <v>45.9</v>
      </c>
      <c r="R13" s="50">
        <v>45.9</v>
      </c>
      <c r="S13" s="50">
        <v>45.9</v>
      </c>
      <c r="T13" s="50">
        <v>45.9</v>
      </c>
      <c r="U13" s="50">
        <v>45.9</v>
      </c>
      <c r="V13" s="50">
        <v>45.9</v>
      </c>
      <c r="W13" s="50">
        <v>45.9</v>
      </c>
      <c r="X13" s="50">
        <v>45.9</v>
      </c>
      <c r="Y13" s="50">
        <v>45.9</v>
      </c>
      <c r="Z13" s="50">
        <v>45.9</v>
      </c>
      <c r="AA13" s="50">
        <v>45.9</v>
      </c>
      <c r="AB13" s="50">
        <v>45.9</v>
      </c>
      <c r="AC13" s="50">
        <v>45.9</v>
      </c>
      <c r="AD13" s="50">
        <v>45.9</v>
      </c>
      <c r="AE13" s="50">
        <v>45.9</v>
      </c>
      <c r="AF13" s="50">
        <v>45.9</v>
      </c>
      <c r="AG13" s="134">
        <v>45</v>
      </c>
      <c r="AH13" s="54">
        <f t="shared" si="2"/>
        <v>45.9</v>
      </c>
      <c r="AI13" s="55">
        <f t="shared" si="3"/>
        <v>45.8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40</v>
      </c>
      <c r="C14" s="50">
        <v>40</v>
      </c>
      <c r="D14" s="50">
        <v>40</v>
      </c>
      <c r="E14" s="50">
        <v>36</v>
      </c>
      <c r="F14" s="50">
        <v>36</v>
      </c>
      <c r="G14" s="50">
        <v>36</v>
      </c>
      <c r="H14" s="50">
        <v>36</v>
      </c>
      <c r="I14" s="50">
        <v>36</v>
      </c>
      <c r="J14" s="50">
        <v>40</v>
      </c>
      <c r="K14" s="50">
        <v>40</v>
      </c>
      <c r="L14" s="50">
        <v>40</v>
      </c>
      <c r="M14" s="50">
        <v>40</v>
      </c>
      <c r="N14" s="50">
        <v>40</v>
      </c>
      <c r="O14" s="50">
        <v>40</v>
      </c>
      <c r="P14" s="50">
        <v>40</v>
      </c>
      <c r="Q14" s="50">
        <v>40</v>
      </c>
      <c r="R14" s="50">
        <v>40</v>
      </c>
      <c r="S14" s="50">
        <v>40</v>
      </c>
      <c r="T14" s="50">
        <v>40</v>
      </c>
      <c r="U14" s="50">
        <v>40</v>
      </c>
      <c r="V14" s="50">
        <v>40</v>
      </c>
      <c r="W14" s="50">
        <v>40</v>
      </c>
      <c r="X14" s="50">
        <v>40</v>
      </c>
      <c r="Y14" s="50">
        <v>40</v>
      </c>
      <c r="Z14" s="50">
        <v>40</v>
      </c>
      <c r="AA14" s="50">
        <v>40</v>
      </c>
      <c r="AB14" s="50">
        <v>40</v>
      </c>
      <c r="AC14" s="50">
        <v>40</v>
      </c>
      <c r="AD14" s="50">
        <v>40</v>
      </c>
      <c r="AE14" s="50">
        <v>0</v>
      </c>
      <c r="AF14" s="50">
        <v>0</v>
      </c>
      <c r="AG14" s="134">
        <v>42</v>
      </c>
      <c r="AH14" s="54">
        <f t="shared" si="2"/>
        <v>40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30</v>
      </c>
      <c r="C15" s="50">
        <v>30</v>
      </c>
      <c r="D15" s="50">
        <v>30</v>
      </c>
      <c r="E15" s="50">
        <v>30</v>
      </c>
      <c r="F15" s="50">
        <v>30</v>
      </c>
      <c r="G15" s="50">
        <v>30</v>
      </c>
      <c r="H15" s="50">
        <v>30</v>
      </c>
      <c r="I15" s="50">
        <v>30</v>
      </c>
      <c r="J15" s="50">
        <v>30</v>
      </c>
      <c r="K15" s="50">
        <v>30</v>
      </c>
      <c r="L15" s="50">
        <v>30</v>
      </c>
      <c r="M15" s="50">
        <v>30</v>
      </c>
      <c r="N15" s="50">
        <v>30</v>
      </c>
      <c r="O15" s="50">
        <v>30</v>
      </c>
      <c r="P15" s="50">
        <v>30</v>
      </c>
      <c r="Q15" s="50">
        <v>30</v>
      </c>
      <c r="R15" s="50">
        <v>30</v>
      </c>
      <c r="S15" s="50">
        <v>30</v>
      </c>
      <c r="T15" s="50">
        <v>25</v>
      </c>
      <c r="U15" s="50">
        <v>25</v>
      </c>
      <c r="V15" s="50">
        <v>30</v>
      </c>
      <c r="W15" s="50">
        <v>15</v>
      </c>
      <c r="X15" s="50">
        <v>30</v>
      </c>
      <c r="Y15" s="50">
        <v>30</v>
      </c>
      <c r="Z15" s="50">
        <v>30</v>
      </c>
      <c r="AA15" s="50">
        <v>30</v>
      </c>
      <c r="AB15" s="50">
        <v>30</v>
      </c>
      <c r="AC15" s="50">
        <v>30</v>
      </c>
      <c r="AD15" s="50">
        <v>30</v>
      </c>
      <c r="AE15" s="50">
        <v>30</v>
      </c>
      <c r="AF15" s="50">
        <v>30</v>
      </c>
      <c r="AG15" s="135">
        <v>30</v>
      </c>
      <c r="AH15" s="54">
        <f t="shared" si="2"/>
        <v>30</v>
      </c>
      <c r="AI15" s="55">
        <f t="shared" si="3"/>
        <v>15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26.3</v>
      </c>
      <c r="C16" s="50">
        <v>26.3</v>
      </c>
      <c r="D16" s="50">
        <v>26.3</v>
      </c>
      <c r="E16" s="50">
        <v>26.3</v>
      </c>
      <c r="F16" s="50">
        <v>26.3</v>
      </c>
      <c r="G16" s="50">
        <v>26.3</v>
      </c>
      <c r="H16" s="50">
        <v>26.3</v>
      </c>
      <c r="I16" s="50">
        <v>26.3</v>
      </c>
      <c r="J16" s="50">
        <v>26.3</v>
      </c>
      <c r="K16" s="50">
        <v>26.3</v>
      </c>
      <c r="L16" s="50">
        <v>26.3</v>
      </c>
      <c r="M16" s="50">
        <v>26.3</v>
      </c>
      <c r="N16" s="50">
        <v>26.2</v>
      </c>
      <c r="O16" s="50">
        <v>26.2</v>
      </c>
      <c r="P16" s="50">
        <v>26.5</v>
      </c>
      <c r="Q16" s="50">
        <v>26.5</v>
      </c>
      <c r="R16" s="50">
        <v>26.4</v>
      </c>
      <c r="S16" s="50">
        <v>26.4</v>
      </c>
      <c r="T16" s="50">
        <v>26.4</v>
      </c>
      <c r="U16" s="50">
        <v>26.4</v>
      </c>
      <c r="V16" s="50">
        <v>26.4</v>
      </c>
      <c r="W16" s="50">
        <v>26.4</v>
      </c>
      <c r="X16" s="50">
        <v>26.4</v>
      </c>
      <c r="Y16" s="50">
        <v>26.4</v>
      </c>
      <c r="Z16" s="50">
        <v>26.4</v>
      </c>
      <c r="AA16" s="50">
        <v>26.4</v>
      </c>
      <c r="AB16" s="50">
        <v>26.4</v>
      </c>
      <c r="AC16" s="50">
        <v>26.4</v>
      </c>
      <c r="AD16" s="50">
        <v>26.4</v>
      </c>
      <c r="AE16" s="50">
        <v>26.4</v>
      </c>
      <c r="AF16" s="50">
        <v>26.3</v>
      </c>
      <c r="AG16" s="134">
        <v>25</v>
      </c>
      <c r="AH16" s="54">
        <f t="shared" si="2"/>
        <v>26.5</v>
      </c>
      <c r="AI16" s="55">
        <f t="shared" si="3"/>
        <v>26.2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25</v>
      </c>
      <c r="D18" s="50">
        <v>25</v>
      </c>
      <c r="E18" s="50">
        <v>25</v>
      </c>
      <c r="F18" s="50">
        <v>25</v>
      </c>
      <c r="G18" s="50">
        <v>25</v>
      </c>
      <c r="H18" s="50">
        <v>25</v>
      </c>
      <c r="I18" s="50">
        <v>25</v>
      </c>
      <c r="J18" s="50">
        <v>25</v>
      </c>
      <c r="K18" s="50">
        <v>25</v>
      </c>
      <c r="L18" s="50">
        <v>25</v>
      </c>
      <c r="M18" s="50">
        <v>25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134">
        <v>25</v>
      </c>
      <c r="AH18" s="54">
        <f t="shared" si="2"/>
        <v>25</v>
      </c>
      <c r="AI18" s="55">
        <f t="shared" si="3"/>
        <v>0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33.200000000000003</v>
      </c>
      <c r="C19" s="50">
        <v>33.200000000000003</v>
      </c>
      <c r="D19" s="50">
        <v>33.200000000000003</v>
      </c>
      <c r="E19" s="50">
        <v>33.200000000000003</v>
      </c>
      <c r="F19" s="50">
        <v>33.200000000000003</v>
      </c>
      <c r="G19" s="50">
        <v>33.200000000000003</v>
      </c>
      <c r="H19" s="50">
        <v>33.200000000000003</v>
      </c>
      <c r="I19" s="50">
        <v>33.200000000000003</v>
      </c>
      <c r="J19" s="50">
        <v>33.200000000000003</v>
      </c>
      <c r="K19" s="50">
        <v>33.200000000000003</v>
      </c>
      <c r="L19" s="50">
        <v>33.200000000000003</v>
      </c>
      <c r="M19" s="50">
        <v>33.200000000000003</v>
      </c>
      <c r="N19" s="50">
        <v>33.200000000000003</v>
      </c>
      <c r="O19" s="50">
        <v>33.200000000000003</v>
      </c>
      <c r="P19" s="50">
        <v>24.8</v>
      </c>
      <c r="Q19" s="50">
        <v>24.8</v>
      </c>
      <c r="R19" s="50">
        <v>24.8</v>
      </c>
      <c r="S19" s="50">
        <v>24.8</v>
      </c>
      <c r="T19" s="50">
        <v>24.8</v>
      </c>
      <c r="U19" s="50">
        <v>24.8</v>
      </c>
      <c r="V19" s="50">
        <v>24.8</v>
      </c>
      <c r="W19" s="50">
        <v>24.8</v>
      </c>
      <c r="X19" s="50">
        <v>24.8</v>
      </c>
      <c r="Y19" s="50">
        <v>24.8</v>
      </c>
      <c r="Z19" s="50">
        <v>24.8</v>
      </c>
      <c r="AA19" s="50">
        <v>24.8</v>
      </c>
      <c r="AB19" s="50">
        <v>24.8</v>
      </c>
      <c r="AC19" s="50">
        <v>24.8</v>
      </c>
      <c r="AD19" s="50">
        <v>24.8</v>
      </c>
      <c r="AE19" s="50">
        <v>24.8</v>
      </c>
      <c r="AF19" s="50">
        <v>33.299999999999997</v>
      </c>
      <c r="AG19" s="134">
        <v>24.2</v>
      </c>
      <c r="AH19" s="54">
        <f t="shared" si="2"/>
        <v>33.299999999999997</v>
      </c>
      <c r="AI19" s="55">
        <f t="shared" si="3"/>
        <v>24.8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24.3</v>
      </c>
      <c r="C20" s="50">
        <v>24.3</v>
      </c>
      <c r="D20" s="50">
        <v>24.3</v>
      </c>
      <c r="E20" s="50">
        <v>24.3</v>
      </c>
      <c r="F20" s="50">
        <v>24.3</v>
      </c>
      <c r="G20" s="50">
        <v>24.3</v>
      </c>
      <c r="H20" s="50">
        <v>24.3</v>
      </c>
      <c r="I20" s="50">
        <v>24.3</v>
      </c>
      <c r="J20" s="50">
        <v>24.3</v>
      </c>
      <c r="K20" s="50">
        <v>24.3</v>
      </c>
      <c r="L20" s="50">
        <v>23.3</v>
      </c>
      <c r="M20" s="50">
        <v>10.4</v>
      </c>
      <c r="N20" s="50">
        <v>24.2</v>
      </c>
      <c r="O20" s="50">
        <v>24.2</v>
      </c>
      <c r="P20" s="50">
        <v>24.2</v>
      </c>
      <c r="Q20" s="50">
        <v>24.2</v>
      </c>
      <c r="R20" s="50">
        <v>23.3</v>
      </c>
      <c r="S20" s="50">
        <v>23.3</v>
      </c>
      <c r="T20" s="50">
        <v>23.3</v>
      </c>
      <c r="U20" s="50">
        <v>23.3</v>
      </c>
      <c r="V20" s="50">
        <v>23.3</v>
      </c>
      <c r="W20" s="50">
        <v>23.3</v>
      </c>
      <c r="X20" s="50">
        <v>23.3</v>
      </c>
      <c r="Y20" s="50">
        <v>23.3</v>
      </c>
      <c r="Z20" s="50">
        <v>23.3</v>
      </c>
      <c r="AA20" s="50">
        <v>24.1</v>
      </c>
      <c r="AB20" s="50">
        <v>24.1</v>
      </c>
      <c r="AC20" s="50">
        <v>24.1</v>
      </c>
      <c r="AD20" s="50">
        <v>24.1</v>
      </c>
      <c r="AE20" s="50">
        <v>24.1</v>
      </c>
      <c r="AF20" s="50">
        <v>23.3</v>
      </c>
      <c r="AG20" s="134">
        <v>23.5</v>
      </c>
      <c r="AH20" s="54">
        <f t="shared" si="2"/>
        <v>24.3</v>
      </c>
      <c r="AI20" s="55">
        <f t="shared" si="3"/>
        <v>10.4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16</v>
      </c>
      <c r="C21" s="50">
        <v>16</v>
      </c>
      <c r="D21" s="50">
        <v>16</v>
      </c>
      <c r="E21" s="50">
        <v>16</v>
      </c>
      <c r="F21" s="50">
        <v>16</v>
      </c>
      <c r="G21" s="50">
        <v>16</v>
      </c>
      <c r="H21" s="50">
        <v>16</v>
      </c>
      <c r="I21" s="50">
        <v>16</v>
      </c>
      <c r="J21" s="50">
        <v>16</v>
      </c>
      <c r="K21" s="50">
        <v>16</v>
      </c>
      <c r="L21" s="50">
        <v>16</v>
      </c>
      <c r="M21" s="50">
        <v>16</v>
      </c>
      <c r="N21" s="50">
        <v>16</v>
      </c>
      <c r="O21" s="50">
        <v>16</v>
      </c>
      <c r="P21" s="50">
        <v>16</v>
      </c>
      <c r="Q21" s="50">
        <v>16</v>
      </c>
      <c r="R21" s="50">
        <v>16</v>
      </c>
      <c r="S21" s="50">
        <v>16</v>
      </c>
      <c r="T21" s="50">
        <v>16</v>
      </c>
      <c r="U21" s="50">
        <v>16</v>
      </c>
      <c r="V21" s="50">
        <v>16</v>
      </c>
      <c r="W21" s="50">
        <v>16</v>
      </c>
      <c r="X21" s="50">
        <v>16</v>
      </c>
      <c r="Y21" s="50">
        <v>16</v>
      </c>
      <c r="Z21" s="50">
        <v>16</v>
      </c>
      <c r="AA21" s="50">
        <v>16</v>
      </c>
      <c r="AB21" s="50">
        <v>16</v>
      </c>
      <c r="AC21" s="50">
        <v>16</v>
      </c>
      <c r="AD21" s="50">
        <v>16</v>
      </c>
      <c r="AE21" s="50">
        <v>16</v>
      </c>
      <c r="AF21" s="50">
        <v>16</v>
      </c>
      <c r="AG21" s="134">
        <v>22.2</v>
      </c>
      <c r="AH21" s="54">
        <f t="shared" si="2"/>
        <v>16</v>
      </c>
      <c r="AI21" s="55">
        <f t="shared" si="3"/>
        <v>16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134">
        <v>22.1</v>
      </c>
      <c r="AH22" s="54">
        <f t="shared" si="2"/>
        <v>22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22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22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18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22</v>
      </c>
      <c r="AI24" s="55">
        <f t="shared" si="3"/>
        <v>0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0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134">
        <v>20</v>
      </c>
      <c r="AH25" s="54">
        <f t="shared" si="2"/>
        <v>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7.8</v>
      </c>
      <c r="C26" s="50">
        <v>7.8</v>
      </c>
      <c r="D26" s="50">
        <v>7.8</v>
      </c>
      <c r="E26" s="50">
        <v>7.8</v>
      </c>
      <c r="F26" s="50">
        <v>7.8</v>
      </c>
      <c r="G26" s="50">
        <v>7.8</v>
      </c>
      <c r="H26" s="50">
        <v>7.8</v>
      </c>
      <c r="I26" s="50">
        <v>7.8</v>
      </c>
      <c r="J26" s="50">
        <v>7.8</v>
      </c>
      <c r="K26" s="50">
        <v>7.8</v>
      </c>
      <c r="L26" s="50">
        <v>7.8</v>
      </c>
      <c r="M26" s="50">
        <v>7.8</v>
      </c>
      <c r="N26" s="50">
        <v>7.8</v>
      </c>
      <c r="O26" s="50">
        <v>7.8</v>
      </c>
      <c r="P26" s="50">
        <v>7.8</v>
      </c>
      <c r="Q26" s="50">
        <v>7.8</v>
      </c>
      <c r="R26" s="50">
        <v>7.8</v>
      </c>
      <c r="S26" s="50">
        <v>7.8</v>
      </c>
      <c r="T26" s="50">
        <v>7.8</v>
      </c>
      <c r="U26" s="50">
        <v>7.8</v>
      </c>
      <c r="V26" s="50">
        <v>7.8</v>
      </c>
      <c r="W26" s="50">
        <v>7.8</v>
      </c>
      <c r="X26" s="50">
        <v>7.8</v>
      </c>
      <c r="Y26" s="50">
        <v>7.8</v>
      </c>
      <c r="Z26" s="50">
        <v>7.8</v>
      </c>
      <c r="AA26" s="50">
        <v>7.8</v>
      </c>
      <c r="AB26" s="50">
        <v>7.8</v>
      </c>
      <c r="AC26" s="50">
        <v>7.8</v>
      </c>
      <c r="AD26" s="50">
        <v>7.8</v>
      </c>
      <c r="AE26" s="50">
        <v>7.8</v>
      </c>
      <c r="AF26" s="50">
        <v>7.8</v>
      </c>
      <c r="AG26" s="134">
        <v>14.9</v>
      </c>
      <c r="AH26" s="54">
        <f t="shared" si="2"/>
        <v>7.8</v>
      </c>
      <c r="AI26" s="55">
        <f t="shared" si="3"/>
        <v>7.8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12</v>
      </c>
      <c r="C27" s="50">
        <v>12</v>
      </c>
      <c r="D27" s="50">
        <v>12</v>
      </c>
      <c r="E27" s="50">
        <v>12</v>
      </c>
      <c r="F27" s="50">
        <v>12</v>
      </c>
      <c r="G27" s="50">
        <v>12</v>
      </c>
      <c r="H27" s="50">
        <v>12</v>
      </c>
      <c r="I27" s="50">
        <v>12</v>
      </c>
      <c r="J27" s="50">
        <v>12</v>
      </c>
      <c r="K27" s="50">
        <v>12</v>
      </c>
      <c r="L27" s="50">
        <v>12</v>
      </c>
      <c r="M27" s="50">
        <v>12</v>
      </c>
      <c r="N27" s="50">
        <v>12</v>
      </c>
      <c r="O27" s="50">
        <v>12</v>
      </c>
      <c r="P27" s="50">
        <v>12</v>
      </c>
      <c r="Q27" s="50">
        <v>12</v>
      </c>
      <c r="R27" s="50">
        <v>12</v>
      </c>
      <c r="S27" s="50">
        <v>12</v>
      </c>
      <c r="T27" s="50">
        <v>12</v>
      </c>
      <c r="U27" s="50">
        <v>12</v>
      </c>
      <c r="V27" s="50">
        <v>12</v>
      </c>
      <c r="W27" s="50">
        <v>12</v>
      </c>
      <c r="X27" s="50">
        <v>12</v>
      </c>
      <c r="Y27" s="50">
        <v>12</v>
      </c>
      <c r="Z27" s="50">
        <v>12</v>
      </c>
      <c r="AA27" s="50">
        <v>12</v>
      </c>
      <c r="AB27" s="50">
        <v>12</v>
      </c>
      <c r="AC27" s="50">
        <v>12</v>
      </c>
      <c r="AD27" s="50">
        <v>12</v>
      </c>
      <c r="AE27" s="50">
        <v>12</v>
      </c>
      <c r="AF27" s="50">
        <v>12</v>
      </c>
      <c r="AG27" s="134">
        <v>13.6</v>
      </c>
      <c r="AH27" s="54">
        <f t="shared" si="2"/>
        <v>12</v>
      </c>
      <c r="AI27" s="55">
        <f t="shared" si="3"/>
        <v>12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12</v>
      </c>
      <c r="C28" s="50">
        <v>12</v>
      </c>
      <c r="D28" s="50">
        <v>12</v>
      </c>
      <c r="E28" s="50">
        <v>12</v>
      </c>
      <c r="F28" s="50">
        <v>12</v>
      </c>
      <c r="G28" s="50">
        <v>12</v>
      </c>
      <c r="H28" s="50">
        <v>12</v>
      </c>
      <c r="I28" s="50">
        <v>12</v>
      </c>
      <c r="J28" s="50">
        <v>12</v>
      </c>
      <c r="K28" s="50">
        <v>12</v>
      </c>
      <c r="L28" s="50">
        <v>12</v>
      </c>
      <c r="M28" s="50">
        <v>13</v>
      </c>
      <c r="N28" s="50">
        <v>13</v>
      </c>
      <c r="O28" s="50">
        <v>13</v>
      </c>
      <c r="P28" s="50">
        <v>13</v>
      </c>
      <c r="Q28" s="50">
        <v>13</v>
      </c>
      <c r="R28" s="50">
        <v>13</v>
      </c>
      <c r="S28" s="50">
        <v>13</v>
      </c>
      <c r="T28" s="50">
        <v>13</v>
      </c>
      <c r="U28" s="50">
        <v>13</v>
      </c>
      <c r="V28" s="50">
        <v>13</v>
      </c>
      <c r="W28" s="50">
        <v>13</v>
      </c>
      <c r="X28" s="50">
        <v>13</v>
      </c>
      <c r="Y28" s="50">
        <v>13</v>
      </c>
      <c r="Z28" s="50">
        <v>13</v>
      </c>
      <c r="AA28" s="50">
        <v>12</v>
      </c>
      <c r="AB28" s="50">
        <v>12</v>
      </c>
      <c r="AC28" s="50">
        <v>12</v>
      </c>
      <c r="AD28" s="50">
        <v>12</v>
      </c>
      <c r="AE28" s="50">
        <v>12</v>
      </c>
      <c r="AF28" s="50">
        <v>12</v>
      </c>
      <c r="AG28" s="134">
        <v>13</v>
      </c>
      <c r="AH28" s="54">
        <f t="shared" si="2"/>
        <v>13</v>
      </c>
      <c r="AI28" s="55">
        <f t="shared" si="3"/>
        <v>12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12</v>
      </c>
      <c r="C29" s="50">
        <v>12</v>
      </c>
      <c r="D29" s="50">
        <v>12</v>
      </c>
      <c r="E29" s="50">
        <v>12</v>
      </c>
      <c r="F29" s="50">
        <v>12</v>
      </c>
      <c r="G29" s="50">
        <v>12</v>
      </c>
      <c r="H29" s="50">
        <v>12</v>
      </c>
      <c r="I29" s="50">
        <v>12</v>
      </c>
      <c r="J29" s="50">
        <v>12</v>
      </c>
      <c r="K29" s="50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134">
        <v>12</v>
      </c>
      <c r="AH29" s="54">
        <f t="shared" si="2"/>
        <v>12</v>
      </c>
      <c r="AI29" s="55">
        <f t="shared" si="3"/>
        <v>12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0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134">
        <v>12</v>
      </c>
      <c r="AH30" s="54">
        <f t="shared" si="2"/>
        <v>0</v>
      </c>
      <c r="AI30" s="55">
        <f t="shared" si="3"/>
        <v>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12</v>
      </c>
      <c r="C31" s="50">
        <v>12</v>
      </c>
      <c r="D31" s="50">
        <v>12</v>
      </c>
      <c r="E31" s="50">
        <v>12</v>
      </c>
      <c r="F31" s="50">
        <v>12</v>
      </c>
      <c r="G31" s="50">
        <v>12</v>
      </c>
      <c r="H31" s="50">
        <v>12</v>
      </c>
      <c r="I31" s="50">
        <v>12</v>
      </c>
      <c r="J31" s="50">
        <v>12</v>
      </c>
      <c r="K31" s="50">
        <v>12</v>
      </c>
      <c r="L31" s="50">
        <v>12</v>
      </c>
      <c r="M31" s="50">
        <v>12</v>
      </c>
      <c r="N31" s="50">
        <v>12</v>
      </c>
      <c r="O31" s="50">
        <v>12</v>
      </c>
      <c r="P31" s="50">
        <v>12</v>
      </c>
      <c r="Q31" s="50">
        <v>12</v>
      </c>
      <c r="R31" s="50">
        <v>12</v>
      </c>
      <c r="S31" s="50">
        <v>12</v>
      </c>
      <c r="T31" s="50">
        <v>12</v>
      </c>
      <c r="U31" s="50">
        <v>12</v>
      </c>
      <c r="V31" s="50">
        <v>12</v>
      </c>
      <c r="W31" s="50">
        <v>12</v>
      </c>
      <c r="X31" s="50">
        <v>12</v>
      </c>
      <c r="Y31" s="50">
        <v>12</v>
      </c>
      <c r="Z31" s="50">
        <v>12</v>
      </c>
      <c r="AA31" s="50">
        <v>12</v>
      </c>
      <c r="AB31" s="50">
        <v>12</v>
      </c>
      <c r="AC31" s="50">
        <v>12</v>
      </c>
      <c r="AD31" s="50">
        <v>12</v>
      </c>
      <c r="AE31" s="50">
        <v>12</v>
      </c>
      <c r="AF31" s="50">
        <v>12</v>
      </c>
      <c r="AG31" s="178">
        <v>22</v>
      </c>
      <c r="AH31" s="54">
        <f>MAX(B31:AF31)</f>
        <v>12</v>
      </c>
      <c r="AI31" s="55">
        <f>MIN(B31:AF31)</f>
        <v>12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11.5</v>
      </c>
      <c r="C32" s="50">
        <v>11.5</v>
      </c>
      <c r="D32" s="50">
        <v>11.5</v>
      </c>
      <c r="E32" s="50">
        <v>11.5</v>
      </c>
      <c r="F32" s="50">
        <v>11.5</v>
      </c>
      <c r="G32" s="50">
        <v>11.5</v>
      </c>
      <c r="H32" s="50">
        <v>11.5</v>
      </c>
      <c r="I32" s="50">
        <v>11.5</v>
      </c>
      <c r="J32" s="50">
        <v>11.5</v>
      </c>
      <c r="K32" s="50">
        <v>11.5</v>
      </c>
      <c r="L32" s="50">
        <v>11.5</v>
      </c>
      <c r="M32" s="50">
        <v>11.5</v>
      </c>
      <c r="N32" s="50">
        <v>11.5</v>
      </c>
      <c r="O32" s="50">
        <v>3</v>
      </c>
      <c r="P32" s="50">
        <v>3</v>
      </c>
      <c r="Q32" s="50">
        <v>3</v>
      </c>
      <c r="R32" s="50">
        <v>3</v>
      </c>
      <c r="S32" s="50">
        <v>3</v>
      </c>
      <c r="T32" s="50">
        <v>3</v>
      </c>
      <c r="U32" s="50">
        <v>3</v>
      </c>
      <c r="V32" s="50">
        <v>3</v>
      </c>
      <c r="W32" s="50">
        <v>3</v>
      </c>
      <c r="X32" s="50">
        <v>3</v>
      </c>
      <c r="Y32" s="50">
        <v>3</v>
      </c>
      <c r="Z32" s="50">
        <v>3</v>
      </c>
      <c r="AA32" s="50">
        <v>11.5</v>
      </c>
      <c r="AB32" s="50">
        <v>11.5</v>
      </c>
      <c r="AC32" s="50">
        <v>11.5</v>
      </c>
      <c r="AD32" s="50">
        <v>11.5</v>
      </c>
      <c r="AE32" s="50">
        <v>11.5</v>
      </c>
      <c r="AF32" s="50">
        <v>11.5</v>
      </c>
      <c r="AG32" s="135">
        <v>11.88</v>
      </c>
      <c r="AH32" s="54">
        <f t="shared" si="2"/>
        <v>11.5</v>
      </c>
      <c r="AI32" s="55">
        <f t="shared" si="3"/>
        <v>3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11</v>
      </c>
      <c r="D33" s="50">
        <v>11</v>
      </c>
      <c r="E33" s="50">
        <v>11</v>
      </c>
      <c r="F33" s="50">
        <v>11</v>
      </c>
      <c r="G33" s="50">
        <v>11</v>
      </c>
      <c r="H33" s="50">
        <v>11</v>
      </c>
      <c r="I33" s="50">
        <v>11</v>
      </c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11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10</v>
      </c>
      <c r="C34" s="50">
        <v>10</v>
      </c>
      <c r="D34" s="50">
        <v>10</v>
      </c>
      <c r="E34" s="50">
        <v>10</v>
      </c>
      <c r="F34" s="50">
        <v>10</v>
      </c>
      <c r="G34" s="50">
        <v>10</v>
      </c>
      <c r="H34" s="50">
        <v>10</v>
      </c>
      <c r="I34" s="50">
        <v>10</v>
      </c>
      <c r="J34" s="50">
        <v>10</v>
      </c>
      <c r="K34" s="50">
        <v>10</v>
      </c>
      <c r="L34" s="50">
        <v>10</v>
      </c>
      <c r="M34" s="50">
        <v>10</v>
      </c>
      <c r="N34" s="50">
        <v>10</v>
      </c>
      <c r="O34" s="50">
        <v>10</v>
      </c>
      <c r="P34" s="50">
        <v>10</v>
      </c>
      <c r="Q34" s="50">
        <v>10</v>
      </c>
      <c r="R34" s="50">
        <v>10</v>
      </c>
      <c r="S34" s="50">
        <v>10</v>
      </c>
      <c r="T34" s="50">
        <v>10</v>
      </c>
      <c r="U34" s="50">
        <v>10</v>
      </c>
      <c r="V34" s="50">
        <v>10</v>
      </c>
      <c r="W34" s="50">
        <v>10</v>
      </c>
      <c r="X34" s="50">
        <v>10</v>
      </c>
      <c r="Y34" s="50">
        <v>10</v>
      </c>
      <c r="Z34" s="50">
        <v>10</v>
      </c>
      <c r="AA34" s="50">
        <v>10</v>
      </c>
      <c r="AB34" s="50">
        <v>10</v>
      </c>
      <c r="AC34" s="50">
        <v>10</v>
      </c>
      <c r="AD34" s="50">
        <v>10</v>
      </c>
      <c r="AE34" s="50">
        <v>10</v>
      </c>
      <c r="AF34" s="50">
        <v>10</v>
      </c>
      <c r="AG34" s="136">
        <v>10</v>
      </c>
      <c r="AH34" s="54">
        <f t="shared" si="2"/>
        <v>10</v>
      </c>
      <c r="AI34" s="55">
        <f t="shared" si="3"/>
        <v>10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5</v>
      </c>
      <c r="N35" s="50">
        <v>5</v>
      </c>
      <c r="O35" s="50">
        <v>5</v>
      </c>
      <c r="P35" s="50">
        <v>5</v>
      </c>
      <c r="Q35" s="50">
        <v>5</v>
      </c>
      <c r="R35" s="50">
        <v>5</v>
      </c>
      <c r="S35" s="50">
        <v>5</v>
      </c>
      <c r="T35" s="50">
        <v>5</v>
      </c>
      <c r="U35" s="50">
        <v>5</v>
      </c>
      <c r="V35" s="50">
        <v>5</v>
      </c>
      <c r="W35" s="50">
        <v>5</v>
      </c>
      <c r="X35" s="50">
        <v>5</v>
      </c>
      <c r="Y35" s="50">
        <v>5</v>
      </c>
      <c r="Z35" s="50">
        <v>5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136">
        <v>10</v>
      </c>
      <c r="AH35" s="54">
        <f t="shared" si="2"/>
        <v>5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300</v>
      </c>
      <c r="C36" s="62">
        <v>300</v>
      </c>
      <c r="D36" s="62">
        <v>300</v>
      </c>
      <c r="E36" s="62">
        <v>300</v>
      </c>
      <c r="F36" s="62">
        <v>300</v>
      </c>
      <c r="G36" s="62">
        <v>300</v>
      </c>
      <c r="H36" s="62">
        <v>300</v>
      </c>
      <c r="I36" s="62">
        <v>300</v>
      </c>
      <c r="J36" s="62">
        <v>300</v>
      </c>
      <c r="K36" s="62">
        <v>300</v>
      </c>
      <c r="L36" s="62">
        <v>300</v>
      </c>
      <c r="M36" s="62">
        <v>300</v>
      </c>
      <c r="N36" s="62">
        <v>300</v>
      </c>
      <c r="O36" s="62">
        <v>300</v>
      </c>
      <c r="P36" s="62">
        <v>300</v>
      </c>
      <c r="Q36" s="62">
        <v>300</v>
      </c>
      <c r="R36" s="62">
        <v>300</v>
      </c>
      <c r="S36" s="62">
        <v>300</v>
      </c>
      <c r="T36" s="62">
        <v>280</v>
      </c>
      <c r="U36" s="62">
        <v>280</v>
      </c>
      <c r="V36" s="62">
        <v>280</v>
      </c>
      <c r="W36" s="62">
        <v>280</v>
      </c>
      <c r="X36" s="62">
        <v>280</v>
      </c>
      <c r="Y36" s="62">
        <v>300</v>
      </c>
      <c r="Z36" s="62">
        <v>300</v>
      </c>
      <c r="AA36" s="62">
        <v>300</v>
      </c>
      <c r="AB36" s="62">
        <v>300</v>
      </c>
      <c r="AC36" s="62">
        <v>300</v>
      </c>
      <c r="AD36" s="62">
        <v>300</v>
      </c>
      <c r="AE36" s="62">
        <v>300</v>
      </c>
      <c r="AF36" s="62">
        <v>300</v>
      </c>
      <c r="AG36" s="136">
        <v>85</v>
      </c>
      <c r="AH36" s="54">
        <f t="shared" si="2"/>
        <v>300</v>
      </c>
      <c r="AI36" s="55">
        <f t="shared" si="3"/>
        <v>280</v>
      </c>
      <c r="AK36" s="56"/>
    </row>
    <row r="37" spans="1:88" ht="15.75" thickBot="1" x14ac:dyDescent="0.3">
      <c r="A37" s="63" t="s">
        <v>21</v>
      </c>
      <c r="B37" s="64"/>
      <c r="C37" s="64"/>
      <c r="D37" s="64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136">
        <v>240</v>
      </c>
      <c r="AH37" s="54">
        <f t="shared" si="2"/>
        <v>0</v>
      </c>
      <c r="AI37" s="55">
        <f t="shared" si="3"/>
        <v>0</v>
      </c>
      <c r="AK37" s="56"/>
    </row>
    <row r="38" spans="1:88" ht="15.75" thickBot="1" x14ac:dyDescent="0.3">
      <c r="A38" s="131" t="s">
        <v>22</v>
      </c>
      <c r="B38" s="66">
        <f t="shared" ref="B38" si="4">SUM(B11:B36)</f>
        <v>824</v>
      </c>
      <c r="C38" s="66">
        <f t="shared" ref="C38:AG38" si="5">SUM(C11:C36)</f>
        <v>802.1</v>
      </c>
      <c r="D38" s="66">
        <f t="shared" si="5"/>
        <v>802.2</v>
      </c>
      <c r="E38" s="66">
        <f t="shared" si="5"/>
        <v>798.2</v>
      </c>
      <c r="F38" s="66">
        <f t="shared" si="5"/>
        <v>798.2</v>
      </c>
      <c r="G38" s="66">
        <f t="shared" si="5"/>
        <v>798.2</v>
      </c>
      <c r="H38" s="66">
        <f t="shared" si="5"/>
        <v>798.2</v>
      </c>
      <c r="I38" s="66">
        <f t="shared" si="5"/>
        <v>798.2</v>
      </c>
      <c r="J38" s="66">
        <f t="shared" si="5"/>
        <v>802.1</v>
      </c>
      <c r="K38" s="66">
        <f t="shared" si="5"/>
        <v>802.2</v>
      </c>
      <c r="L38" s="66">
        <f t="shared" si="5"/>
        <v>801</v>
      </c>
      <c r="M38" s="66">
        <f t="shared" si="5"/>
        <v>794.1</v>
      </c>
      <c r="N38" s="66">
        <f t="shared" si="5"/>
        <v>782.59999999999991</v>
      </c>
      <c r="O38" s="66">
        <f t="shared" si="5"/>
        <v>773.8</v>
      </c>
      <c r="P38" s="66">
        <f t="shared" si="5"/>
        <v>766.1</v>
      </c>
      <c r="Q38" s="66">
        <f t="shared" si="5"/>
        <v>784.1</v>
      </c>
      <c r="R38" s="66">
        <f t="shared" si="5"/>
        <v>787.10000000000014</v>
      </c>
      <c r="S38" s="66">
        <f t="shared" si="5"/>
        <v>787.10000000000014</v>
      </c>
      <c r="T38" s="66">
        <f t="shared" si="5"/>
        <v>787.10000000000014</v>
      </c>
      <c r="U38" s="66">
        <f t="shared" si="5"/>
        <v>787.10000000000014</v>
      </c>
      <c r="V38" s="66">
        <f t="shared" si="5"/>
        <v>792.10000000000014</v>
      </c>
      <c r="W38" s="66">
        <f t="shared" si="5"/>
        <v>777.10000000000014</v>
      </c>
      <c r="X38" s="66">
        <f t="shared" si="5"/>
        <v>792.10000000000014</v>
      </c>
      <c r="Y38" s="66">
        <f t="shared" si="5"/>
        <v>812.10000000000014</v>
      </c>
      <c r="Z38" s="66">
        <f t="shared" si="5"/>
        <v>812.10000000000014</v>
      </c>
      <c r="AA38" s="66">
        <v>815.80000000000007</v>
      </c>
      <c r="AB38" s="66">
        <f t="shared" si="5"/>
        <v>790.80000000000007</v>
      </c>
      <c r="AC38" s="66">
        <f t="shared" si="5"/>
        <v>790.80000000000007</v>
      </c>
      <c r="AD38" s="66">
        <f t="shared" si="5"/>
        <v>790.80000000000007</v>
      </c>
      <c r="AE38" s="66">
        <f t="shared" si="5"/>
        <v>750.8</v>
      </c>
      <c r="AF38" s="66">
        <f t="shared" si="5"/>
        <v>758</v>
      </c>
      <c r="AG38" s="143">
        <f t="shared" si="5"/>
        <v>665.78</v>
      </c>
      <c r="AH38" s="54">
        <f t="shared" si="2"/>
        <v>824</v>
      </c>
      <c r="AI38" s="55">
        <f t="shared" si="3"/>
        <v>750.8</v>
      </c>
      <c r="AK38" s="56"/>
    </row>
    <row r="39" spans="1:88" x14ac:dyDescent="0.25">
      <c r="A39" s="159" t="s">
        <v>130</v>
      </c>
      <c r="B39" s="50">
        <v>456</v>
      </c>
      <c r="C39" s="50">
        <v>456</v>
      </c>
      <c r="D39" s="50">
        <v>456</v>
      </c>
      <c r="E39" s="50">
        <v>456</v>
      </c>
      <c r="F39" s="50">
        <v>456</v>
      </c>
      <c r="G39" s="50">
        <v>456</v>
      </c>
      <c r="H39" s="50">
        <v>456</v>
      </c>
      <c r="I39" s="50">
        <v>456</v>
      </c>
      <c r="J39" s="50">
        <v>456</v>
      </c>
      <c r="K39" s="50">
        <v>456</v>
      </c>
      <c r="L39" s="50">
        <v>456</v>
      </c>
      <c r="M39" s="50">
        <v>456</v>
      </c>
      <c r="N39" s="50">
        <v>456</v>
      </c>
      <c r="O39" s="50">
        <v>456</v>
      </c>
      <c r="P39" s="50">
        <v>456</v>
      </c>
      <c r="Q39" s="50">
        <v>456</v>
      </c>
      <c r="R39" s="50">
        <v>456</v>
      </c>
      <c r="S39" s="50">
        <v>456</v>
      </c>
      <c r="T39" s="50">
        <v>456</v>
      </c>
      <c r="U39" s="50">
        <v>456</v>
      </c>
      <c r="V39" s="50">
        <v>456</v>
      </c>
      <c r="W39" s="50">
        <v>456</v>
      </c>
      <c r="X39" s="50">
        <v>456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456</v>
      </c>
      <c r="AF39" s="50">
        <v>456</v>
      </c>
      <c r="AG39" s="135">
        <v>456</v>
      </c>
      <c r="AH39" s="54">
        <f t="shared" si="2"/>
        <v>456</v>
      </c>
      <c r="AI39" s="55">
        <f t="shared" si="3"/>
        <v>456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f t="shared" ref="B42" si="6">SUM(B39:B41)</f>
        <v>538</v>
      </c>
      <c r="C42" s="66">
        <f t="shared" ref="C42:AG42" si="7">SUM(C39:C41)</f>
        <v>538</v>
      </c>
      <c r="D42" s="66">
        <f t="shared" si="7"/>
        <v>538</v>
      </c>
      <c r="E42" s="66">
        <f t="shared" si="7"/>
        <v>538</v>
      </c>
      <c r="F42" s="66">
        <f t="shared" si="7"/>
        <v>538</v>
      </c>
      <c r="G42" s="66">
        <f t="shared" si="7"/>
        <v>538</v>
      </c>
      <c r="H42" s="66">
        <f t="shared" si="7"/>
        <v>538</v>
      </c>
      <c r="I42" s="66">
        <f t="shared" si="7"/>
        <v>538</v>
      </c>
      <c r="J42" s="66">
        <f t="shared" si="7"/>
        <v>538</v>
      </c>
      <c r="K42" s="66">
        <f t="shared" si="7"/>
        <v>538</v>
      </c>
      <c r="L42" s="66">
        <f t="shared" si="7"/>
        <v>538</v>
      </c>
      <c r="M42" s="66">
        <f t="shared" si="7"/>
        <v>538</v>
      </c>
      <c r="N42" s="66">
        <f t="shared" si="7"/>
        <v>538</v>
      </c>
      <c r="O42" s="66">
        <f t="shared" si="7"/>
        <v>538</v>
      </c>
      <c r="P42" s="66">
        <f t="shared" si="7"/>
        <v>538</v>
      </c>
      <c r="Q42" s="66">
        <f t="shared" si="7"/>
        <v>538</v>
      </c>
      <c r="R42" s="66">
        <f t="shared" si="7"/>
        <v>538</v>
      </c>
      <c r="S42" s="66">
        <f t="shared" si="7"/>
        <v>538</v>
      </c>
      <c r="T42" s="66">
        <f t="shared" si="7"/>
        <v>538</v>
      </c>
      <c r="U42" s="66">
        <f t="shared" si="7"/>
        <v>538</v>
      </c>
      <c r="V42" s="66">
        <f t="shared" si="7"/>
        <v>538</v>
      </c>
      <c r="W42" s="66">
        <f t="shared" si="7"/>
        <v>538</v>
      </c>
      <c r="X42" s="66">
        <f t="shared" si="7"/>
        <v>538</v>
      </c>
      <c r="Y42" s="66">
        <f t="shared" si="7"/>
        <v>538</v>
      </c>
      <c r="Z42" s="66">
        <f t="shared" si="7"/>
        <v>538</v>
      </c>
      <c r="AA42" s="66">
        <v>538</v>
      </c>
      <c r="AB42" s="66">
        <f t="shared" si="7"/>
        <v>538</v>
      </c>
      <c r="AC42" s="66">
        <f t="shared" si="7"/>
        <v>538</v>
      </c>
      <c r="AD42" s="66">
        <f t="shared" si="7"/>
        <v>538</v>
      </c>
      <c r="AE42" s="66">
        <f t="shared" si="7"/>
        <v>538</v>
      </c>
      <c r="AF42" s="66">
        <f t="shared" si="7"/>
        <v>538</v>
      </c>
      <c r="AG42" s="143">
        <f t="shared" si="7"/>
        <v>538.1</v>
      </c>
      <c r="AH42" s="54">
        <f t="shared" si="2"/>
        <v>538</v>
      </c>
      <c r="AI42" s="55">
        <f t="shared" si="3"/>
        <v>538</v>
      </c>
      <c r="AK42" s="56"/>
    </row>
    <row r="43" spans="1:88" x14ac:dyDescent="0.25">
      <c r="A43" s="57" t="s">
        <v>23</v>
      </c>
      <c r="B43" s="50">
        <v>138.80000000000001</v>
      </c>
      <c r="C43" s="50">
        <v>139.1</v>
      </c>
      <c r="D43" s="50">
        <v>138</v>
      </c>
      <c r="E43" s="50">
        <v>138</v>
      </c>
      <c r="F43" s="50">
        <v>138</v>
      </c>
      <c r="G43" s="50">
        <v>138</v>
      </c>
      <c r="H43" s="50">
        <v>138</v>
      </c>
      <c r="I43" s="50">
        <v>138</v>
      </c>
      <c r="J43" s="50">
        <v>138</v>
      </c>
      <c r="K43" s="50">
        <v>138</v>
      </c>
      <c r="L43" s="50">
        <v>139.19999999999999</v>
      </c>
      <c r="M43" s="50">
        <v>138.69999999999999</v>
      </c>
      <c r="N43" s="50">
        <v>138.30000000000001</v>
      </c>
      <c r="O43" s="50">
        <v>138.30000000000001</v>
      </c>
      <c r="P43" s="50">
        <v>140.80000000000001</v>
      </c>
      <c r="Q43" s="50">
        <v>140.19999999999999</v>
      </c>
      <c r="R43" s="50">
        <v>139.1</v>
      </c>
      <c r="S43" s="50">
        <v>139.1</v>
      </c>
      <c r="T43" s="50">
        <v>139.1</v>
      </c>
      <c r="U43" s="50">
        <v>139.1</v>
      </c>
      <c r="V43" s="50">
        <v>139.1</v>
      </c>
      <c r="W43" s="50">
        <v>139.1</v>
      </c>
      <c r="X43" s="50">
        <v>142</v>
      </c>
      <c r="Y43" s="50">
        <v>139.1</v>
      </c>
      <c r="Z43" s="50">
        <v>139.1</v>
      </c>
      <c r="AA43" s="50">
        <v>140</v>
      </c>
      <c r="AB43" s="50">
        <v>140</v>
      </c>
      <c r="AC43" s="50">
        <v>140</v>
      </c>
      <c r="AD43" s="50">
        <v>140</v>
      </c>
      <c r="AE43" s="50">
        <v>140</v>
      </c>
      <c r="AF43" s="50">
        <v>140</v>
      </c>
      <c r="AG43" s="135">
        <v>144</v>
      </c>
      <c r="AH43" s="54">
        <f t="shared" si="2"/>
        <v>142</v>
      </c>
      <c r="AI43" s="55">
        <f t="shared" si="3"/>
        <v>138</v>
      </c>
      <c r="AK43" s="56"/>
    </row>
    <row r="44" spans="1:88" x14ac:dyDescent="0.25">
      <c r="A44" s="60" t="s">
        <v>24</v>
      </c>
      <c r="B44" s="48">
        <v>73.599999999999994</v>
      </c>
      <c r="C44" s="48">
        <v>73.3</v>
      </c>
      <c r="D44" s="48">
        <v>72.5</v>
      </c>
      <c r="E44" s="48">
        <v>72.2</v>
      </c>
      <c r="F44" s="48">
        <v>72.2</v>
      </c>
      <c r="G44" s="48">
        <v>72.2</v>
      </c>
      <c r="H44" s="48">
        <v>72.2</v>
      </c>
      <c r="I44" s="48">
        <v>72.2</v>
      </c>
      <c r="J44" s="48">
        <v>72.2</v>
      </c>
      <c r="K44" s="48">
        <v>73.7</v>
      </c>
      <c r="L44" s="48">
        <v>72.2</v>
      </c>
      <c r="M44" s="50">
        <v>71.599999999999994</v>
      </c>
      <c r="N44" s="50">
        <v>70.599999999999994</v>
      </c>
      <c r="O44" s="50">
        <v>70.400000000000006</v>
      </c>
      <c r="P44" s="50">
        <v>69.5</v>
      </c>
      <c r="Q44" s="50">
        <v>71.5</v>
      </c>
      <c r="R44" s="50">
        <v>72.099999999999994</v>
      </c>
      <c r="S44" s="50">
        <v>72.099999999999994</v>
      </c>
      <c r="T44" s="50">
        <v>72.099999999999994</v>
      </c>
      <c r="U44" s="50">
        <v>72.099999999999994</v>
      </c>
      <c r="V44" s="50">
        <v>72.099999999999994</v>
      </c>
      <c r="W44" s="50">
        <v>72.099999999999994</v>
      </c>
      <c r="X44" s="50">
        <v>72.099999999999994</v>
      </c>
      <c r="Y44" s="50">
        <v>72.099999999999994</v>
      </c>
      <c r="Z44" s="50">
        <v>72.099999999999994</v>
      </c>
      <c r="AA44" s="48">
        <v>70.599999999999994</v>
      </c>
      <c r="AB44" s="48">
        <v>70.599999999999994</v>
      </c>
      <c r="AC44" s="48">
        <v>73</v>
      </c>
      <c r="AD44" s="48">
        <v>73</v>
      </c>
      <c r="AE44" s="48">
        <v>70.599999999999994</v>
      </c>
      <c r="AF44" s="48">
        <v>73.599999999999994</v>
      </c>
      <c r="AG44" s="136">
        <v>70</v>
      </c>
      <c r="AH44" s="54">
        <f t="shared" si="2"/>
        <v>73.7</v>
      </c>
      <c r="AI44" s="55">
        <f t="shared" si="3"/>
        <v>69.5</v>
      </c>
      <c r="AK44" s="56"/>
    </row>
    <row r="45" spans="1:88" x14ac:dyDescent="0.25">
      <c r="A45" s="60" t="s">
        <v>25</v>
      </c>
      <c r="B45" s="48">
        <v>62.9</v>
      </c>
      <c r="C45" s="48">
        <v>62.5</v>
      </c>
      <c r="D45" s="48">
        <v>62.6</v>
      </c>
      <c r="E45" s="48">
        <v>62.6</v>
      </c>
      <c r="F45" s="48">
        <v>62.6</v>
      </c>
      <c r="G45" s="48">
        <v>62.6</v>
      </c>
      <c r="H45" s="48">
        <v>62.6</v>
      </c>
      <c r="I45" s="48">
        <v>62.6</v>
      </c>
      <c r="J45" s="48">
        <v>62.6</v>
      </c>
      <c r="K45" s="48">
        <v>60.9</v>
      </c>
      <c r="L45" s="48">
        <v>60.9</v>
      </c>
      <c r="M45" s="50">
        <v>61.5</v>
      </c>
      <c r="N45" s="50">
        <v>61.7</v>
      </c>
      <c r="O45" s="50">
        <v>62.2</v>
      </c>
      <c r="P45" s="50">
        <v>62.3</v>
      </c>
      <c r="Q45" s="50">
        <v>62.5</v>
      </c>
      <c r="R45" s="50">
        <v>62.2</v>
      </c>
      <c r="S45" s="50">
        <v>62.2</v>
      </c>
      <c r="T45" s="50">
        <v>62.2</v>
      </c>
      <c r="U45" s="50">
        <v>62.2</v>
      </c>
      <c r="V45" s="50">
        <v>62.2</v>
      </c>
      <c r="W45" s="50">
        <v>62.2</v>
      </c>
      <c r="X45" s="50">
        <v>62.2</v>
      </c>
      <c r="Y45" s="50">
        <v>62.2</v>
      </c>
      <c r="Z45" s="50">
        <v>62.2</v>
      </c>
      <c r="AA45" s="48">
        <v>63.3</v>
      </c>
      <c r="AB45" s="48">
        <v>63.3</v>
      </c>
      <c r="AC45" s="48">
        <v>63.3</v>
      </c>
      <c r="AD45" s="48">
        <v>63.3</v>
      </c>
      <c r="AE45" s="48">
        <v>63.3</v>
      </c>
      <c r="AF45" s="48">
        <v>63</v>
      </c>
      <c r="AG45" s="136">
        <v>69</v>
      </c>
      <c r="AH45" s="54">
        <f t="shared" si="2"/>
        <v>63.3</v>
      </c>
      <c r="AI45" s="55">
        <f t="shared" si="3"/>
        <v>60.9</v>
      </c>
      <c r="AK45" s="56"/>
    </row>
    <row r="46" spans="1:88" x14ac:dyDescent="0.25">
      <c r="A46" s="60" t="s">
        <v>26</v>
      </c>
      <c r="B46" s="62">
        <v>60.2</v>
      </c>
      <c r="C46" s="62">
        <v>60.2</v>
      </c>
      <c r="D46" s="62">
        <v>60</v>
      </c>
      <c r="E46" s="62">
        <v>60</v>
      </c>
      <c r="F46" s="62">
        <v>60</v>
      </c>
      <c r="G46" s="62">
        <v>60</v>
      </c>
      <c r="H46" s="62">
        <v>60</v>
      </c>
      <c r="I46" s="62">
        <v>60</v>
      </c>
      <c r="J46" s="62">
        <v>60</v>
      </c>
      <c r="K46" s="62">
        <v>60.4</v>
      </c>
      <c r="L46" s="62">
        <v>60.4</v>
      </c>
      <c r="M46" s="50">
        <v>60.4</v>
      </c>
      <c r="N46" s="50">
        <v>60.4</v>
      </c>
      <c r="O46" s="50">
        <v>60.4</v>
      </c>
      <c r="P46" s="50">
        <v>60.4</v>
      </c>
      <c r="Q46" s="50">
        <v>60.2</v>
      </c>
      <c r="R46" s="50">
        <v>60.2</v>
      </c>
      <c r="S46" s="50">
        <v>60.2</v>
      </c>
      <c r="T46" s="50">
        <v>60.2</v>
      </c>
      <c r="U46" s="50">
        <v>60.2</v>
      </c>
      <c r="V46" s="50">
        <v>60.2</v>
      </c>
      <c r="W46" s="50">
        <v>60.2</v>
      </c>
      <c r="X46" s="50">
        <v>60.2</v>
      </c>
      <c r="Y46" s="50">
        <v>60.2</v>
      </c>
      <c r="Z46" s="50">
        <v>60.2</v>
      </c>
      <c r="AA46" s="48">
        <v>60.2</v>
      </c>
      <c r="AB46" s="48">
        <v>60.2</v>
      </c>
      <c r="AC46" s="48">
        <v>60.2</v>
      </c>
      <c r="AD46" s="48">
        <v>60.2</v>
      </c>
      <c r="AE46" s="48">
        <v>60.2</v>
      </c>
      <c r="AF46" s="62">
        <v>60.2</v>
      </c>
      <c r="AG46" s="136">
        <v>60</v>
      </c>
      <c r="AH46" s="54">
        <f t="shared" si="2"/>
        <v>60.4</v>
      </c>
      <c r="AI46" s="55">
        <f t="shared" si="3"/>
        <v>60</v>
      </c>
      <c r="AK46" s="56"/>
    </row>
    <row r="47" spans="1:88" x14ac:dyDescent="0.25">
      <c r="A47" s="60" t="s">
        <v>27</v>
      </c>
      <c r="B47" s="62">
        <v>28.7</v>
      </c>
      <c r="C47" s="62">
        <v>28.7</v>
      </c>
      <c r="D47" s="62">
        <v>28.6</v>
      </c>
      <c r="E47" s="62">
        <v>28.6</v>
      </c>
      <c r="F47" s="62">
        <v>28.6</v>
      </c>
      <c r="G47" s="62">
        <v>28.6</v>
      </c>
      <c r="H47" s="62">
        <v>28.6</v>
      </c>
      <c r="I47" s="62">
        <v>28.6</v>
      </c>
      <c r="J47" s="62">
        <v>28.6</v>
      </c>
      <c r="K47" s="62">
        <v>29</v>
      </c>
      <c r="L47" s="62">
        <v>28.6</v>
      </c>
      <c r="M47" s="50">
        <v>28.6</v>
      </c>
      <c r="N47" s="50">
        <v>28.6</v>
      </c>
      <c r="O47" s="50">
        <v>28.6</v>
      </c>
      <c r="P47" s="50">
        <v>28.5</v>
      </c>
      <c r="Q47" s="50">
        <v>28.5</v>
      </c>
      <c r="R47" s="50">
        <v>28.5</v>
      </c>
      <c r="S47" s="50">
        <v>28.5</v>
      </c>
      <c r="T47" s="50">
        <v>28.5</v>
      </c>
      <c r="U47" s="50">
        <v>28.5</v>
      </c>
      <c r="V47" s="50">
        <v>28.5</v>
      </c>
      <c r="W47" s="50">
        <v>28.5</v>
      </c>
      <c r="X47" s="50">
        <v>28.5</v>
      </c>
      <c r="Y47" s="50">
        <v>28.5</v>
      </c>
      <c r="Z47" s="50">
        <v>28.5</v>
      </c>
      <c r="AA47" s="48">
        <v>28.5</v>
      </c>
      <c r="AB47" s="48">
        <v>28.5</v>
      </c>
      <c r="AC47" s="48">
        <v>28.5</v>
      </c>
      <c r="AD47" s="48">
        <v>28.5</v>
      </c>
      <c r="AE47" s="48">
        <v>28.5</v>
      </c>
      <c r="AF47" s="62">
        <v>28.5</v>
      </c>
      <c r="AG47" s="136">
        <v>30</v>
      </c>
      <c r="AH47" s="54">
        <f t="shared" si="2"/>
        <v>29</v>
      </c>
      <c r="AI47" s="55">
        <f t="shared" si="3"/>
        <v>28.5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48">
        <v>0</v>
      </c>
      <c r="M48" s="50">
        <v>8</v>
      </c>
      <c r="N48" s="50">
        <v>8</v>
      </c>
      <c r="O48" s="50">
        <v>8</v>
      </c>
      <c r="P48" s="50">
        <v>8</v>
      </c>
      <c r="Q48" s="50">
        <v>8</v>
      </c>
      <c r="R48" s="50">
        <v>8</v>
      </c>
      <c r="S48" s="50">
        <v>8</v>
      </c>
      <c r="T48" s="50">
        <v>8</v>
      </c>
      <c r="U48" s="50">
        <v>8</v>
      </c>
      <c r="V48" s="50">
        <v>8</v>
      </c>
      <c r="W48" s="50">
        <v>8</v>
      </c>
      <c r="X48" s="50">
        <v>8</v>
      </c>
      <c r="Y48" s="50">
        <v>8</v>
      </c>
      <c r="Z48" s="50">
        <v>13.8</v>
      </c>
      <c r="AA48" s="50">
        <v>0</v>
      </c>
      <c r="AB48" s="50">
        <v>0</v>
      </c>
      <c r="AC48" s="50">
        <v>0</v>
      </c>
      <c r="AD48" s="50">
        <v>0</v>
      </c>
      <c r="AE48" s="50">
        <v>0</v>
      </c>
      <c r="AF48" s="48">
        <v>0</v>
      </c>
      <c r="AG48" s="136">
        <v>25</v>
      </c>
      <c r="AH48" s="54">
        <f t="shared" si="2"/>
        <v>13.8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15.3</v>
      </c>
      <c r="C49" s="48">
        <v>14.6</v>
      </c>
      <c r="D49" s="48">
        <v>14.7</v>
      </c>
      <c r="E49" s="48">
        <v>14.7</v>
      </c>
      <c r="F49" s="48">
        <v>9.3000000000000007</v>
      </c>
      <c r="G49" s="48">
        <v>2.5</v>
      </c>
      <c r="H49" s="48">
        <v>3.3</v>
      </c>
      <c r="I49" s="48">
        <v>0.7</v>
      </c>
      <c r="J49" s="48">
        <v>0</v>
      </c>
      <c r="K49" s="48">
        <v>0</v>
      </c>
      <c r="L49" s="48">
        <v>0</v>
      </c>
      <c r="M49" s="50">
        <v>0</v>
      </c>
      <c r="N49" s="50">
        <v>0</v>
      </c>
      <c r="O49" s="50">
        <v>0</v>
      </c>
      <c r="P49" s="50">
        <v>0</v>
      </c>
      <c r="Q49" s="50">
        <v>0</v>
      </c>
      <c r="R49" s="50">
        <v>0</v>
      </c>
      <c r="S49" s="50">
        <v>0</v>
      </c>
      <c r="T49" s="50">
        <v>0</v>
      </c>
      <c r="U49" s="50">
        <v>0</v>
      </c>
      <c r="V49" s="50">
        <v>0</v>
      </c>
      <c r="W49" s="50">
        <v>0</v>
      </c>
      <c r="X49" s="50">
        <v>0</v>
      </c>
      <c r="Y49" s="50">
        <v>0</v>
      </c>
      <c r="Z49" s="50">
        <v>0</v>
      </c>
      <c r="AA49" s="50">
        <v>13.9</v>
      </c>
      <c r="AB49" s="50">
        <v>13.9</v>
      </c>
      <c r="AC49" s="50">
        <v>13.9</v>
      </c>
      <c r="AD49" s="50">
        <v>13.9</v>
      </c>
      <c r="AE49" s="50">
        <v>13.9</v>
      </c>
      <c r="AF49" s="48">
        <v>13</v>
      </c>
      <c r="AG49" s="136">
        <v>24</v>
      </c>
      <c r="AH49" s="54">
        <f t="shared" si="2"/>
        <v>15.3</v>
      </c>
      <c r="AI49" s="55">
        <f t="shared" si="3"/>
        <v>0</v>
      </c>
      <c r="AK49" s="56"/>
    </row>
    <row r="50" spans="1:41" x14ac:dyDescent="0.25">
      <c r="A50" s="60" t="s">
        <v>30</v>
      </c>
      <c r="B50" s="48">
        <v>3</v>
      </c>
      <c r="C50" s="48">
        <v>3</v>
      </c>
      <c r="D50" s="48">
        <v>3</v>
      </c>
      <c r="E50" s="48">
        <v>3</v>
      </c>
      <c r="F50" s="48">
        <v>3</v>
      </c>
      <c r="G50" s="48">
        <v>3</v>
      </c>
      <c r="H50" s="48">
        <v>3</v>
      </c>
      <c r="I50" s="48">
        <v>3</v>
      </c>
      <c r="J50" s="48">
        <v>3</v>
      </c>
      <c r="K50" s="48">
        <v>3</v>
      </c>
      <c r="L50" s="48">
        <v>3</v>
      </c>
      <c r="M50" s="50">
        <v>3</v>
      </c>
      <c r="N50" s="50">
        <v>3</v>
      </c>
      <c r="O50" s="50">
        <v>3</v>
      </c>
      <c r="P50" s="50">
        <v>3</v>
      </c>
      <c r="Q50" s="50">
        <v>3</v>
      </c>
      <c r="R50" s="50">
        <v>3</v>
      </c>
      <c r="S50" s="50">
        <v>3</v>
      </c>
      <c r="T50" s="50">
        <v>3</v>
      </c>
      <c r="U50" s="50">
        <v>3</v>
      </c>
      <c r="V50" s="50">
        <v>3</v>
      </c>
      <c r="W50" s="50">
        <v>3</v>
      </c>
      <c r="X50" s="50">
        <v>3</v>
      </c>
      <c r="Y50" s="50">
        <v>3</v>
      </c>
      <c r="Z50" s="50">
        <v>3</v>
      </c>
      <c r="AA50" s="50">
        <v>3</v>
      </c>
      <c r="AB50" s="50">
        <v>3</v>
      </c>
      <c r="AC50" s="50">
        <v>3</v>
      </c>
      <c r="AD50" s="50">
        <v>3</v>
      </c>
      <c r="AE50" s="50">
        <v>3</v>
      </c>
      <c r="AF50" s="48">
        <v>3</v>
      </c>
      <c r="AG50" s="136">
        <v>15</v>
      </c>
      <c r="AH50" s="54">
        <f t="shared" si="2"/>
        <v>3</v>
      </c>
      <c r="AI50" s="55">
        <f t="shared" si="3"/>
        <v>3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11.7</v>
      </c>
      <c r="C51" s="48">
        <v>11.4</v>
      </c>
      <c r="D51" s="48">
        <v>11.3</v>
      </c>
      <c r="E51" s="48">
        <v>11.3</v>
      </c>
      <c r="F51" s="48">
        <v>6.2</v>
      </c>
      <c r="G51" s="48">
        <v>3.1</v>
      </c>
      <c r="H51" s="48">
        <v>6.5</v>
      </c>
      <c r="I51" s="48">
        <v>2.2000000000000002</v>
      </c>
      <c r="J51" s="48">
        <v>1.7</v>
      </c>
      <c r="K51" s="48">
        <v>1.4</v>
      </c>
      <c r="L51" s="48">
        <v>0</v>
      </c>
      <c r="M51" s="50">
        <v>0</v>
      </c>
      <c r="N51" s="50">
        <v>0</v>
      </c>
      <c r="O51" s="50">
        <v>0</v>
      </c>
      <c r="P51" s="50">
        <v>0</v>
      </c>
      <c r="Q51" s="50">
        <v>0</v>
      </c>
      <c r="R51" s="50">
        <v>0</v>
      </c>
      <c r="S51" s="50">
        <v>0</v>
      </c>
      <c r="T51" s="50">
        <v>0</v>
      </c>
      <c r="U51" s="50">
        <v>0</v>
      </c>
      <c r="V51" s="50">
        <v>0</v>
      </c>
      <c r="W51" s="50">
        <v>0</v>
      </c>
      <c r="X51" s="50">
        <v>0</v>
      </c>
      <c r="Y51" s="50">
        <v>0</v>
      </c>
      <c r="Z51" s="50">
        <v>5.7</v>
      </c>
      <c r="AA51" s="50">
        <v>10</v>
      </c>
      <c r="AB51" s="50">
        <v>10</v>
      </c>
      <c r="AC51" s="50">
        <v>10</v>
      </c>
      <c r="AD51" s="50">
        <v>10</v>
      </c>
      <c r="AE51" s="50">
        <v>10</v>
      </c>
      <c r="AF51" s="48">
        <v>9</v>
      </c>
      <c r="AG51" s="136">
        <v>14.1</v>
      </c>
      <c r="AH51" s="54">
        <f t="shared" si="2"/>
        <v>11.7</v>
      </c>
      <c r="AI51" s="55">
        <f t="shared" si="3"/>
        <v>0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10.3</v>
      </c>
      <c r="C52" s="48">
        <v>8.8000000000000007</v>
      </c>
      <c r="D52" s="48">
        <v>14.1</v>
      </c>
      <c r="E52" s="48">
        <v>14.1</v>
      </c>
      <c r="F52" s="48">
        <v>14.1</v>
      </c>
      <c r="G52" s="48">
        <v>13.3</v>
      </c>
      <c r="H52" s="48">
        <v>13.3</v>
      </c>
      <c r="I52" s="48">
        <v>14</v>
      </c>
      <c r="J52" s="48">
        <v>14</v>
      </c>
      <c r="K52" s="48">
        <v>13.9</v>
      </c>
      <c r="L52" s="48">
        <v>8.1</v>
      </c>
      <c r="M52" s="50">
        <v>13.1</v>
      </c>
      <c r="N52" s="50">
        <v>13.1</v>
      </c>
      <c r="O52" s="50">
        <v>13.1</v>
      </c>
      <c r="P52" s="50">
        <v>13.1</v>
      </c>
      <c r="Q52" s="50">
        <v>13.1</v>
      </c>
      <c r="R52" s="50">
        <v>13.1</v>
      </c>
      <c r="S52" s="50">
        <v>13.1</v>
      </c>
      <c r="T52" s="50">
        <v>13.1</v>
      </c>
      <c r="U52" s="50">
        <v>13.1</v>
      </c>
      <c r="V52" s="50">
        <v>13.1</v>
      </c>
      <c r="W52" s="50">
        <v>4</v>
      </c>
      <c r="X52" s="50">
        <v>4</v>
      </c>
      <c r="Y52" s="50">
        <v>4</v>
      </c>
      <c r="Z52" s="50">
        <v>14</v>
      </c>
      <c r="AA52" s="50">
        <v>14</v>
      </c>
      <c r="AB52" s="50">
        <v>14</v>
      </c>
      <c r="AC52" s="50">
        <v>14</v>
      </c>
      <c r="AD52" s="50">
        <v>14</v>
      </c>
      <c r="AE52" s="50">
        <v>14</v>
      </c>
      <c r="AF52" s="48">
        <v>13.7</v>
      </c>
      <c r="AG52" s="136">
        <v>14</v>
      </c>
      <c r="AH52" s="54">
        <f t="shared" si="2"/>
        <v>14.1</v>
      </c>
      <c r="AI52" s="55">
        <f t="shared" si="3"/>
        <v>4</v>
      </c>
      <c r="AK52" s="56"/>
    </row>
    <row r="53" spans="1:41" x14ac:dyDescent="0.25">
      <c r="A53" s="60" t="s">
        <v>33</v>
      </c>
      <c r="B53" s="48">
        <v>9.1999999999999993</v>
      </c>
      <c r="C53" s="48">
        <v>9.3000000000000007</v>
      </c>
      <c r="D53" s="48">
        <v>9.3000000000000007</v>
      </c>
      <c r="E53" s="48">
        <v>9.3000000000000007</v>
      </c>
      <c r="F53" s="48">
        <v>9.3000000000000007</v>
      </c>
      <c r="G53" s="48">
        <v>9.3000000000000007</v>
      </c>
      <c r="H53" s="48">
        <v>9.3000000000000007</v>
      </c>
      <c r="I53" s="48">
        <v>9</v>
      </c>
      <c r="J53" s="48">
        <v>9</v>
      </c>
      <c r="K53" s="48">
        <v>9</v>
      </c>
      <c r="L53" s="48">
        <v>9</v>
      </c>
      <c r="M53" s="50">
        <v>9.3000000000000007</v>
      </c>
      <c r="N53" s="50">
        <v>9.3000000000000007</v>
      </c>
      <c r="O53" s="50">
        <v>9.3000000000000007</v>
      </c>
      <c r="P53" s="50">
        <v>9.3000000000000007</v>
      </c>
      <c r="Q53" s="50">
        <v>9.3000000000000007</v>
      </c>
      <c r="R53" s="50">
        <v>9.3000000000000007</v>
      </c>
      <c r="S53" s="50">
        <v>9.3000000000000007</v>
      </c>
      <c r="T53" s="50">
        <v>9.3000000000000007</v>
      </c>
      <c r="U53" s="50">
        <v>9.3000000000000007</v>
      </c>
      <c r="V53" s="50">
        <v>9.3000000000000007</v>
      </c>
      <c r="W53" s="50">
        <v>9.3000000000000007</v>
      </c>
      <c r="X53" s="50">
        <v>9.3000000000000007</v>
      </c>
      <c r="Y53" s="50">
        <v>9.3000000000000007</v>
      </c>
      <c r="Z53" s="50">
        <v>9.3000000000000007</v>
      </c>
      <c r="AA53" s="50">
        <v>9.1</v>
      </c>
      <c r="AB53" s="50">
        <v>9.1</v>
      </c>
      <c r="AC53" s="50">
        <v>9.1</v>
      </c>
      <c r="AD53" s="50">
        <v>9.1</v>
      </c>
      <c r="AE53" s="50">
        <v>9.1</v>
      </c>
      <c r="AF53" s="48">
        <v>9.1</v>
      </c>
      <c r="AG53" s="136">
        <v>10.050000000000001</v>
      </c>
      <c r="AH53" s="54">
        <f t="shared" si="2"/>
        <v>9.3000000000000007</v>
      </c>
      <c r="AI53" s="55">
        <f t="shared" si="3"/>
        <v>9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50">
        <v>6.2</v>
      </c>
      <c r="N54" s="50">
        <v>6.2</v>
      </c>
      <c r="O54" s="50">
        <v>6.2</v>
      </c>
      <c r="P54" s="50">
        <v>6.2</v>
      </c>
      <c r="Q54" s="50">
        <v>6.2</v>
      </c>
      <c r="R54" s="50">
        <v>6.2</v>
      </c>
      <c r="S54" s="50">
        <v>6.2</v>
      </c>
      <c r="T54" s="50">
        <v>6.2</v>
      </c>
      <c r="U54" s="50">
        <v>6.2</v>
      </c>
      <c r="V54" s="50">
        <v>6.2</v>
      </c>
      <c r="W54" s="50">
        <v>6.2</v>
      </c>
      <c r="X54" s="50">
        <v>6.2</v>
      </c>
      <c r="Y54" s="50">
        <v>6.2</v>
      </c>
      <c r="Z54" s="50">
        <v>6.2</v>
      </c>
      <c r="AA54" s="50">
        <v>6.2</v>
      </c>
      <c r="AB54" s="50">
        <v>6.2</v>
      </c>
      <c r="AC54" s="50">
        <v>6.2</v>
      </c>
      <c r="AD54" s="50">
        <v>6.2</v>
      </c>
      <c r="AE54" s="50">
        <v>6.2</v>
      </c>
      <c r="AF54" s="48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8">AG220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 t="shared" ref="B56" si="9">SUM(B43:B55)</f>
        <v>423.44</v>
      </c>
      <c r="C56" s="66">
        <f t="shared" ref="C56:AG56" si="10">SUM(C43:C55)</f>
        <v>420.64</v>
      </c>
      <c r="D56" s="66">
        <f t="shared" si="10"/>
        <v>423.84000000000009</v>
      </c>
      <c r="E56" s="66">
        <f t="shared" si="10"/>
        <v>423.54000000000008</v>
      </c>
      <c r="F56" s="66">
        <f t="shared" si="10"/>
        <v>413.04000000000008</v>
      </c>
      <c r="G56" s="66">
        <f t="shared" si="10"/>
        <v>402.34000000000009</v>
      </c>
      <c r="H56" s="66">
        <f t="shared" si="10"/>
        <v>406.54000000000008</v>
      </c>
      <c r="I56" s="66">
        <f t="shared" si="10"/>
        <v>400.04</v>
      </c>
      <c r="J56" s="66">
        <f t="shared" si="10"/>
        <v>398.84000000000003</v>
      </c>
      <c r="K56" s="66">
        <f t="shared" si="10"/>
        <v>399.03999999999991</v>
      </c>
      <c r="L56" s="66">
        <f t="shared" si="10"/>
        <v>391.14</v>
      </c>
      <c r="M56" s="66">
        <f t="shared" si="10"/>
        <v>403.94</v>
      </c>
      <c r="N56" s="66">
        <f t="shared" si="10"/>
        <v>402.74000000000007</v>
      </c>
      <c r="O56" s="66">
        <f t="shared" si="10"/>
        <v>403.04000000000008</v>
      </c>
      <c r="P56" s="66">
        <f t="shared" si="10"/>
        <v>404.64000000000004</v>
      </c>
      <c r="Q56" s="66">
        <f t="shared" si="10"/>
        <v>406.04</v>
      </c>
      <c r="R56" s="66">
        <f t="shared" si="10"/>
        <v>405.24</v>
      </c>
      <c r="S56" s="66">
        <f t="shared" si="10"/>
        <v>405.24</v>
      </c>
      <c r="T56" s="66">
        <f t="shared" si="10"/>
        <v>405.24</v>
      </c>
      <c r="U56" s="66">
        <f t="shared" si="10"/>
        <v>405.24</v>
      </c>
      <c r="V56" s="66">
        <f t="shared" si="10"/>
        <v>405.24</v>
      </c>
      <c r="W56" s="66">
        <f t="shared" si="10"/>
        <v>396.14</v>
      </c>
      <c r="X56" s="66">
        <f t="shared" si="10"/>
        <v>399.04</v>
      </c>
      <c r="Y56" s="66">
        <f t="shared" si="10"/>
        <v>396.14</v>
      </c>
      <c r="Z56" s="66">
        <f t="shared" si="10"/>
        <v>417.64</v>
      </c>
      <c r="AA56" s="66">
        <v>422.53999999999996</v>
      </c>
      <c r="AB56" s="66">
        <f t="shared" si="10"/>
        <v>422.34</v>
      </c>
      <c r="AC56" s="66">
        <f t="shared" si="10"/>
        <v>424.74</v>
      </c>
      <c r="AD56" s="66">
        <f t="shared" si="10"/>
        <v>424.74</v>
      </c>
      <c r="AE56" s="66">
        <f t="shared" si="10"/>
        <v>422.34</v>
      </c>
      <c r="AF56" s="66">
        <f t="shared" si="10"/>
        <v>422.84000000000003</v>
      </c>
      <c r="AG56" s="143">
        <f t="shared" si="10"/>
        <v>489.91</v>
      </c>
      <c r="AH56" s="54">
        <f t="shared" si="2"/>
        <v>424.74</v>
      </c>
      <c r="AI56" s="55">
        <f t="shared" si="3"/>
        <v>391.14</v>
      </c>
      <c r="AK56" s="56"/>
    </row>
    <row r="57" spans="1:41" x14ac:dyDescent="0.25">
      <c r="A57" s="57" t="s">
        <v>37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13</v>
      </c>
      <c r="H57" s="50">
        <v>13.7</v>
      </c>
      <c r="I57" s="50">
        <v>13.7</v>
      </c>
      <c r="J57" s="50">
        <v>13.8</v>
      </c>
      <c r="K57" s="50">
        <v>31</v>
      </c>
      <c r="L57" s="50">
        <v>34.799999999999997</v>
      </c>
      <c r="M57" s="50">
        <v>34.799999999999997</v>
      </c>
      <c r="N57" s="50">
        <v>10.4</v>
      </c>
      <c r="O57" s="50">
        <v>30</v>
      </c>
      <c r="P57" s="50">
        <v>0</v>
      </c>
      <c r="Q57" s="50">
        <v>0</v>
      </c>
      <c r="R57" s="50">
        <v>0</v>
      </c>
      <c r="S57" s="50">
        <v>0</v>
      </c>
      <c r="T57" s="50"/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45</v>
      </c>
      <c r="AB57" s="50">
        <v>45</v>
      </c>
      <c r="AC57" s="50">
        <v>29</v>
      </c>
      <c r="AD57" s="50">
        <v>29</v>
      </c>
      <c r="AE57" s="50">
        <v>39.799999999999997</v>
      </c>
      <c r="AF57" s="50">
        <v>29.5</v>
      </c>
      <c r="AG57" s="135">
        <v>60</v>
      </c>
      <c r="AH57" s="54">
        <f t="shared" si="2"/>
        <v>45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0</v>
      </c>
      <c r="C58" s="48">
        <v>0</v>
      </c>
      <c r="D58" s="48">
        <v>7</v>
      </c>
      <c r="E58" s="48">
        <v>0</v>
      </c>
      <c r="F58" s="48">
        <v>0</v>
      </c>
      <c r="G58" s="48">
        <v>7.2</v>
      </c>
      <c r="H58" s="48">
        <v>5.8</v>
      </c>
      <c r="I58" s="48">
        <v>5.8</v>
      </c>
      <c r="J58" s="48">
        <v>5.6</v>
      </c>
      <c r="K58" s="48">
        <v>12.9</v>
      </c>
      <c r="L58" s="48">
        <v>21.6</v>
      </c>
      <c r="M58" s="48">
        <v>13.3</v>
      </c>
      <c r="N58" s="48">
        <v>5.2</v>
      </c>
      <c r="O58" s="48">
        <v>12.9</v>
      </c>
      <c r="P58" s="48">
        <v>4.9000000000000004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19</v>
      </c>
      <c r="AB58" s="48">
        <v>19</v>
      </c>
      <c r="AC58" s="48">
        <v>15</v>
      </c>
      <c r="AD58" s="48">
        <v>15</v>
      </c>
      <c r="AE58" s="48">
        <v>18.600000000000001</v>
      </c>
      <c r="AF58" s="48">
        <v>15.5</v>
      </c>
      <c r="AG58" s="136">
        <v>32</v>
      </c>
      <c r="AH58" s="54">
        <f t="shared" si="2"/>
        <v>21.6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0</v>
      </c>
      <c r="C59" s="70">
        <v>0</v>
      </c>
      <c r="D59" s="70">
        <v>2.6</v>
      </c>
      <c r="E59" s="70">
        <v>0</v>
      </c>
      <c r="F59" s="70">
        <v>0</v>
      </c>
      <c r="G59" s="70">
        <v>2.6</v>
      </c>
      <c r="H59" s="70">
        <v>2.1</v>
      </c>
      <c r="I59" s="70">
        <v>2.1</v>
      </c>
      <c r="J59" s="70">
        <v>2</v>
      </c>
      <c r="K59" s="70">
        <v>4.7</v>
      </c>
      <c r="L59" s="70">
        <v>7.9</v>
      </c>
      <c r="M59" s="70">
        <v>4.9000000000000004</v>
      </c>
      <c r="N59" s="70">
        <v>1.9</v>
      </c>
      <c r="O59" s="70">
        <v>4.7</v>
      </c>
      <c r="P59" s="70">
        <v>1.8</v>
      </c>
      <c r="Q59" s="70">
        <v>0</v>
      </c>
      <c r="R59" s="70">
        <v>0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70">
        <v>7</v>
      </c>
      <c r="AB59" s="70">
        <v>7</v>
      </c>
      <c r="AC59" s="70">
        <v>5.5</v>
      </c>
      <c r="AD59" s="70">
        <v>5.5</v>
      </c>
      <c r="AE59" s="70">
        <v>6.8</v>
      </c>
      <c r="AF59" s="70">
        <v>5.7</v>
      </c>
      <c r="AG59" s="137">
        <v>14</v>
      </c>
      <c r="AH59" s="54">
        <f t="shared" si="2"/>
        <v>7.9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 t="shared" ref="B60" si="11">SUM(B57:B59)</f>
        <v>0</v>
      </c>
      <c r="C60" s="66">
        <f t="shared" ref="C60:AG60" si="12">SUM(C57:C59)</f>
        <v>0</v>
      </c>
      <c r="D60" s="66">
        <f t="shared" si="12"/>
        <v>9.6</v>
      </c>
      <c r="E60" s="66">
        <f t="shared" si="12"/>
        <v>0</v>
      </c>
      <c r="F60" s="66">
        <f t="shared" si="12"/>
        <v>0</v>
      </c>
      <c r="G60" s="66">
        <f t="shared" si="12"/>
        <v>22.8</v>
      </c>
      <c r="H60" s="66">
        <f t="shared" si="12"/>
        <v>21.6</v>
      </c>
      <c r="I60" s="66">
        <f t="shared" si="12"/>
        <v>21.6</v>
      </c>
      <c r="J60" s="66">
        <f t="shared" si="12"/>
        <v>21.4</v>
      </c>
      <c r="K60" s="66">
        <f t="shared" si="12"/>
        <v>48.6</v>
      </c>
      <c r="L60" s="66">
        <f t="shared" si="12"/>
        <v>64.3</v>
      </c>
      <c r="M60" s="66">
        <f t="shared" si="12"/>
        <v>52.999999999999993</v>
      </c>
      <c r="N60" s="66">
        <f t="shared" si="12"/>
        <v>17.5</v>
      </c>
      <c r="O60" s="66">
        <f t="shared" si="12"/>
        <v>47.6</v>
      </c>
      <c r="P60" s="66">
        <f t="shared" si="12"/>
        <v>6.7</v>
      </c>
      <c r="Q60" s="66">
        <f t="shared" si="12"/>
        <v>0</v>
      </c>
      <c r="R60" s="66">
        <f t="shared" si="12"/>
        <v>0</v>
      </c>
      <c r="S60" s="66">
        <f t="shared" si="12"/>
        <v>0</v>
      </c>
      <c r="T60" s="66">
        <f t="shared" si="12"/>
        <v>0</v>
      </c>
      <c r="U60" s="66">
        <f t="shared" si="12"/>
        <v>0</v>
      </c>
      <c r="V60" s="66">
        <f t="shared" si="12"/>
        <v>0</v>
      </c>
      <c r="W60" s="66">
        <f t="shared" si="12"/>
        <v>0</v>
      </c>
      <c r="X60" s="66">
        <f t="shared" si="12"/>
        <v>0</v>
      </c>
      <c r="Y60" s="66">
        <f t="shared" si="12"/>
        <v>0</v>
      </c>
      <c r="Z60" s="66">
        <f t="shared" si="12"/>
        <v>0</v>
      </c>
      <c r="AA60" s="66">
        <v>71</v>
      </c>
      <c r="AB60" s="66">
        <f t="shared" si="12"/>
        <v>71</v>
      </c>
      <c r="AC60" s="66">
        <f t="shared" si="12"/>
        <v>49.5</v>
      </c>
      <c r="AD60" s="66">
        <f t="shared" si="12"/>
        <v>49.5</v>
      </c>
      <c r="AE60" s="66">
        <f t="shared" si="12"/>
        <v>65.2</v>
      </c>
      <c r="AF60" s="66">
        <f t="shared" si="12"/>
        <v>50.7</v>
      </c>
      <c r="AG60" s="143">
        <f t="shared" si="12"/>
        <v>106</v>
      </c>
      <c r="AH60" s="54">
        <f t="shared" si="2"/>
        <v>71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39.700000000000003</v>
      </c>
      <c r="C61" s="50">
        <v>39.1</v>
      </c>
      <c r="D61" s="50">
        <v>29.9</v>
      </c>
      <c r="E61" s="50">
        <v>12.1</v>
      </c>
      <c r="F61" s="50">
        <v>11.6</v>
      </c>
      <c r="G61" s="50">
        <v>11.1</v>
      </c>
      <c r="H61" s="50">
        <v>7.6</v>
      </c>
      <c r="I61" s="50">
        <v>5</v>
      </c>
      <c r="J61" s="50">
        <v>0</v>
      </c>
      <c r="K61" s="50">
        <v>10.4</v>
      </c>
      <c r="L61" s="50">
        <v>50.3</v>
      </c>
      <c r="M61" s="50">
        <v>52.7</v>
      </c>
      <c r="N61" s="50">
        <v>56.2</v>
      </c>
      <c r="O61" s="50">
        <v>62</v>
      </c>
      <c r="P61" s="50">
        <v>54.5</v>
      </c>
      <c r="Q61" s="50">
        <v>58.4</v>
      </c>
      <c r="R61" s="50">
        <v>50.5</v>
      </c>
      <c r="S61" s="50">
        <v>69</v>
      </c>
      <c r="T61" s="50">
        <v>64</v>
      </c>
      <c r="U61" s="50">
        <v>23</v>
      </c>
      <c r="V61" s="50">
        <v>51</v>
      </c>
      <c r="W61" s="50">
        <v>48</v>
      </c>
      <c r="X61" s="50">
        <v>18</v>
      </c>
      <c r="Y61" s="50">
        <v>20</v>
      </c>
      <c r="Z61" s="50">
        <v>50</v>
      </c>
      <c r="AA61" s="50">
        <v>32</v>
      </c>
      <c r="AB61" s="50">
        <v>32.9</v>
      </c>
      <c r="AC61" s="50">
        <v>22</v>
      </c>
      <c r="AD61" s="50">
        <v>43.8</v>
      </c>
      <c r="AE61" s="50">
        <v>47.3</v>
      </c>
      <c r="AF61" s="50">
        <v>48.6</v>
      </c>
      <c r="AG61" s="135"/>
      <c r="AH61" s="54">
        <f t="shared" si="2"/>
        <v>69</v>
      </c>
      <c r="AI61" s="55">
        <f t="shared" si="3"/>
        <v>0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-344</v>
      </c>
      <c r="C63" s="48">
        <v>-340.9</v>
      </c>
      <c r="D63" s="48">
        <v>-371</v>
      </c>
      <c r="E63" s="48">
        <v>-356</v>
      </c>
      <c r="F63" s="48">
        <v>-348</v>
      </c>
      <c r="G63" s="48">
        <v>-367</v>
      </c>
      <c r="H63" s="48">
        <v>-392.4</v>
      </c>
      <c r="I63" s="48">
        <v>-419</v>
      </c>
      <c r="J63" s="48">
        <v>-367.9</v>
      </c>
      <c r="K63" s="48">
        <v>-350.7</v>
      </c>
      <c r="L63" s="48">
        <v>-376.9</v>
      </c>
      <c r="M63" s="48">
        <v>-336</v>
      </c>
      <c r="N63" s="48">
        <v>-318</v>
      </c>
      <c r="O63" s="48">
        <v>-325.2</v>
      </c>
      <c r="P63" s="48">
        <v>-355.4</v>
      </c>
      <c r="Q63" s="48">
        <v>-326.3</v>
      </c>
      <c r="R63" s="48">
        <v>-336</v>
      </c>
      <c r="S63" s="48">
        <v>-326</v>
      </c>
      <c r="T63" s="48">
        <v>-344</v>
      </c>
      <c r="U63" s="48">
        <v>-306.39999999999998</v>
      </c>
      <c r="V63" s="48">
        <v>-377</v>
      </c>
      <c r="W63" s="48">
        <v>-358</v>
      </c>
      <c r="X63" s="48">
        <v>-347</v>
      </c>
      <c r="Y63" s="48">
        <v>-320</v>
      </c>
      <c r="Z63" s="48">
        <v>-290</v>
      </c>
      <c r="AA63" s="48">
        <v>-242</v>
      </c>
      <c r="AB63" s="48">
        <v>-214</v>
      </c>
      <c r="AC63" s="48">
        <v>-251</v>
      </c>
      <c r="AD63" s="48">
        <v>-274</v>
      </c>
      <c r="AE63" s="48">
        <v>-328</v>
      </c>
      <c r="AF63" s="48">
        <v>-332</v>
      </c>
      <c r="AG63" s="140"/>
      <c r="AH63" s="54">
        <f t="shared" si="2"/>
        <v>-214</v>
      </c>
      <c r="AI63" s="55">
        <f t="shared" si="3"/>
        <v>-419</v>
      </c>
      <c r="AK63" s="56"/>
    </row>
    <row r="64" spans="1:41" x14ac:dyDescent="0.25">
      <c r="A64" s="60" t="s">
        <v>44</v>
      </c>
      <c r="B64" s="71">
        <v>0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140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7</v>
      </c>
      <c r="C66" s="72">
        <v>7</v>
      </c>
      <c r="D66" s="72">
        <v>7</v>
      </c>
      <c r="E66" s="72">
        <v>7</v>
      </c>
      <c r="F66" s="72">
        <v>7</v>
      </c>
      <c r="G66" s="72">
        <v>7</v>
      </c>
      <c r="H66" s="72">
        <v>7</v>
      </c>
      <c r="I66" s="72">
        <v>7</v>
      </c>
      <c r="J66" s="72">
        <v>7</v>
      </c>
      <c r="K66" s="72">
        <v>6</v>
      </c>
      <c r="L66" s="72">
        <v>6</v>
      </c>
      <c r="M66" s="72">
        <v>6</v>
      </c>
      <c r="N66" s="72">
        <v>6</v>
      </c>
      <c r="O66" s="72">
        <v>6</v>
      </c>
      <c r="P66" s="72">
        <v>6</v>
      </c>
      <c r="Q66" s="72">
        <v>6</v>
      </c>
      <c r="R66" s="72">
        <v>6</v>
      </c>
      <c r="S66" s="72">
        <v>6</v>
      </c>
      <c r="T66" s="72">
        <v>6</v>
      </c>
      <c r="U66" s="72">
        <v>6</v>
      </c>
      <c r="V66" s="72">
        <v>6</v>
      </c>
      <c r="W66" s="72">
        <v>6</v>
      </c>
      <c r="X66" s="72">
        <v>6</v>
      </c>
      <c r="Y66" s="72">
        <v>6</v>
      </c>
      <c r="Z66" s="72">
        <v>6</v>
      </c>
      <c r="AA66" s="72">
        <v>6</v>
      </c>
      <c r="AB66" s="72">
        <v>6</v>
      </c>
      <c r="AC66" s="72">
        <v>6</v>
      </c>
      <c r="AD66" s="72">
        <v>6</v>
      </c>
      <c r="AE66" s="72">
        <v>6</v>
      </c>
      <c r="AF66" s="72">
        <v>6</v>
      </c>
      <c r="AG66" s="140"/>
      <c r="AH66" s="54">
        <f t="shared" si="2"/>
        <v>7</v>
      </c>
      <c r="AI66" s="55">
        <f t="shared" si="3"/>
        <v>6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1">
        <v>0</v>
      </c>
      <c r="D68" s="71">
        <v>0</v>
      </c>
      <c r="E68" s="71">
        <v>0</v>
      </c>
      <c r="F68" s="71">
        <v>0</v>
      </c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1">
        <v>0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4">
        <v>0</v>
      </c>
      <c r="C70" s="74">
        <v>0</v>
      </c>
      <c r="D70" s="74">
        <v>0</v>
      </c>
      <c r="E70" s="74">
        <v>0</v>
      </c>
      <c r="F70" s="74">
        <v>0</v>
      </c>
      <c r="G70" s="74">
        <v>0</v>
      </c>
      <c r="H70" s="74">
        <v>0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4">
        <v>0</v>
      </c>
      <c r="C71" s="74">
        <v>0</v>
      </c>
      <c r="D71" s="74">
        <v>0</v>
      </c>
      <c r="E71" s="74">
        <v>0</v>
      </c>
      <c r="F71" s="74">
        <v>0</v>
      </c>
      <c r="G71" s="74">
        <v>0</v>
      </c>
      <c r="H71" s="74">
        <v>0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 t="shared" ref="B72" si="13">SUMIF(B61:B71,"&gt;0")</f>
        <v>46.7</v>
      </c>
      <c r="C72" s="66">
        <f t="shared" ref="C72:L72" si="14">SUMIF(C61:C71,"&gt;0")</f>
        <v>46.1</v>
      </c>
      <c r="D72" s="66">
        <f t="shared" si="14"/>
        <v>36.9</v>
      </c>
      <c r="E72" s="66">
        <f t="shared" si="14"/>
        <v>19.100000000000001</v>
      </c>
      <c r="F72" s="66">
        <f t="shared" si="14"/>
        <v>18.600000000000001</v>
      </c>
      <c r="G72" s="66">
        <f t="shared" si="14"/>
        <v>18.100000000000001</v>
      </c>
      <c r="H72" s="66">
        <f t="shared" si="14"/>
        <v>14.6</v>
      </c>
      <c r="I72" s="66">
        <f t="shared" si="14"/>
        <v>12</v>
      </c>
      <c r="J72" s="66">
        <f t="shared" si="14"/>
        <v>7</v>
      </c>
      <c r="K72" s="66">
        <f t="shared" si="14"/>
        <v>16.399999999999999</v>
      </c>
      <c r="L72" s="66">
        <f t="shared" si="14"/>
        <v>56.3</v>
      </c>
      <c r="M72" s="66">
        <f>SUMIF(M61:M71,"&gt;0")</f>
        <v>58.7</v>
      </c>
      <c r="N72" s="66">
        <f t="shared" ref="N72:AF72" si="15">SUMIF(N61:N71,"&gt;0")</f>
        <v>62.2</v>
      </c>
      <c r="O72" s="66">
        <f t="shared" si="15"/>
        <v>68</v>
      </c>
      <c r="P72" s="66">
        <f t="shared" si="15"/>
        <v>60.5</v>
      </c>
      <c r="Q72" s="66">
        <f t="shared" si="15"/>
        <v>64.400000000000006</v>
      </c>
      <c r="R72" s="66">
        <f t="shared" si="15"/>
        <v>56.5</v>
      </c>
      <c r="S72" s="66">
        <f t="shared" si="15"/>
        <v>75</v>
      </c>
      <c r="T72" s="66">
        <f t="shared" si="15"/>
        <v>70</v>
      </c>
      <c r="U72" s="66">
        <f t="shared" si="15"/>
        <v>29</v>
      </c>
      <c r="V72" s="66">
        <f t="shared" si="15"/>
        <v>57</v>
      </c>
      <c r="W72" s="66">
        <f t="shared" si="15"/>
        <v>54</v>
      </c>
      <c r="X72" s="66">
        <f t="shared" si="15"/>
        <v>24</v>
      </c>
      <c r="Y72" s="66">
        <f t="shared" si="15"/>
        <v>26</v>
      </c>
      <c r="Z72" s="66">
        <f t="shared" si="15"/>
        <v>56</v>
      </c>
      <c r="AA72" s="66">
        <v>38</v>
      </c>
      <c r="AB72" s="66">
        <f t="shared" si="15"/>
        <v>38.9</v>
      </c>
      <c r="AC72" s="66">
        <f t="shared" si="15"/>
        <v>28</v>
      </c>
      <c r="AD72" s="66">
        <f t="shared" si="15"/>
        <v>49.8</v>
      </c>
      <c r="AE72" s="66">
        <f t="shared" si="15"/>
        <v>53.3</v>
      </c>
      <c r="AF72" s="66">
        <f t="shared" si="15"/>
        <v>54.6</v>
      </c>
      <c r="AG72" s="138">
        <f>SUM(AG61:AG71)</f>
        <v>0</v>
      </c>
      <c r="AH72" s="54">
        <f t="shared" si="2"/>
        <v>75</v>
      </c>
      <c r="AI72" s="55">
        <f t="shared" si="3"/>
        <v>7</v>
      </c>
      <c r="AK72" s="56"/>
    </row>
    <row r="73" spans="1:88" x14ac:dyDescent="0.25">
      <c r="A73" s="57" t="s">
        <v>53</v>
      </c>
      <c r="B73" s="71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2.8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2.8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>
        <v>0</v>
      </c>
      <c r="C75" s="74">
        <v>0</v>
      </c>
      <c r="D75" s="74">
        <v>0</v>
      </c>
      <c r="E75" s="74">
        <v>0</v>
      </c>
      <c r="F75" s="74">
        <v>0</v>
      </c>
      <c r="G75" s="74">
        <v>0</v>
      </c>
      <c r="H75" s="74">
        <v>0</v>
      </c>
      <c r="I75" s="74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 t="shared" ref="B77" si="16">B38+B42+B60+B56+B72+B76</f>
        <v>1832.14</v>
      </c>
      <c r="C77" s="75">
        <f t="shared" ref="C77:AF77" si="17">C38+C42+C60+C56+C72+C76</f>
        <v>1806.8399999999997</v>
      </c>
      <c r="D77" s="75">
        <f t="shared" si="17"/>
        <v>1810.5400000000002</v>
      </c>
      <c r="E77" s="75">
        <f t="shared" si="17"/>
        <v>1778.8400000000001</v>
      </c>
      <c r="F77" s="75">
        <f t="shared" si="17"/>
        <v>1767.8400000000001</v>
      </c>
      <c r="G77" s="75">
        <f t="shared" si="17"/>
        <v>1779.44</v>
      </c>
      <c r="H77" s="75">
        <f t="shared" si="17"/>
        <v>1778.94</v>
      </c>
      <c r="I77" s="75">
        <f t="shared" si="17"/>
        <v>1769.84</v>
      </c>
      <c r="J77" s="75">
        <f t="shared" si="17"/>
        <v>1767.3400000000001</v>
      </c>
      <c r="K77" s="75">
        <f t="shared" si="17"/>
        <v>1804.24</v>
      </c>
      <c r="L77" s="75">
        <f t="shared" si="17"/>
        <v>1850.74</v>
      </c>
      <c r="M77" s="75">
        <f t="shared" si="17"/>
        <v>1847.74</v>
      </c>
      <c r="N77" s="75">
        <f t="shared" si="17"/>
        <v>1803.04</v>
      </c>
      <c r="O77" s="75">
        <f t="shared" si="17"/>
        <v>1830.44</v>
      </c>
      <c r="P77" s="75">
        <f t="shared" si="17"/>
        <v>1775.94</v>
      </c>
      <c r="Q77" s="75">
        <f t="shared" si="17"/>
        <v>1792.54</v>
      </c>
      <c r="R77" s="75">
        <f t="shared" si="17"/>
        <v>1786.8400000000001</v>
      </c>
      <c r="S77" s="75">
        <f t="shared" si="17"/>
        <v>1805.3400000000001</v>
      </c>
      <c r="T77" s="75">
        <f t="shared" si="17"/>
        <v>1800.3400000000001</v>
      </c>
      <c r="U77" s="75">
        <f t="shared" si="17"/>
        <v>1759.3400000000001</v>
      </c>
      <c r="V77" s="75">
        <f t="shared" si="17"/>
        <v>1792.3400000000001</v>
      </c>
      <c r="W77" s="75">
        <f t="shared" si="17"/>
        <v>1765.2400000000002</v>
      </c>
      <c r="X77" s="75">
        <f t="shared" si="17"/>
        <v>1753.14</v>
      </c>
      <c r="Y77" s="75">
        <f t="shared" si="17"/>
        <v>1772.2400000000002</v>
      </c>
      <c r="Z77" s="75">
        <f t="shared" si="17"/>
        <v>1823.7400000000002</v>
      </c>
      <c r="AA77" s="75">
        <v>1885.3400000000001</v>
      </c>
      <c r="AB77" s="75">
        <f t="shared" si="17"/>
        <v>1861.0400000000002</v>
      </c>
      <c r="AC77" s="75">
        <f t="shared" si="17"/>
        <v>1831.0400000000002</v>
      </c>
      <c r="AD77" s="75">
        <f t="shared" si="17"/>
        <v>1852.8400000000001</v>
      </c>
      <c r="AE77" s="75">
        <f t="shared" si="17"/>
        <v>1829.6399999999999</v>
      </c>
      <c r="AF77" s="75">
        <f t="shared" si="17"/>
        <v>1824.1399999999999</v>
      </c>
      <c r="AG77" s="143">
        <f>AG38+AG42+AG60+AG56+AG72+AG76</f>
        <v>1855.1900000000003</v>
      </c>
      <c r="AH77" s="54">
        <f t="shared" si="2"/>
        <v>1885.3400000000001</v>
      </c>
      <c r="AI77" s="55">
        <f t="shared" si="3"/>
        <v>1753.14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0</v>
      </c>
      <c r="AI78" s="55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 t="shared" ref="B79" si="18">B77+B78</f>
        <v>1832.14</v>
      </c>
      <c r="C79" s="75">
        <f t="shared" ref="C79:AF79" si="19">C77+C78</f>
        <v>1806.8399999999997</v>
      </c>
      <c r="D79" s="75">
        <f t="shared" si="19"/>
        <v>1810.5400000000002</v>
      </c>
      <c r="E79" s="75">
        <f t="shared" si="19"/>
        <v>1778.8400000000001</v>
      </c>
      <c r="F79" s="75">
        <f t="shared" si="19"/>
        <v>1767.8400000000001</v>
      </c>
      <c r="G79" s="75">
        <f t="shared" si="19"/>
        <v>1779.44</v>
      </c>
      <c r="H79" s="75">
        <f t="shared" si="19"/>
        <v>1778.94</v>
      </c>
      <c r="I79" s="75">
        <f t="shared" si="19"/>
        <v>1769.84</v>
      </c>
      <c r="J79" s="75">
        <f t="shared" si="19"/>
        <v>1767.3400000000001</v>
      </c>
      <c r="K79" s="75">
        <f t="shared" si="19"/>
        <v>1804.24</v>
      </c>
      <c r="L79" s="75">
        <f t="shared" si="19"/>
        <v>1850.74</v>
      </c>
      <c r="M79" s="75">
        <f t="shared" si="19"/>
        <v>1847.74</v>
      </c>
      <c r="N79" s="75">
        <f t="shared" si="19"/>
        <v>1803.04</v>
      </c>
      <c r="O79" s="75">
        <f t="shared" si="19"/>
        <v>1830.44</v>
      </c>
      <c r="P79" s="75">
        <f t="shared" si="19"/>
        <v>1775.94</v>
      </c>
      <c r="Q79" s="75">
        <f t="shared" si="19"/>
        <v>1792.54</v>
      </c>
      <c r="R79" s="75">
        <f t="shared" si="19"/>
        <v>1786.8400000000001</v>
      </c>
      <c r="S79" s="75">
        <f t="shared" si="19"/>
        <v>1805.3400000000001</v>
      </c>
      <c r="T79" s="75">
        <f t="shared" si="19"/>
        <v>1800.3400000000001</v>
      </c>
      <c r="U79" s="75">
        <f t="shared" si="19"/>
        <v>1759.3400000000001</v>
      </c>
      <c r="V79" s="75">
        <f t="shared" si="19"/>
        <v>1792.3400000000001</v>
      </c>
      <c r="W79" s="75">
        <f t="shared" si="19"/>
        <v>1765.2400000000002</v>
      </c>
      <c r="X79" s="75">
        <f t="shared" si="19"/>
        <v>1753.14</v>
      </c>
      <c r="Y79" s="75">
        <f t="shared" si="19"/>
        <v>1772.2400000000002</v>
      </c>
      <c r="Z79" s="75">
        <f t="shared" si="19"/>
        <v>1823.7400000000002</v>
      </c>
      <c r="AA79" s="75">
        <v>1885.3400000000001</v>
      </c>
      <c r="AB79" s="75">
        <f t="shared" si="19"/>
        <v>1861.0400000000002</v>
      </c>
      <c r="AC79" s="75">
        <f t="shared" si="19"/>
        <v>1831.0400000000002</v>
      </c>
      <c r="AD79" s="75">
        <f t="shared" si="19"/>
        <v>1852.8400000000001</v>
      </c>
      <c r="AE79" s="75">
        <f t="shared" si="19"/>
        <v>1829.6399999999999</v>
      </c>
      <c r="AF79" s="75">
        <f t="shared" si="19"/>
        <v>1824.1399999999999</v>
      </c>
      <c r="AG79" s="138">
        <f>AG76+AG72+AG60+AG56+AG38+AG78</f>
        <v>1317.0900000000001</v>
      </c>
      <c r="AH79" s="54">
        <f t="shared" si="2"/>
        <v>1885.3400000000001</v>
      </c>
      <c r="AI79" s="55">
        <f t="shared" si="3"/>
        <v>1753.14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" si="20">B79-B87</f>
        <v>1488.14</v>
      </c>
      <c r="C80" s="75">
        <f t="shared" ref="C80:AF80" si="21">C79-C87</f>
        <v>1465.9399999999996</v>
      </c>
      <c r="D80" s="75">
        <f t="shared" si="21"/>
        <v>1439.5400000000002</v>
      </c>
      <c r="E80" s="75">
        <f t="shared" si="21"/>
        <v>1422.8400000000001</v>
      </c>
      <c r="F80" s="75">
        <f t="shared" si="21"/>
        <v>1419.8400000000001</v>
      </c>
      <c r="G80" s="75">
        <f t="shared" si="21"/>
        <v>1412.44</v>
      </c>
      <c r="H80" s="75">
        <f t="shared" si="21"/>
        <v>1386.54</v>
      </c>
      <c r="I80" s="75">
        <f t="shared" si="21"/>
        <v>1350.84</v>
      </c>
      <c r="J80" s="75">
        <f t="shared" si="21"/>
        <v>1399.44</v>
      </c>
      <c r="K80" s="75">
        <f t="shared" si="21"/>
        <v>1453.54</v>
      </c>
      <c r="L80" s="75">
        <f t="shared" si="21"/>
        <v>1473.8400000000001</v>
      </c>
      <c r="M80" s="75">
        <f t="shared" si="21"/>
        <v>1511.74</v>
      </c>
      <c r="N80" s="75">
        <f t="shared" si="21"/>
        <v>1485.04</v>
      </c>
      <c r="O80" s="75">
        <f t="shared" si="21"/>
        <v>1505.24</v>
      </c>
      <c r="P80" s="75">
        <f t="shared" si="21"/>
        <v>1420.54</v>
      </c>
      <c r="Q80" s="75">
        <f t="shared" si="21"/>
        <v>1466.24</v>
      </c>
      <c r="R80" s="75">
        <f t="shared" si="21"/>
        <v>1450.8400000000001</v>
      </c>
      <c r="S80" s="75">
        <f t="shared" si="21"/>
        <v>1479.3400000000001</v>
      </c>
      <c r="T80" s="75">
        <f t="shared" si="21"/>
        <v>1456.3400000000001</v>
      </c>
      <c r="U80" s="75">
        <f t="shared" si="21"/>
        <v>1452.94</v>
      </c>
      <c r="V80" s="75">
        <f t="shared" si="21"/>
        <v>1415.3400000000001</v>
      </c>
      <c r="W80" s="75">
        <f t="shared" si="21"/>
        <v>1407.2400000000002</v>
      </c>
      <c r="X80" s="75">
        <f t="shared" si="21"/>
        <v>1406.14</v>
      </c>
      <c r="Y80" s="75">
        <f t="shared" si="21"/>
        <v>1452.2400000000002</v>
      </c>
      <c r="Z80" s="75">
        <f t="shared" si="21"/>
        <v>1533.7400000000002</v>
      </c>
      <c r="AA80" s="75">
        <v>1644.3400000000001</v>
      </c>
      <c r="AB80" s="75">
        <f t="shared" si="21"/>
        <v>1647.0400000000002</v>
      </c>
      <c r="AC80" s="75">
        <f t="shared" si="21"/>
        <v>1580.0400000000002</v>
      </c>
      <c r="AD80" s="75">
        <f t="shared" si="21"/>
        <v>1578.8400000000001</v>
      </c>
      <c r="AE80" s="75">
        <f t="shared" si="21"/>
        <v>1501.6399999999999</v>
      </c>
      <c r="AF80" s="75">
        <f t="shared" si="21"/>
        <v>1492.1399999999999</v>
      </c>
      <c r="AG80" s="138"/>
      <c r="AH80" s="54">
        <f t="shared" ref="AH80:AH97" si="22">MAX(B80:AF80)</f>
        <v>1647.0400000000002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 t="shared" ref="B81" si="23">IF(B64&lt;0,B64*-1,0)</f>
        <v>0</v>
      </c>
      <c r="C81" s="71">
        <f t="shared" ref="C81:AF81" si="24">IF(C64&lt;0,C64*-1,0)</f>
        <v>0</v>
      </c>
      <c r="D81" s="71">
        <f t="shared" si="24"/>
        <v>0</v>
      </c>
      <c r="E81" s="71">
        <f t="shared" si="24"/>
        <v>0</v>
      </c>
      <c r="F81" s="71">
        <f t="shared" si="24"/>
        <v>0</v>
      </c>
      <c r="G81" s="71">
        <f t="shared" si="24"/>
        <v>0</v>
      </c>
      <c r="H81" s="71">
        <f t="shared" si="24"/>
        <v>0</v>
      </c>
      <c r="I81" s="71">
        <f t="shared" si="24"/>
        <v>0</v>
      </c>
      <c r="J81" s="71">
        <f t="shared" si="24"/>
        <v>0</v>
      </c>
      <c r="K81" s="71">
        <f t="shared" si="24"/>
        <v>0</v>
      </c>
      <c r="L81" s="71">
        <f t="shared" si="24"/>
        <v>0</v>
      </c>
      <c r="M81" s="71">
        <f t="shared" si="24"/>
        <v>0</v>
      </c>
      <c r="N81" s="71">
        <f t="shared" si="24"/>
        <v>0</v>
      </c>
      <c r="O81" s="71">
        <f t="shared" si="24"/>
        <v>0</v>
      </c>
      <c r="P81" s="71">
        <f t="shared" si="24"/>
        <v>0</v>
      </c>
      <c r="Q81" s="71">
        <f t="shared" si="24"/>
        <v>0</v>
      </c>
      <c r="R81" s="71">
        <f t="shared" si="24"/>
        <v>0</v>
      </c>
      <c r="S81" s="71">
        <f t="shared" si="24"/>
        <v>0</v>
      </c>
      <c r="T81" s="71">
        <f t="shared" si="24"/>
        <v>0</v>
      </c>
      <c r="U81" s="71">
        <f t="shared" si="24"/>
        <v>0</v>
      </c>
      <c r="V81" s="71">
        <f t="shared" si="24"/>
        <v>0</v>
      </c>
      <c r="W81" s="71">
        <f t="shared" si="24"/>
        <v>0</v>
      </c>
      <c r="X81" s="71">
        <f t="shared" si="24"/>
        <v>0</v>
      </c>
      <c r="Y81" s="71">
        <f t="shared" si="24"/>
        <v>0</v>
      </c>
      <c r="Z81" s="71">
        <f t="shared" si="24"/>
        <v>0</v>
      </c>
      <c r="AA81" s="71">
        <v>0</v>
      </c>
      <c r="AB81" s="71">
        <f t="shared" si="24"/>
        <v>0</v>
      </c>
      <c r="AC81" s="71">
        <f t="shared" si="24"/>
        <v>0</v>
      </c>
      <c r="AD81" s="71">
        <f t="shared" si="24"/>
        <v>0</v>
      </c>
      <c r="AE81" s="71">
        <f t="shared" si="24"/>
        <v>0</v>
      </c>
      <c r="AF81" s="71">
        <f t="shared" si="24"/>
        <v>0</v>
      </c>
      <c r="AG81" s="135"/>
      <c r="AH81" s="54">
        <f t="shared" si="22"/>
        <v>0</v>
      </c>
      <c r="AI81" s="55">
        <f t="shared" ref="AI81:AI97" si="25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 t="shared" ref="B82" si="26">IF(B62&lt;0,B62*-1,0)</f>
        <v>0</v>
      </c>
      <c r="C82" s="71">
        <f t="shared" ref="C82:AF82" si="27">IF(C62&lt;0,C62*-1,0)</f>
        <v>0</v>
      </c>
      <c r="D82" s="71">
        <f t="shared" si="27"/>
        <v>0</v>
      </c>
      <c r="E82" s="71">
        <f t="shared" si="27"/>
        <v>0</v>
      </c>
      <c r="F82" s="71">
        <f t="shared" si="27"/>
        <v>0</v>
      </c>
      <c r="G82" s="71">
        <f t="shared" si="27"/>
        <v>0</v>
      </c>
      <c r="H82" s="71">
        <f t="shared" si="27"/>
        <v>0</v>
      </c>
      <c r="I82" s="71">
        <f t="shared" si="27"/>
        <v>0</v>
      </c>
      <c r="J82" s="71">
        <f t="shared" si="27"/>
        <v>0</v>
      </c>
      <c r="K82" s="71">
        <f t="shared" si="27"/>
        <v>0</v>
      </c>
      <c r="L82" s="71">
        <f t="shared" si="27"/>
        <v>0</v>
      </c>
      <c r="M82" s="71">
        <f t="shared" si="27"/>
        <v>0</v>
      </c>
      <c r="N82" s="71">
        <f t="shared" si="27"/>
        <v>0</v>
      </c>
      <c r="O82" s="71">
        <f t="shared" si="27"/>
        <v>0</v>
      </c>
      <c r="P82" s="71">
        <f t="shared" si="27"/>
        <v>0</v>
      </c>
      <c r="Q82" s="71">
        <f t="shared" si="27"/>
        <v>0</v>
      </c>
      <c r="R82" s="71">
        <f t="shared" si="27"/>
        <v>0</v>
      </c>
      <c r="S82" s="71">
        <f t="shared" si="27"/>
        <v>0</v>
      </c>
      <c r="T82" s="71">
        <f t="shared" si="27"/>
        <v>0</v>
      </c>
      <c r="U82" s="71">
        <f t="shared" si="27"/>
        <v>0</v>
      </c>
      <c r="V82" s="71">
        <f t="shared" si="27"/>
        <v>0</v>
      </c>
      <c r="W82" s="71">
        <f t="shared" si="27"/>
        <v>0</v>
      </c>
      <c r="X82" s="71">
        <f t="shared" si="27"/>
        <v>0</v>
      </c>
      <c r="Y82" s="71">
        <f t="shared" si="27"/>
        <v>0</v>
      </c>
      <c r="Z82" s="71">
        <f t="shared" si="27"/>
        <v>0</v>
      </c>
      <c r="AA82" s="71">
        <v>0</v>
      </c>
      <c r="AB82" s="71">
        <f t="shared" si="27"/>
        <v>0</v>
      </c>
      <c r="AC82" s="71">
        <f t="shared" si="27"/>
        <v>0</v>
      </c>
      <c r="AD82" s="71">
        <f t="shared" si="27"/>
        <v>0</v>
      </c>
      <c r="AE82" s="71">
        <f t="shared" si="27"/>
        <v>0</v>
      </c>
      <c r="AF82" s="71">
        <f t="shared" si="27"/>
        <v>0</v>
      </c>
      <c r="AG82" s="136"/>
      <c r="AH82" s="54">
        <f t="shared" si="22"/>
        <v>0</v>
      </c>
      <c r="AI82" s="55">
        <f t="shared" si="25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 t="shared" ref="B83" si="28">IF(B65&lt;0,B65*-1,0)</f>
        <v>0</v>
      </c>
      <c r="C83" s="71">
        <f t="shared" ref="C83:AF83" si="29">IF(C65&lt;0,C65*-1,0)</f>
        <v>0</v>
      </c>
      <c r="D83" s="71">
        <f t="shared" si="29"/>
        <v>0</v>
      </c>
      <c r="E83" s="71">
        <f t="shared" si="29"/>
        <v>0</v>
      </c>
      <c r="F83" s="71">
        <f t="shared" si="29"/>
        <v>0</v>
      </c>
      <c r="G83" s="71">
        <f t="shared" si="29"/>
        <v>0</v>
      </c>
      <c r="H83" s="71">
        <f t="shared" si="29"/>
        <v>0</v>
      </c>
      <c r="I83" s="71">
        <f t="shared" si="29"/>
        <v>0</v>
      </c>
      <c r="J83" s="71">
        <f t="shared" si="29"/>
        <v>0</v>
      </c>
      <c r="K83" s="71">
        <f t="shared" si="29"/>
        <v>0</v>
      </c>
      <c r="L83" s="71">
        <f t="shared" si="29"/>
        <v>0</v>
      </c>
      <c r="M83" s="71">
        <f t="shared" si="29"/>
        <v>0</v>
      </c>
      <c r="N83" s="71">
        <f t="shared" si="29"/>
        <v>0</v>
      </c>
      <c r="O83" s="71">
        <f t="shared" si="29"/>
        <v>0</v>
      </c>
      <c r="P83" s="71">
        <f t="shared" si="29"/>
        <v>0</v>
      </c>
      <c r="Q83" s="71">
        <f t="shared" si="29"/>
        <v>0</v>
      </c>
      <c r="R83" s="71">
        <f t="shared" si="29"/>
        <v>0</v>
      </c>
      <c r="S83" s="71">
        <f t="shared" si="29"/>
        <v>0</v>
      </c>
      <c r="T83" s="71">
        <f t="shared" si="29"/>
        <v>0</v>
      </c>
      <c r="U83" s="71">
        <f t="shared" si="29"/>
        <v>0</v>
      </c>
      <c r="V83" s="71">
        <f t="shared" si="29"/>
        <v>0</v>
      </c>
      <c r="W83" s="71">
        <f t="shared" si="29"/>
        <v>0</v>
      </c>
      <c r="X83" s="71">
        <f t="shared" si="29"/>
        <v>0</v>
      </c>
      <c r="Y83" s="71">
        <f t="shared" si="29"/>
        <v>0</v>
      </c>
      <c r="Z83" s="71">
        <f t="shared" si="29"/>
        <v>0</v>
      </c>
      <c r="AA83" s="71">
        <v>0</v>
      </c>
      <c r="AB83" s="71">
        <f t="shared" si="29"/>
        <v>0</v>
      </c>
      <c r="AC83" s="71">
        <f t="shared" si="29"/>
        <v>0</v>
      </c>
      <c r="AD83" s="71">
        <f t="shared" si="29"/>
        <v>0</v>
      </c>
      <c r="AE83" s="71">
        <f t="shared" si="29"/>
        <v>0</v>
      </c>
      <c r="AF83" s="71">
        <f t="shared" si="29"/>
        <v>0</v>
      </c>
      <c r="AG83" s="144"/>
      <c r="AH83" s="54">
        <f t="shared" si="22"/>
        <v>0</v>
      </c>
      <c r="AI83" s="55">
        <f t="shared" si="25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 t="shared" ref="B84" si="30">IF(B63&lt;0,B63*-1,0)</f>
        <v>344</v>
      </c>
      <c r="C84" s="71">
        <f t="shared" ref="C84:AF84" si="31">IF(C63&lt;0,C63*-1,0)</f>
        <v>340.9</v>
      </c>
      <c r="D84" s="71">
        <f t="shared" si="31"/>
        <v>371</v>
      </c>
      <c r="E84" s="71">
        <f t="shared" si="31"/>
        <v>356</v>
      </c>
      <c r="F84" s="71">
        <f t="shared" si="31"/>
        <v>348</v>
      </c>
      <c r="G84" s="71">
        <f t="shared" si="31"/>
        <v>367</v>
      </c>
      <c r="H84" s="71">
        <f t="shared" si="31"/>
        <v>392.4</v>
      </c>
      <c r="I84" s="71">
        <f t="shared" si="31"/>
        <v>419</v>
      </c>
      <c r="J84" s="71">
        <f t="shared" si="31"/>
        <v>367.9</v>
      </c>
      <c r="K84" s="71">
        <f t="shared" si="31"/>
        <v>350.7</v>
      </c>
      <c r="L84" s="71">
        <f t="shared" si="31"/>
        <v>376.9</v>
      </c>
      <c r="M84" s="71">
        <f t="shared" si="31"/>
        <v>336</v>
      </c>
      <c r="N84" s="71">
        <f t="shared" si="31"/>
        <v>318</v>
      </c>
      <c r="O84" s="71">
        <f t="shared" si="31"/>
        <v>325.2</v>
      </c>
      <c r="P84" s="71">
        <f t="shared" si="31"/>
        <v>355.4</v>
      </c>
      <c r="Q84" s="71">
        <f t="shared" si="31"/>
        <v>326.3</v>
      </c>
      <c r="R84" s="71">
        <f t="shared" si="31"/>
        <v>336</v>
      </c>
      <c r="S84" s="71">
        <f t="shared" si="31"/>
        <v>326</v>
      </c>
      <c r="T84" s="71">
        <f t="shared" si="31"/>
        <v>344</v>
      </c>
      <c r="U84" s="71">
        <f t="shared" si="31"/>
        <v>306.39999999999998</v>
      </c>
      <c r="V84" s="71">
        <f t="shared" si="31"/>
        <v>377</v>
      </c>
      <c r="W84" s="71">
        <f t="shared" si="31"/>
        <v>358</v>
      </c>
      <c r="X84" s="71">
        <f t="shared" si="31"/>
        <v>347</v>
      </c>
      <c r="Y84" s="71">
        <f t="shared" si="31"/>
        <v>320</v>
      </c>
      <c r="Z84" s="71">
        <f t="shared" si="31"/>
        <v>290</v>
      </c>
      <c r="AA84" s="71">
        <v>242</v>
      </c>
      <c r="AB84" s="71">
        <f t="shared" si="31"/>
        <v>214</v>
      </c>
      <c r="AC84" s="71">
        <f t="shared" si="31"/>
        <v>251</v>
      </c>
      <c r="AD84" s="71">
        <f t="shared" si="31"/>
        <v>274</v>
      </c>
      <c r="AE84" s="71">
        <f t="shared" si="31"/>
        <v>328</v>
      </c>
      <c r="AF84" s="71">
        <f t="shared" si="31"/>
        <v>332</v>
      </c>
      <c r="AG84" s="144"/>
      <c r="AH84" s="54">
        <f t="shared" si="22"/>
        <v>419</v>
      </c>
      <c r="AI84" s="55">
        <f t="shared" si="25"/>
        <v>214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 t="shared" ref="B85" si="32">IF(B61&lt;0,B61*-1,0)</f>
        <v>0</v>
      </c>
      <c r="C85" s="71">
        <f t="shared" ref="C85:AF85" si="33">IF(C61&lt;0,C61*-1,0)</f>
        <v>0</v>
      </c>
      <c r="D85" s="71">
        <f t="shared" si="33"/>
        <v>0</v>
      </c>
      <c r="E85" s="71">
        <f t="shared" si="33"/>
        <v>0</v>
      </c>
      <c r="F85" s="71">
        <f t="shared" si="33"/>
        <v>0</v>
      </c>
      <c r="G85" s="71">
        <f t="shared" si="33"/>
        <v>0</v>
      </c>
      <c r="H85" s="71">
        <f t="shared" si="33"/>
        <v>0</v>
      </c>
      <c r="I85" s="71">
        <f t="shared" si="33"/>
        <v>0</v>
      </c>
      <c r="J85" s="71">
        <f t="shared" si="33"/>
        <v>0</v>
      </c>
      <c r="K85" s="71">
        <f t="shared" si="33"/>
        <v>0</v>
      </c>
      <c r="L85" s="71">
        <f t="shared" si="33"/>
        <v>0</v>
      </c>
      <c r="M85" s="71">
        <f t="shared" si="33"/>
        <v>0</v>
      </c>
      <c r="N85" s="71">
        <f t="shared" si="33"/>
        <v>0</v>
      </c>
      <c r="O85" s="71">
        <f t="shared" si="33"/>
        <v>0</v>
      </c>
      <c r="P85" s="71">
        <f t="shared" si="33"/>
        <v>0</v>
      </c>
      <c r="Q85" s="71">
        <f t="shared" si="33"/>
        <v>0</v>
      </c>
      <c r="R85" s="71">
        <f t="shared" si="33"/>
        <v>0</v>
      </c>
      <c r="S85" s="71">
        <f t="shared" si="33"/>
        <v>0</v>
      </c>
      <c r="T85" s="71">
        <f t="shared" si="33"/>
        <v>0</v>
      </c>
      <c r="U85" s="71">
        <f t="shared" si="33"/>
        <v>0</v>
      </c>
      <c r="V85" s="71">
        <f t="shared" si="33"/>
        <v>0</v>
      </c>
      <c r="W85" s="71">
        <f t="shared" si="33"/>
        <v>0</v>
      </c>
      <c r="X85" s="71">
        <f t="shared" si="33"/>
        <v>0</v>
      </c>
      <c r="Y85" s="71">
        <f t="shared" si="33"/>
        <v>0</v>
      </c>
      <c r="Z85" s="71">
        <f t="shared" si="33"/>
        <v>0</v>
      </c>
      <c r="AA85" s="71">
        <v>0</v>
      </c>
      <c r="AB85" s="71">
        <f t="shared" si="33"/>
        <v>0</v>
      </c>
      <c r="AC85" s="71">
        <f t="shared" si="33"/>
        <v>0</v>
      </c>
      <c r="AD85" s="71">
        <f t="shared" si="33"/>
        <v>0</v>
      </c>
      <c r="AE85" s="71">
        <f t="shared" si="33"/>
        <v>0</v>
      </c>
      <c r="AF85" s="71">
        <f t="shared" si="33"/>
        <v>0</v>
      </c>
      <c r="AG85" s="144"/>
      <c r="AH85" s="54">
        <f t="shared" si="22"/>
        <v>0</v>
      </c>
      <c r="AI85" s="55">
        <f t="shared" si="25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-1</v>
      </c>
      <c r="AB86" s="74">
        <v>0</v>
      </c>
      <c r="AC86" s="74"/>
      <c r="AD86" s="74"/>
      <c r="AE86" s="74"/>
      <c r="AF86" s="74"/>
      <c r="AG86" s="141"/>
      <c r="AH86" s="54">
        <f t="shared" si="22"/>
        <v>0</v>
      </c>
      <c r="AI86" s="55">
        <f t="shared" si="25"/>
        <v>-1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 t="shared" ref="B87" si="34">SUM(B81:B86)</f>
        <v>344</v>
      </c>
      <c r="C87" s="66">
        <f t="shared" ref="C87:AF87" si="35">SUM(C81:C86)</f>
        <v>340.9</v>
      </c>
      <c r="D87" s="66">
        <f t="shared" si="35"/>
        <v>371</v>
      </c>
      <c r="E87" s="66">
        <f t="shared" si="35"/>
        <v>356</v>
      </c>
      <c r="F87" s="66">
        <f t="shared" si="35"/>
        <v>348</v>
      </c>
      <c r="G87" s="66">
        <f t="shared" si="35"/>
        <v>367</v>
      </c>
      <c r="H87" s="66">
        <f t="shared" si="35"/>
        <v>392.4</v>
      </c>
      <c r="I87" s="66">
        <f t="shared" si="35"/>
        <v>419</v>
      </c>
      <c r="J87" s="66">
        <f t="shared" si="35"/>
        <v>367.9</v>
      </c>
      <c r="K87" s="66">
        <f t="shared" si="35"/>
        <v>350.7</v>
      </c>
      <c r="L87" s="66">
        <f t="shared" si="35"/>
        <v>376.9</v>
      </c>
      <c r="M87" s="66">
        <f t="shared" si="35"/>
        <v>336</v>
      </c>
      <c r="N87" s="66">
        <f t="shared" si="35"/>
        <v>318</v>
      </c>
      <c r="O87" s="66">
        <f t="shared" si="35"/>
        <v>325.2</v>
      </c>
      <c r="P87" s="66">
        <f t="shared" si="35"/>
        <v>355.4</v>
      </c>
      <c r="Q87" s="66">
        <f t="shared" si="35"/>
        <v>326.3</v>
      </c>
      <c r="R87" s="66">
        <f t="shared" si="35"/>
        <v>336</v>
      </c>
      <c r="S87" s="66">
        <f t="shared" si="35"/>
        <v>326</v>
      </c>
      <c r="T87" s="66">
        <f t="shared" si="35"/>
        <v>344</v>
      </c>
      <c r="U87" s="66">
        <f t="shared" si="35"/>
        <v>306.39999999999998</v>
      </c>
      <c r="V87" s="66">
        <f t="shared" si="35"/>
        <v>377</v>
      </c>
      <c r="W87" s="66">
        <f t="shared" si="35"/>
        <v>358</v>
      </c>
      <c r="X87" s="66">
        <f t="shared" si="35"/>
        <v>347</v>
      </c>
      <c r="Y87" s="66">
        <f t="shared" si="35"/>
        <v>320</v>
      </c>
      <c r="Z87" s="66">
        <f t="shared" si="35"/>
        <v>290</v>
      </c>
      <c r="AA87" s="66">
        <v>241</v>
      </c>
      <c r="AB87" s="66">
        <f t="shared" si="35"/>
        <v>214</v>
      </c>
      <c r="AC87" s="66">
        <f t="shared" si="35"/>
        <v>251</v>
      </c>
      <c r="AD87" s="66">
        <f t="shared" si="35"/>
        <v>274</v>
      </c>
      <c r="AE87" s="66">
        <f t="shared" si="35"/>
        <v>328</v>
      </c>
      <c r="AF87" s="66">
        <f t="shared" si="35"/>
        <v>332</v>
      </c>
      <c r="AG87" s="138"/>
      <c r="AH87" s="54">
        <f t="shared" si="22"/>
        <v>419</v>
      </c>
      <c r="AI87" s="55">
        <f t="shared" si="25"/>
        <v>214</v>
      </c>
      <c r="AK87" s="56"/>
    </row>
    <row r="88" spans="1:88" s="1" customFormat="1" ht="15.75" thickBot="1" x14ac:dyDescent="0.3">
      <c r="A88" s="65" t="s">
        <v>64</v>
      </c>
      <c r="B88" s="66">
        <f t="shared" ref="B88" si="36">B72-B87</f>
        <v>-297.3</v>
      </c>
      <c r="C88" s="66">
        <f t="shared" ref="C88:AF88" si="37">C72-C87</f>
        <v>-294.79999999999995</v>
      </c>
      <c r="D88" s="66">
        <f t="shared" si="37"/>
        <v>-334.1</v>
      </c>
      <c r="E88" s="66">
        <f t="shared" si="37"/>
        <v>-336.9</v>
      </c>
      <c r="F88" s="66">
        <f t="shared" si="37"/>
        <v>-329.4</v>
      </c>
      <c r="G88" s="66">
        <f t="shared" si="37"/>
        <v>-348.9</v>
      </c>
      <c r="H88" s="66">
        <f t="shared" si="37"/>
        <v>-377.79999999999995</v>
      </c>
      <c r="I88" s="66">
        <f t="shared" si="37"/>
        <v>-407</v>
      </c>
      <c r="J88" s="66">
        <f t="shared" si="37"/>
        <v>-360.9</v>
      </c>
      <c r="K88" s="66">
        <f t="shared" si="37"/>
        <v>-334.3</v>
      </c>
      <c r="L88" s="66">
        <f t="shared" si="37"/>
        <v>-320.59999999999997</v>
      </c>
      <c r="M88" s="66">
        <f t="shared" si="37"/>
        <v>-277.3</v>
      </c>
      <c r="N88" s="66">
        <f t="shared" si="37"/>
        <v>-255.8</v>
      </c>
      <c r="O88" s="66">
        <f t="shared" si="37"/>
        <v>-257.2</v>
      </c>
      <c r="P88" s="66">
        <f t="shared" si="37"/>
        <v>-294.89999999999998</v>
      </c>
      <c r="Q88" s="66">
        <f t="shared" si="37"/>
        <v>-261.89999999999998</v>
      </c>
      <c r="R88" s="66">
        <f t="shared" si="37"/>
        <v>-279.5</v>
      </c>
      <c r="S88" s="66">
        <f t="shared" si="37"/>
        <v>-251</v>
      </c>
      <c r="T88" s="66">
        <f t="shared" si="37"/>
        <v>-274</v>
      </c>
      <c r="U88" s="66">
        <f t="shared" si="37"/>
        <v>-277.39999999999998</v>
      </c>
      <c r="V88" s="66">
        <f t="shared" si="37"/>
        <v>-320</v>
      </c>
      <c r="W88" s="66">
        <f t="shared" si="37"/>
        <v>-304</v>
      </c>
      <c r="X88" s="66">
        <f t="shared" si="37"/>
        <v>-323</v>
      </c>
      <c r="Y88" s="66">
        <f t="shared" si="37"/>
        <v>-294</v>
      </c>
      <c r="Z88" s="66">
        <f t="shared" si="37"/>
        <v>-234</v>
      </c>
      <c r="AA88" s="66">
        <v>-203</v>
      </c>
      <c r="AB88" s="66">
        <f t="shared" si="37"/>
        <v>-175.1</v>
      </c>
      <c r="AC88" s="66">
        <f t="shared" si="37"/>
        <v>-223</v>
      </c>
      <c r="AD88" s="66">
        <f t="shared" si="37"/>
        <v>-224.2</v>
      </c>
      <c r="AE88" s="66">
        <f t="shared" si="37"/>
        <v>-274.7</v>
      </c>
      <c r="AF88" s="66">
        <f t="shared" si="37"/>
        <v>-277.39999999999998</v>
      </c>
      <c r="AG88" s="138"/>
      <c r="AH88" s="54">
        <f t="shared" si="22"/>
        <v>-175.1</v>
      </c>
      <c r="AI88" s="55">
        <f t="shared" si="25"/>
        <v>-407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49.91</v>
      </c>
      <c r="C89" s="80">
        <v>50.02</v>
      </c>
      <c r="D89" s="80">
        <v>50.01</v>
      </c>
      <c r="E89" s="80">
        <v>50.018000000000001</v>
      </c>
      <c r="F89" s="80">
        <v>49.994999999999997</v>
      </c>
      <c r="G89" s="80">
        <v>50.015999999999998</v>
      </c>
      <c r="H89" s="80">
        <v>49.988999999999997</v>
      </c>
      <c r="I89" s="80">
        <v>49.956000000000003</v>
      </c>
      <c r="J89" s="80">
        <v>50.012</v>
      </c>
      <c r="K89" s="80">
        <v>49.95</v>
      </c>
      <c r="L89" s="80">
        <v>50.052</v>
      </c>
      <c r="M89" s="80">
        <v>50.091999999999999</v>
      </c>
      <c r="N89" s="80">
        <v>50.21</v>
      </c>
      <c r="O89" s="80">
        <v>50.006</v>
      </c>
      <c r="P89" s="80">
        <v>50.045999999999999</v>
      </c>
      <c r="Q89" s="80">
        <v>49.96</v>
      </c>
      <c r="R89" s="80">
        <v>49.954999999999998</v>
      </c>
      <c r="S89" s="80">
        <v>50.042000000000002</v>
      </c>
      <c r="T89" s="80">
        <v>50.042000000000002</v>
      </c>
      <c r="U89" s="80">
        <v>50.029000000000003</v>
      </c>
      <c r="V89" s="80">
        <v>49.822000000000003</v>
      </c>
      <c r="W89" s="80">
        <v>49.88</v>
      </c>
      <c r="X89" s="80">
        <v>50.003999999999998</v>
      </c>
      <c r="Y89" s="80">
        <v>50.003999999999998</v>
      </c>
      <c r="Z89" s="80">
        <v>50.003999999999998</v>
      </c>
      <c r="AA89" s="80">
        <v>50.02</v>
      </c>
      <c r="AB89" s="80">
        <v>50.08</v>
      </c>
      <c r="AC89" s="80">
        <v>50.030999999999999</v>
      </c>
      <c r="AD89" s="80">
        <v>50.031999999999996</v>
      </c>
      <c r="AE89" s="80">
        <v>50.024000000000001</v>
      </c>
      <c r="AF89" s="80">
        <v>49.996000000000002</v>
      </c>
      <c r="AG89" s="145"/>
      <c r="AH89" s="54">
        <f t="shared" si="22"/>
        <v>50.21</v>
      </c>
      <c r="AI89" s="55">
        <f t="shared" si="25"/>
        <v>49.822000000000003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121.3</v>
      </c>
      <c r="C90" s="48">
        <v>121.8</v>
      </c>
      <c r="D90" s="48">
        <v>123.4</v>
      </c>
      <c r="E90" s="48">
        <v>123.4</v>
      </c>
      <c r="F90" s="48">
        <v>123.4</v>
      </c>
      <c r="G90" s="48">
        <v>123.4</v>
      </c>
      <c r="H90" s="48">
        <v>125.8</v>
      </c>
      <c r="I90" s="48">
        <v>125</v>
      </c>
      <c r="J90" s="48">
        <v>123.2</v>
      </c>
      <c r="K90" s="48">
        <v>123.2</v>
      </c>
      <c r="L90" s="48">
        <v>124.3</v>
      </c>
      <c r="M90" s="48">
        <v>123.9</v>
      </c>
      <c r="N90" s="48">
        <v>121.7</v>
      </c>
      <c r="O90" s="48">
        <v>122.3</v>
      </c>
      <c r="P90" s="48">
        <v>122</v>
      </c>
      <c r="Q90" s="48">
        <v>121.9</v>
      </c>
      <c r="R90" s="48">
        <v>121.9</v>
      </c>
      <c r="S90" s="48">
        <v>121.9</v>
      </c>
      <c r="T90" s="48">
        <v>121.9</v>
      </c>
      <c r="U90" s="48">
        <v>123.1</v>
      </c>
      <c r="V90" s="48">
        <v>123.1</v>
      </c>
      <c r="W90" s="48">
        <v>122.4</v>
      </c>
      <c r="X90" s="48">
        <v>122.4</v>
      </c>
      <c r="Y90" s="48">
        <v>122.4</v>
      </c>
      <c r="Z90" s="48">
        <v>122.4</v>
      </c>
      <c r="AA90" s="48">
        <v>126</v>
      </c>
      <c r="AB90" s="48">
        <v>124</v>
      </c>
      <c r="AC90" s="48">
        <v>125</v>
      </c>
      <c r="AD90" s="48">
        <v>125</v>
      </c>
      <c r="AE90" s="48">
        <v>124.7</v>
      </c>
      <c r="AF90" s="48">
        <v>124</v>
      </c>
      <c r="AG90" s="146"/>
      <c r="AH90" s="54">
        <f t="shared" si="22"/>
        <v>126</v>
      </c>
      <c r="AI90" s="55">
        <f t="shared" si="25"/>
        <v>121.3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127.2</v>
      </c>
      <c r="C91" s="48">
        <v>127.7</v>
      </c>
      <c r="D91" s="48">
        <v>128.6</v>
      </c>
      <c r="E91" s="48">
        <v>128.6</v>
      </c>
      <c r="F91" s="48">
        <v>128.6</v>
      </c>
      <c r="G91" s="48">
        <v>128.6</v>
      </c>
      <c r="H91" s="48">
        <v>129.80000000000001</v>
      </c>
      <c r="I91" s="48">
        <v>129</v>
      </c>
      <c r="J91" s="48">
        <v>127.5</v>
      </c>
      <c r="K91" s="48">
        <v>127.5</v>
      </c>
      <c r="L91" s="48">
        <v>127.7</v>
      </c>
      <c r="M91" s="48">
        <v>127.6</v>
      </c>
      <c r="N91" s="48">
        <v>125.4</v>
      </c>
      <c r="O91" s="48">
        <v>126.3</v>
      </c>
      <c r="P91" s="48">
        <v>125.3</v>
      </c>
      <c r="Q91" s="48">
        <v>125.8</v>
      </c>
      <c r="R91" s="48">
        <v>125.8</v>
      </c>
      <c r="S91" s="48">
        <v>125.8</v>
      </c>
      <c r="T91" s="48">
        <v>125.8</v>
      </c>
      <c r="U91" s="48">
        <v>126.6</v>
      </c>
      <c r="V91" s="48">
        <v>126.6</v>
      </c>
      <c r="W91" s="48">
        <v>126.4</v>
      </c>
      <c r="X91" s="48">
        <v>126.4</v>
      </c>
      <c r="Y91" s="48">
        <v>126.4</v>
      </c>
      <c r="Z91" s="48">
        <v>126.4</v>
      </c>
      <c r="AA91" s="48">
        <v>130</v>
      </c>
      <c r="AB91" s="48">
        <v>129.19999999999999</v>
      </c>
      <c r="AC91" s="48">
        <v>130</v>
      </c>
      <c r="AD91" s="48">
        <v>130</v>
      </c>
      <c r="AE91" s="48">
        <v>129.5</v>
      </c>
      <c r="AF91" s="48">
        <v>129.5</v>
      </c>
      <c r="AG91" s="146"/>
      <c r="AH91" s="54">
        <f t="shared" si="22"/>
        <v>130</v>
      </c>
      <c r="AI91" s="55">
        <f t="shared" si="25"/>
        <v>125.3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128.80000000000001</v>
      </c>
      <c r="C92" s="48">
        <v>130.4</v>
      </c>
      <c r="D92" s="48">
        <v>130.5</v>
      </c>
      <c r="E92" s="48">
        <v>130.5</v>
      </c>
      <c r="F92" s="48">
        <v>130.5</v>
      </c>
      <c r="G92" s="48">
        <v>130.5</v>
      </c>
      <c r="H92" s="48">
        <v>133.5</v>
      </c>
      <c r="I92" s="48">
        <v>128.9</v>
      </c>
      <c r="J92" s="48">
        <v>129.9</v>
      </c>
      <c r="K92" s="48">
        <v>129.9</v>
      </c>
      <c r="L92" s="48">
        <v>130.4</v>
      </c>
      <c r="M92" s="48">
        <v>128.69999999999999</v>
      </c>
      <c r="N92" s="48">
        <v>128.19999999999999</v>
      </c>
      <c r="O92" s="48">
        <v>132.4</v>
      </c>
      <c r="P92" s="48">
        <v>130.30000000000001</v>
      </c>
      <c r="Q92" s="48">
        <v>131.9</v>
      </c>
      <c r="R92" s="48">
        <v>130.5</v>
      </c>
      <c r="S92" s="48">
        <v>130.5</v>
      </c>
      <c r="T92" s="48">
        <v>130.5</v>
      </c>
      <c r="U92" s="48">
        <v>129.6</v>
      </c>
      <c r="V92" s="48">
        <v>129.6</v>
      </c>
      <c r="W92" s="48">
        <v>131.6</v>
      </c>
      <c r="X92" s="48">
        <v>131.6</v>
      </c>
      <c r="Y92" s="48">
        <v>131.6</v>
      </c>
      <c r="Z92" s="48">
        <v>131.6</v>
      </c>
      <c r="AA92" s="48">
        <v>129</v>
      </c>
      <c r="AB92" s="48">
        <v>129.80000000000001</v>
      </c>
      <c r="AC92" s="48">
        <v>129.5</v>
      </c>
      <c r="AD92" s="48">
        <v>129.5</v>
      </c>
      <c r="AE92" s="48">
        <v>129.5</v>
      </c>
      <c r="AF92" s="48">
        <v>128.6</v>
      </c>
      <c r="AG92" s="146"/>
      <c r="AH92" s="54">
        <f t="shared" si="22"/>
        <v>133.5</v>
      </c>
      <c r="AI92" s="55">
        <f t="shared" si="25"/>
        <v>128.19999999999999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146"/>
      <c r="AH93" s="54">
        <f t="shared" si="22"/>
        <v>0</v>
      </c>
      <c r="AI93" s="55">
        <f t="shared" si="25"/>
        <v>0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130.30000000000001</v>
      </c>
      <c r="C94" s="82">
        <v>130</v>
      </c>
      <c r="D94" s="82">
        <v>133.80000000000001</v>
      </c>
      <c r="E94" s="82">
        <v>133.80000000000001</v>
      </c>
      <c r="F94" s="82">
        <v>133.80000000000001</v>
      </c>
      <c r="G94" s="82">
        <v>133.80000000000001</v>
      </c>
      <c r="H94" s="82">
        <v>134.6</v>
      </c>
      <c r="I94" s="82">
        <v>132.5</v>
      </c>
      <c r="J94" s="82">
        <v>129</v>
      </c>
      <c r="K94" s="82">
        <v>129</v>
      </c>
      <c r="L94" s="82">
        <v>133.30000000000001</v>
      </c>
      <c r="M94" s="82">
        <v>133.4</v>
      </c>
      <c r="N94" s="82">
        <v>134</v>
      </c>
      <c r="O94" s="82">
        <v>129.69999999999999</v>
      </c>
      <c r="P94" s="82">
        <v>131.69999999999999</v>
      </c>
      <c r="Q94" s="82">
        <v>133.6</v>
      </c>
      <c r="R94" s="82">
        <v>133.5</v>
      </c>
      <c r="S94" s="82">
        <v>133.5</v>
      </c>
      <c r="T94" s="82">
        <v>133.5</v>
      </c>
      <c r="U94" s="82">
        <v>133.19999999999999</v>
      </c>
      <c r="V94" s="82">
        <v>133.19999999999999</v>
      </c>
      <c r="W94" s="82">
        <v>132.80000000000001</v>
      </c>
      <c r="X94" s="82">
        <v>132.80000000000001</v>
      </c>
      <c r="Y94" s="82">
        <v>132.80000000000001</v>
      </c>
      <c r="Z94" s="82">
        <v>132.80000000000001</v>
      </c>
      <c r="AA94" s="82">
        <v>134</v>
      </c>
      <c r="AB94" s="82">
        <v>130</v>
      </c>
      <c r="AC94" s="82">
        <v>129.69999999999999</v>
      </c>
      <c r="AD94" s="82">
        <v>129.69999999999999</v>
      </c>
      <c r="AE94" s="82">
        <v>132</v>
      </c>
      <c r="AF94" s="82">
        <v>133</v>
      </c>
      <c r="AG94" s="147"/>
      <c r="AH94" s="54">
        <f t="shared" si="22"/>
        <v>134.6</v>
      </c>
      <c r="AI94" s="55">
        <f t="shared" si="25"/>
        <v>129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126</v>
      </c>
      <c r="C95" s="48">
        <v>126.9</v>
      </c>
      <c r="D95" s="48">
        <v>128.6</v>
      </c>
      <c r="E95" s="48">
        <v>128.6</v>
      </c>
      <c r="F95" s="48">
        <v>128.6</v>
      </c>
      <c r="G95" s="48">
        <v>128.6</v>
      </c>
      <c r="H95" s="48">
        <v>133.30000000000001</v>
      </c>
      <c r="I95" s="48">
        <v>130.6</v>
      </c>
      <c r="J95" s="48">
        <v>124.1</v>
      </c>
      <c r="K95" s="48">
        <v>124.1</v>
      </c>
      <c r="L95" s="48">
        <v>128</v>
      </c>
      <c r="M95" s="48">
        <v>131</v>
      </c>
      <c r="N95" s="48">
        <v>126.8</v>
      </c>
      <c r="O95" s="48">
        <v>129.9</v>
      </c>
      <c r="P95" s="48">
        <v>129.1</v>
      </c>
      <c r="Q95" s="48">
        <v>126</v>
      </c>
      <c r="R95" s="48">
        <v>130.19999999999999</v>
      </c>
      <c r="S95" s="48">
        <v>130.19999999999999</v>
      </c>
      <c r="T95" s="48">
        <v>130.19999999999999</v>
      </c>
      <c r="U95" s="48">
        <v>130.1</v>
      </c>
      <c r="V95" s="48">
        <v>130.1</v>
      </c>
      <c r="W95" s="48">
        <v>1333</v>
      </c>
      <c r="X95" s="48">
        <v>1333</v>
      </c>
      <c r="Y95" s="48">
        <v>1333</v>
      </c>
      <c r="Z95" s="48">
        <v>1333</v>
      </c>
      <c r="AA95" s="48">
        <v>125</v>
      </c>
      <c r="AB95" s="48">
        <v>124.5</v>
      </c>
      <c r="AC95" s="48">
        <v>124.6</v>
      </c>
      <c r="AD95" s="48">
        <v>124.6</v>
      </c>
      <c r="AE95" s="48">
        <v>127.8</v>
      </c>
      <c r="AF95" s="48">
        <v>132</v>
      </c>
      <c r="AG95" s="146"/>
      <c r="AH95" s="54">
        <f t="shared" si="22"/>
        <v>1333</v>
      </c>
      <c r="AI95" s="55">
        <f t="shared" si="25"/>
        <v>124.1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64.3</v>
      </c>
      <c r="C96" s="83">
        <v>64.599999999999994</v>
      </c>
      <c r="D96" s="83">
        <v>65.2</v>
      </c>
      <c r="E96" s="83">
        <v>65.099999999999994</v>
      </c>
      <c r="F96" s="83">
        <v>65.099999999999994</v>
      </c>
      <c r="G96" s="83">
        <v>65.099999999999994</v>
      </c>
      <c r="H96" s="83">
        <v>65.400000000000006</v>
      </c>
      <c r="I96" s="83">
        <v>65.099999999999994</v>
      </c>
      <c r="J96" s="83">
        <v>64.400000000000006</v>
      </c>
      <c r="K96" s="83">
        <v>64.400000000000006</v>
      </c>
      <c r="L96" s="83">
        <v>64.3</v>
      </c>
      <c r="M96" s="83">
        <v>64.400000000000006</v>
      </c>
      <c r="N96" s="83">
        <v>63.4</v>
      </c>
      <c r="O96" s="83">
        <v>63.7</v>
      </c>
      <c r="P96" s="83">
        <v>62.7</v>
      </c>
      <c r="Q96" s="83">
        <v>63.2</v>
      </c>
      <c r="R96" s="83">
        <v>63.2</v>
      </c>
      <c r="S96" s="83">
        <v>63.2</v>
      </c>
      <c r="T96" s="83">
        <v>63.2</v>
      </c>
      <c r="U96" s="83">
        <v>63.7</v>
      </c>
      <c r="V96" s="83">
        <v>63.7</v>
      </c>
      <c r="W96" s="83">
        <v>63.7</v>
      </c>
      <c r="X96" s="83">
        <v>63.7</v>
      </c>
      <c r="Y96" s="83">
        <v>63.7</v>
      </c>
      <c r="Z96" s="83">
        <v>63.7</v>
      </c>
      <c r="AA96" s="83">
        <v>65.5</v>
      </c>
      <c r="AB96" s="83">
        <v>65.5</v>
      </c>
      <c r="AC96" s="83">
        <v>65</v>
      </c>
      <c r="AD96" s="83">
        <v>65</v>
      </c>
      <c r="AE96" s="83">
        <v>65.5</v>
      </c>
      <c r="AF96" s="83">
        <v>65.5</v>
      </c>
      <c r="AG96" s="148"/>
      <c r="AH96" s="54">
        <f t="shared" si="22"/>
        <v>65.5</v>
      </c>
      <c r="AI96" s="55">
        <f t="shared" si="25"/>
        <v>62.7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22"/>
        <v>0</v>
      </c>
      <c r="AI97" s="55">
        <f t="shared" si="25"/>
        <v>0</v>
      </c>
    </row>
    <row r="98" spans="1:37" ht="15.75" thickBot="1" x14ac:dyDescent="0.3">
      <c r="A98" s="85" t="s">
        <v>73</v>
      </c>
      <c r="B98" s="86">
        <f t="shared" ref="B98" si="38">SUM(B15,B18,B21:B22,B46,B48:B49,B51,B53,B99:B102,B123,B129,B135,B144,B146,B158,B165,B168:B169,B176,B178,B180,B184:B186,B188:B190,B195,B201:B202,B204:B206,B214,B219)</f>
        <v>89.899999999999991</v>
      </c>
      <c r="C98" s="86">
        <f t="shared" ref="C98:AF98" si="39">SUM(C15,C18,C21:C22,C46,C48:C49,C51,C53,C99:C102,C123,C129,C135,C144,C146,C158,C165,C168:C169,C176,C178,C180,C184:C186,C188:C190,C195,C201:C202,C204:C206,C214,C219)</f>
        <v>93.839999999999989</v>
      </c>
      <c r="D98" s="86">
        <f t="shared" si="39"/>
        <v>74.94</v>
      </c>
      <c r="E98" s="86">
        <f t="shared" si="39"/>
        <v>46.640000000000008</v>
      </c>
      <c r="F98" s="86">
        <f t="shared" si="39"/>
        <v>36.140000000000008</v>
      </c>
      <c r="G98" s="86">
        <f t="shared" si="39"/>
        <v>57.039999999999992</v>
      </c>
      <c r="H98" s="86">
        <f t="shared" si="39"/>
        <v>81.240000000000023</v>
      </c>
      <c r="I98" s="86">
        <f t="shared" si="39"/>
        <v>84.839999999999975</v>
      </c>
      <c r="J98" s="86">
        <f t="shared" si="39"/>
        <v>123.43999999999998</v>
      </c>
      <c r="K98" s="86">
        <f t="shared" si="39"/>
        <v>137.63999999999999</v>
      </c>
      <c r="L98" s="86">
        <f t="shared" si="39"/>
        <v>141.84000000000003</v>
      </c>
      <c r="M98" s="86">
        <f t="shared" si="39"/>
        <v>180.54000000000002</v>
      </c>
      <c r="N98" s="86">
        <f t="shared" si="39"/>
        <v>171.14000000000001</v>
      </c>
      <c r="O98" s="86">
        <f t="shared" si="39"/>
        <v>129.44000000000003</v>
      </c>
      <c r="P98" s="86">
        <f t="shared" si="39"/>
        <v>199.74</v>
      </c>
      <c r="Q98" s="86">
        <f t="shared" si="39"/>
        <v>191.9</v>
      </c>
      <c r="R98" s="86">
        <f t="shared" si="39"/>
        <v>187.29999999999998</v>
      </c>
      <c r="S98" s="86">
        <f t="shared" si="39"/>
        <v>178.5</v>
      </c>
      <c r="T98" s="86">
        <f t="shared" si="39"/>
        <v>187.5</v>
      </c>
      <c r="U98" s="86">
        <f t="shared" si="39"/>
        <v>209.5</v>
      </c>
      <c r="V98" s="86">
        <f t="shared" si="39"/>
        <v>203.5</v>
      </c>
      <c r="W98" s="86">
        <f t="shared" si="39"/>
        <v>202.5</v>
      </c>
      <c r="X98" s="86">
        <f t="shared" si="39"/>
        <v>230.5</v>
      </c>
      <c r="Y98" s="86">
        <f t="shared" si="39"/>
        <v>229.5</v>
      </c>
      <c r="Z98" s="86">
        <f t="shared" si="39"/>
        <v>355</v>
      </c>
      <c r="AA98" s="86">
        <v>363.6970833333333</v>
      </c>
      <c r="AB98" s="86">
        <f t="shared" si="39"/>
        <v>240.49999999999997</v>
      </c>
      <c r="AC98" s="86">
        <f t="shared" si="39"/>
        <v>182.8</v>
      </c>
      <c r="AD98" s="86">
        <f t="shared" si="39"/>
        <v>167.4</v>
      </c>
      <c r="AE98" s="86">
        <f t="shared" si="39"/>
        <v>100.19999999999997</v>
      </c>
      <c r="AF98" s="86">
        <f t="shared" si="39"/>
        <v>66.599999999999994</v>
      </c>
      <c r="AG98" s="150"/>
      <c r="AH98" s="54">
        <f>MAX(C98:AF98)</f>
        <v>363.6970833333333</v>
      </c>
      <c r="AI98" s="55">
        <f>MIN(C98:AF98)</f>
        <v>36.140000000000008</v>
      </c>
    </row>
    <row r="99" spans="1:37" x14ac:dyDescent="0.25">
      <c r="A99" s="170" t="s">
        <v>74</v>
      </c>
      <c r="B99" s="87">
        <f>35.8+16.6</f>
        <v>52.4</v>
      </c>
      <c r="C99" s="87">
        <f>39.3+20</f>
        <v>59.3</v>
      </c>
      <c r="D99" s="87">
        <f>37.3+17.8</f>
        <v>55.099999999999994</v>
      </c>
      <c r="E99" s="87">
        <v>17.5</v>
      </c>
      <c r="F99" s="87">
        <v>17.5</v>
      </c>
      <c r="G99" s="87">
        <v>17.2</v>
      </c>
      <c r="H99" s="87">
        <v>24.5</v>
      </c>
      <c r="I99" s="87">
        <v>27.5</v>
      </c>
      <c r="J99" s="87">
        <v>28.6</v>
      </c>
      <c r="K99" s="87">
        <v>27.2</v>
      </c>
      <c r="L99" s="87">
        <v>40.700000000000003</v>
      </c>
      <c r="M99" s="87">
        <v>37.9</v>
      </c>
      <c r="N99" s="87">
        <v>36.6</v>
      </c>
      <c r="O99" s="87">
        <v>37.6</v>
      </c>
      <c r="P99" s="87">
        <v>39.5</v>
      </c>
      <c r="Q99" s="87">
        <v>32.299999999999997</v>
      </c>
      <c r="R99" s="87">
        <v>34.1</v>
      </c>
      <c r="S99" s="87">
        <v>35</v>
      </c>
      <c r="T99" s="87">
        <v>38</v>
      </c>
      <c r="U99" s="87">
        <v>33.6</v>
      </c>
      <c r="V99" s="87">
        <v>45</v>
      </c>
      <c r="W99" s="87">
        <v>40</v>
      </c>
      <c r="X99" s="87">
        <v>40</v>
      </c>
      <c r="Y99" s="87">
        <v>45</v>
      </c>
      <c r="Z99" s="87">
        <v>39</v>
      </c>
      <c r="AA99" s="87">
        <v>22</v>
      </c>
      <c r="AB99" s="87">
        <v>29.4</v>
      </c>
      <c r="AC99" s="87">
        <v>25.9</v>
      </c>
      <c r="AD99" s="87">
        <v>32.299999999999997</v>
      </c>
      <c r="AE99" s="87">
        <v>30.7</v>
      </c>
      <c r="AF99" s="87">
        <v>24.3</v>
      </c>
      <c r="AG99" s="151">
        <v>75</v>
      </c>
      <c r="AH99" s="54">
        <f t="shared" ref="AH99:AH105" si="40">IF(ABS(MAX(C99:AF99))&gt;ABS(MIN(C99:AF99)),MAX(C99:AF99),MIN(C99:AF99))</f>
        <v>59.3</v>
      </c>
      <c r="AI99" s="89">
        <f t="shared" ref="AI99:AI105" si="41">INDEX($C$9:$AF$9,1,MATCH(AH99,C99:AF99,0))</f>
        <v>4.1666666666666664E-2</v>
      </c>
    </row>
    <row r="100" spans="1:37" x14ac:dyDescent="0.25">
      <c r="A100" s="163" t="s">
        <v>75</v>
      </c>
      <c r="B100" s="90">
        <f>-70.5-75.7</f>
        <v>-146.19999999999999</v>
      </c>
      <c r="C100" s="90">
        <f>-66.4-71.2</f>
        <v>-137.60000000000002</v>
      </c>
      <c r="D100" s="90">
        <f>-77.9-73.9</f>
        <v>-151.80000000000001</v>
      </c>
      <c r="E100" s="90">
        <v>-141</v>
      </c>
      <c r="F100" s="90">
        <v>-141</v>
      </c>
      <c r="G100" s="90">
        <v>-124</v>
      </c>
      <c r="H100" s="90">
        <v>-114</v>
      </c>
      <c r="I100" s="90">
        <v>-108</v>
      </c>
      <c r="J100" s="90">
        <v>-73</v>
      </c>
      <c r="K100" s="90">
        <v>-69</v>
      </c>
      <c r="L100" s="90">
        <v>-80</v>
      </c>
      <c r="M100" s="90">
        <v>-50</v>
      </c>
      <c r="N100" s="90">
        <v>-21.2</v>
      </c>
      <c r="O100" s="90">
        <v>-65.599999999999994</v>
      </c>
      <c r="P100" s="90">
        <v>-63</v>
      </c>
      <c r="Q100" s="90">
        <v>-73.2</v>
      </c>
      <c r="R100" s="90">
        <v>-79</v>
      </c>
      <c r="S100" s="90">
        <v>-81</v>
      </c>
      <c r="T100" s="90">
        <v>-86</v>
      </c>
      <c r="U100" s="90">
        <f>-34.9-37.4</f>
        <v>-72.3</v>
      </c>
      <c r="V100" s="90">
        <v>-81</v>
      </c>
      <c r="W100" s="90">
        <v>-74</v>
      </c>
      <c r="X100" s="90">
        <v>-48</v>
      </c>
      <c r="Y100" s="90">
        <v>-60</v>
      </c>
      <c r="Z100" s="90">
        <f>--49</f>
        <v>49</v>
      </c>
      <c r="AA100" s="90"/>
      <c r="AB100" s="90">
        <f>-39.5-27.2</f>
        <v>-66.7</v>
      </c>
      <c r="AC100" s="90">
        <v>-75</v>
      </c>
      <c r="AD100" s="90">
        <v>-90</v>
      </c>
      <c r="AE100" s="90">
        <v>-118</v>
      </c>
      <c r="AF100" s="90">
        <v>-132</v>
      </c>
      <c r="AG100" s="151">
        <v>240</v>
      </c>
      <c r="AH100" s="54">
        <f t="shared" si="40"/>
        <v>-151.80000000000001</v>
      </c>
      <c r="AI100" s="89">
        <f t="shared" si="41"/>
        <v>8.3333333333333301E-2</v>
      </c>
    </row>
    <row r="101" spans="1:37" x14ac:dyDescent="0.25">
      <c r="A101" s="163" t="s">
        <v>76</v>
      </c>
      <c r="B101" s="90">
        <v>-5.7</v>
      </c>
      <c r="C101" s="90">
        <v>-17.3</v>
      </c>
      <c r="D101" s="90">
        <v>-17.600000000000001</v>
      </c>
      <c r="E101" s="90">
        <v>-19.100000000000001</v>
      </c>
      <c r="F101" s="90">
        <v>-19.100000000000001</v>
      </c>
      <c r="G101" s="90">
        <v>-5</v>
      </c>
      <c r="H101" s="90">
        <v>-2.2999999999999998</v>
      </c>
      <c r="I101" s="90">
        <v>-0.5</v>
      </c>
      <c r="J101" s="90">
        <v>3.2</v>
      </c>
      <c r="K101" s="90">
        <v>14.7</v>
      </c>
      <c r="L101" s="90">
        <v>17.8</v>
      </c>
      <c r="M101" s="90">
        <v>21</v>
      </c>
      <c r="N101" s="90">
        <v>9.1</v>
      </c>
      <c r="O101" s="90">
        <v>10.8</v>
      </c>
      <c r="P101" s="90">
        <v>1</v>
      </c>
      <c r="Q101" s="90">
        <v>10.199999999999999</v>
      </c>
      <c r="R101" s="90">
        <v>13.6</v>
      </c>
      <c r="S101" s="90">
        <v>12</v>
      </c>
      <c r="T101" s="90">
        <v>13</v>
      </c>
      <c r="U101" s="90">
        <v>13.5</v>
      </c>
      <c r="V101" s="90">
        <v>16</v>
      </c>
      <c r="W101" s="90">
        <v>15</v>
      </c>
      <c r="X101" s="90">
        <v>19</v>
      </c>
      <c r="Y101" s="90">
        <v>14</v>
      </c>
      <c r="Z101" s="90">
        <v>23</v>
      </c>
      <c r="AA101" s="90">
        <v>38</v>
      </c>
      <c r="AB101" s="90">
        <v>55</v>
      </c>
      <c r="AC101" s="90">
        <v>26</v>
      </c>
      <c r="AD101" s="90">
        <v>22.7</v>
      </c>
      <c r="AE101" s="90">
        <v>26.3</v>
      </c>
      <c r="AF101" s="90">
        <v>15</v>
      </c>
      <c r="AG101" s="151">
        <v>60</v>
      </c>
      <c r="AH101" s="54">
        <f t="shared" si="40"/>
        <v>55</v>
      </c>
      <c r="AI101" s="89">
        <f t="shared" si="41"/>
        <v>0.83333333333333337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0</v>
      </c>
      <c r="M102" s="91">
        <v>0</v>
      </c>
      <c r="N102" s="91">
        <v>0</v>
      </c>
      <c r="O102" s="91">
        <v>0</v>
      </c>
      <c r="P102" s="91">
        <v>75.599999999999994</v>
      </c>
      <c r="Q102" s="91">
        <v>77.099999999999994</v>
      </c>
      <c r="R102" s="91">
        <v>73.099999999999994</v>
      </c>
      <c r="S102" s="91">
        <v>67</v>
      </c>
      <c r="T102" s="91">
        <v>57</v>
      </c>
      <c r="U102" s="91">
        <v>69.2</v>
      </c>
      <c r="V102" s="91">
        <v>53</v>
      </c>
      <c r="W102" s="91">
        <v>66</v>
      </c>
      <c r="X102" s="91">
        <v>49</v>
      </c>
      <c r="Y102" s="91">
        <v>60</v>
      </c>
      <c r="Z102" s="91">
        <v>62</v>
      </c>
      <c r="AA102" s="91">
        <v>55</v>
      </c>
      <c r="AB102" s="91">
        <v>61.6</v>
      </c>
      <c r="AC102" s="91">
        <v>44.7</v>
      </c>
      <c r="AD102" s="91">
        <v>41.2</v>
      </c>
      <c r="AE102" s="91">
        <v>0</v>
      </c>
      <c r="AF102" s="91">
        <v>0</v>
      </c>
      <c r="AG102" s="152">
        <v>120</v>
      </c>
      <c r="AH102" s="54">
        <f t="shared" si="40"/>
        <v>77.099999999999994</v>
      </c>
      <c r="AI102" s="89">
        <f t="shared" si="41"/>
        <v>0.5</v>
      </c>
    </row>
    <row r="103" spans="1:37" x14ac:dyDescent="0.25">
      <c r="A103" s="164" t="s">
        <v>78</v>
      </c>
      <c r="B103" s="91">
        <v>41.9</v>
      </c>
      <c r="C103" s="91">
        <v>49</v>
      </c>
      <c r="D103" s="91">
        <v>40.700000000000003</v>
      </c>
      <c r="E103" s="91">
        <v>45.2</v>
      </c>
      <c r="F103" s="91">
        <v>45.2</v>
      </c>
      <c r="G103" s="91">
        <v>56.7</v>
      </c>
      <c r="H103" s="91">
        <v>41.5</v>
      </c>
      <c r="I103" s="91">
        <v>46.5</v>
      </c>
      <c r="J103" s="91">
        <v>77.5</v>
      </c>
      <c r="K103" s="91">
        <v>76.7</v>
      </c>
      <c r="L103" s="91">
        <v>52.6</v>
      </c>
      <c r="M103" s="91">
        <v>72</v>
      </c>
      <c r="N103" s="91">
        <v>97.8</v>
      </c>
      <c r="O103" s="91">
        <v>97.8</v>
      </c>
      <c r="P103" s="91">
        <v>64.7</v>
      </c>
      <c r="Q103" s="91">
        <v>69.5</v>
      </c>
      <c r="R103" s="91">
        <v>69.2</v>
      </c>
      <c r="S103" s="91">
        <v>66</v>
      </c>
      <c r="T103" s="91">
        <v>60</v>
      </c>
      <c r="U103" s="91">
        <v>61.9</v>
      </c>
      <c r="V103" s="91">
        <v>44</v>
      </c>
      <c r="W103" s="91">
        <v>59</v>
      </c>
      <c r="X103" s="91">
        <v>78</v>
      </c>
      <c r="Y103" s="91">
        <v>60</v>
      </c>
      <c r="Z103" s="91">
        <v>79</v>
      </c>
      <c r="AA103" s="91">
        <v>88</v>
      </c>
      <c r="AB103" s="91">
        <v>84.1</v>
      </c>
      <c r="AC103" s="91">
        <v>83.7</v>
      </c>
      <c r="AD103" s="91">
        <v>69.3</v>
      </c>
      <c r="AE103" s="91">
        <v>52.1</v>
      </c>
      <c r="AF103" s="91">
        <v>43.8</v>
      </c>
      <c r="AG103" s="152"/>
      <c r="AH103" s="54">
        <f t="shared" si="40"/>
        <v>97.8</v>
      </c>
      <c r="AI103" s="89">
        <f t="shared" si="41"/>
        <v>0.375</v>
      </c>
    </row>
    <row r="104" spans="1:37" x14ac:dyDescent="0.25">
      <c r="A104" s="164" t="s">
        <v>105</v>
      </c>
      <c r="B104" s="91">
        <v>46.7</v>
      </c>
      <c r="C104" s="91">
        <v>39.299999999999997</v>
      </c>
      <c r="D104" s="91">
        <v>46</v>
      </c>
      <c r="E104" s="91">
        <v>45.8</v>
      </c>
      <c r="F104" s="91">
        <v>45.8</v>
      </c>
      <c r="G104" s="91">
        <v>54</v>
      </c>
      <c r="H104" s="91">
        <v>31.2</v>
      </c>
      <c r="I104" s="91">
        <v>31.3</v>
      </c>
      <c r="J104" s="91">
        <v>38.200000000000003</v>
      </c>
      <c r="K104" s="91">
        <v>41.6</v>
      </c>
      <c r="L104" s="91">
        <v>-9.5</v>
      </c>
      <c r="M104" s="91">
        <v>-8</v>
      </c>
      <c r="N104" s="91">
        <v>4.5</v>
      </c>
      <c r="O104" s="91">
        <v>4.5</v>
      </c>
      <c r="P104" s="91">
        <v>-21.3</v>
      </c>
      <c r="Q104" s="91">
        <v>5.5</v>
      </c>
      <c r="R104" s="91">
        <v>3.7</v>
      </c>
      <c r="S104" s="91">
        <v>0</v>
      </c>
      <c r="T104" s="91">
        <v>-19</v>
      </c>
      <c r="U104" s="91">
        <v>5.4</v>
      </c>
      <c r="V104" s="91">
        <v>-41</v>
      </c>
      <c r="W104" s="91">
        <v>-35</v>
      </c>
      <c r="X104" s="91">
        <v>-4</v>
      </c>
      <c r="Y104" s="91">
        <v>-38</v>
      </c>
      <c r="Z104" s="91">
        <v>-9</v>
      </c>
      <c r="AA104" s="91">
        <v>42</v>
      </c>
      <c r="AB104" s="91">
        <v>31</v>
      </c>
      <c r="AC104" s="91">
        <v>37</v>
      </c>
      <c r="AD104" s="91">
        <v>9.9</v>
      </c>
      <c r="AE104" s="91">
        <v>29</v>
      </c>
      <c r="AF104" s="91">
        <v>28.2</v>
      </c>
      <c r="AG104" s="153"/>
      <c r="AH104" s="54">
        <f t="shared" si="40"/>
        <v>54</v>
      </c>
      <c r="AI104" s="89">
        <f t="shared" si="41"/>
        <v>0.20833333333333301</v>
      </c>
    </row>
    <row r="105" spans="1:37" ht="15.75" thickBot="1" x14ac:dyDescent="0.3">
      <c r="A105" s="171" t="s">
        <v>106</v>
      </c>
      <c r="B105" s="82">
        <v>101.6</v>
      </c>
      <c r="C105" s="82">
        <v>102.6</v>
      </c>
      <c r="D105" s="82">
        <v>105.4</v>
      </c>
      <c r="E105" s="82">
        <v>105.7</v>
      </c>
      <c r="F105" s="82">
        <v>105.7</v>
      </c>
      <c r="G105" s="82">
        <v>112.4</v>
      </c>
      <c r="H105" s="82">
        <v>113.2</v>
      </c>
      <c r="I105" s="82">
        <v>107.4</v>
      </c>
      <c r="J105" s="82">
        <v>109.9</v>
      </c>
      <c r="K105" s="82">
        <v>106.3</v>
      </c>
      <c r="L105" s="82">
        <v>101.1</v>
      </c>
      <c r="M105" s="82">
        <v>102</v>
      </c>
      <c r="N105" s="82">
        <v>102.5</v>
      </c>
      <c r="O105" s="82">
        <v>103.1</v>
      </c>
      <c r="P105" s="82">
        <v>106.5</v>
      </c>
      <c r="Q105" s="82">
        <v>104.6</v>
      </c>
      <c r="R105" s="82">
        <v>107.5</v>
      </c>
      <c r="S105" s="82">
        <v>103</v>
      </c>
      <c r="T105" s="82">
        <v>104</v>
      </c>
      <c r="U105" s="82">
        <v>103.2</v>
      </c>
      <c r="V105" s="82">
        <v>106</v>
      </c>
      <c r="W105" s="82">
        <v>99</v>
      </c>
      <c r="X105" s="82">
        <v>92</v>
      </c>
      <c r="Y105" s="82">
        <v>96</v>
      </c>
      <c r="Z105" s="82">
        <v>92</v>
      </c>
      <c r="AA105" s="82">
        <v>30</v>
      </c>
      <c r="AB105" s="82">
        <v>85.8</v>
      </c>
      <c r="AC105" s="82">
        <v>95.7</v>
      </c>
      <c r="AD105" s="82">
        <v>100</v>
      </c>
      <c r="AE105" s="82">
        <v>99.3</v>
      </c>
      <c r="AF105" s="82">
        <v>74.8</v>
      </c>
      <c r="AG105" s="153"/>
      <c r="AH105" s="54">
        <f t="shared" si="40"/>
        <v>113.2</v>
      </c>
      <c r="AI105" s="89">
        <f t="shared" si="41"/>
        <v>0.22916666666666666</v>
      </c>
    </row>
    <row r="106" spans="1:37" ht="15.75" thickBot="1" x14ac:dyDescent="0.3">
      <c r="A106" s="92" t="s">
        <v>79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154"/>
      <c r="AH106" s="94"/>
      <c r="AI106" s="55"/>
      <c r="AK106" s="56"/>
    </row>
    <row r="107" spans="1:37" x14ac:dyDescent="0.25">
      <c r="A107" s="162" t="s">
        <v>133</v>
      </c>
      <c r="B107" s="95"/>
      <c r="C107" s="53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6">
        <v>9.94</v>
      </c>
      <c r="AH107" s="54"/>
      <c r="AI107" s="55"/>
      <c r="AK107" s="56"/>
    </row>
    <row r="108" spans="1:37" x14ac:dyDescent="0.25">
      <c r="A108" s="163" t="s">
        <v>134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/>
      <c r="AH108" s="54"/>
      <c r="AI108" s="55"/>
      <c r="AK108" s="56"/>
    </row>
    <row r="109" spans="1:37" x14ac:dyDescent="0.25">
      <c r="A109" s="163" t="s">
        <v>135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136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137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138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139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140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141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142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143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144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145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146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147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148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149</v>
      </c>
      <c r="B123" s="97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9">
        <v>9.9</v>
      </c>
      <c r="AH123" s="54"/>
      <c r="AI123" s="55"/>
      <c r="AK123" s="56"/>
    </row>
    <row r="124" spans="1:37" x14ac:dyDescent="0.25">
      <c r="A124" s="164" t="s">
        <v>80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100">
        <v>9.6579999999999995</v>
      </c>
      <c r="AH124" s="54"/>
      <c r="AI124" s="55"/>
      <c r="AK124" s="56"/>
    </row>
    <row r="125" spans="1:37" x14ac:dyDescent="0.25">
      <c r="A125" s="164" t="s">
        <v>150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</v>
      </c>
      <c r="AH125" s="54"/>
      <c r="AI125" s="55"/>
      <c r="AK125" s="56"/>
    </row>
    <row r="126" spans="1:37" x14ac:dyDescent="0.25">
      <c r="A126" s="164" t="s">
        <v>151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9.51</v>
      </c>
      <c r="AH126" s="54"/>
      <c r="AI126" s="55"/>
      <c r="AK126" s="56"/>
    </row>
    <row r="127" spans="1:37" x14ac:dyDescent="0.25">
      <c r="A127" s="164" t="s">
        <v>152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9.4</v>
      </c>
      <c r="AH127" s="54"/>
      <c r="AI127" s="55"/>
      <c r="AK127" s="56"/>
    </row>
    <row r="128" spans="1:37" x14ac:dyDescent="0.25">
      <c r="A128" s="164" t="s">
        <v>153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8.8000000000000007</v>
      </c>
      <c r="AH128" s="54"/>
      <c r="AI128" s="55"/>
      <c r="AK128" s="56"/>
    </row>
    <row r="129" spans="1:37" x14ac:dyDescent="0.25">
      <c r="A129" s="164" t="s">
        <v>154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8.5</v>
      </c>
      <c r="AH129" s="54"/>
      <c r="AI129" s="55"/>
      <c r="AK129" s="56"/>
    </row>
    <row r="130" spans="1:37" x14ac:dyDescent="0.25">
      <c r="A130" s="164" t="s">
        <v>155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156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8.4</v>
      </c>
      <c r="AH131" s="54"/>
      <c r="AI131" s="55"/>
      <c r="AK131" s="56"/>
    </row>
    <row r="132" spans="1:37" ht="13.5" customHeight="1" x14ac:dyDescent="0.25">
      <c r="A132" s="164" t="s">
        <v>157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</v>
      </c>
      <c r="AH132" s="54"/>
      <c r="AI132" s="55"/>
      <c r="AK132" s="56"/>
    </row>
    <row r="133" spans="1:37" x14ac:dyDescent="0.25">
      <c r="A133" s="164" t="s">
        <v>158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159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160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7.8</v>
      </c>
      <c r="AH135" s="54"/>
      <c r="AI135" s="55"/>
      <c r="AK135" s="56"/>
    </row>
    <row r="136" spans="1:37" x14ac:dyDescent="0.25">
      <c r="A136" s="164" t="s">
        <v>161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7.6</v>
      </c>
      <c r="AH136" s="54"/>
      <c r="AI136" s="55"/>
      <c r="AK136" s="56"/>
    </row>
    <row r="137" spans="1:37" x14ac:dyDescent="0.25">
      <c r="A137" s="164" t="s">
        <v>162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7.5</v>
      </c>
      <c r="AH137" s="54"/>
      <c r="AI137" s="55"/>
      <c r="AK137" s="56"/>
    </row>
    <row r="138" spans="1:37" x14ac:dyDescent="0.25">
      <c r="A138" s="164" t="s">
        <v>163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164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</v>
      </c>
      <c r="AH139" s="54"/>
      <c r="AI139" s="55"/>
      <c r="AK139" s="56"/>
    </row>
    <row r="140" spans="1:37" x14ac:dyDescent="0.25">
      <c r="A140" s="164" t="s">
        <v>165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166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167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168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6.6</v>
      </c>
      <c r="AH143" s="54"/>
      <c r="AI143" s="55"/>
      <c r="AK143" s="56"/>
    </row>
    <row r="144" spans="1:37" x14ac:dyDescent="0.25">
      <c r="A144" s="164" t="s">
        <v>169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170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6.4</v>
      </c>
      <c r="AH145" s="54"/>
      <c r="AI145" s="55"/>
      <c r="AK145" s="56"/>
    </row>
    <row r="146" spans="1:37" x14ac:dyDescent="0.25">
      <c r="A146" s="164" t="s">
        <v>171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</v>
      </c>
      <c r="AH146" s="54"/>
      <c r="AI146" s="55"/>
      <c r="AK146" s="56"/>
    </row>
    <row r="147" spans="1:37" x14ac:dyDescent="0.25">
      <c r="A147" s="164" t="s">
        <v>172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5.0999999999999996</v>
      </c>
      <c r="AH147" s="54"/>
      <c r="AI147" s="55"/>
      <c r="AK147" s="56"/>
    </row>
    <row r="148" spans="1:37" x14ac:dyDescent="0.25">
      <c r="A148" s="164" t="s">
        <v>173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</v>
      </c>
      <c r="AH148" s="54"/>
      <c r="AI148" s="55"/>
      <c r="AK148" s="56"/>
    </row>
    <row r="149" spans="1:37" x14ac:dyDescent="0.25">
      <c r="A149" s="163" t="s">
        <v>174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9">
        <v>5</v>
      </c>
      <c r="AH149" s="54"/>
      <c r="AI149" s="55"/>
      <c r="AK149" s="56"/>
    </row>
    <row r="150" spans="1:37" x14ac:dyDescent="0.25">
      <c r="A150" s="164" t="s">
        <v>175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100">
        <v>5</v>
      </c>
      <c r="AH150" s="54"/>
      <c r="AI150" s="55"/>
      <c r="AK150" s="56"/>
    </row>
    <row r="151" spans="1:37" x14ac:dyDescent="0.25">
      <c r="A151" s="164" t="s">
        <v>176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177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178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179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180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4.9930000000000003</v>
      </c>
      <c r="AH155" s="54"/>
      <c r="AI155" s="55"/>
      <c r="AK155" s="56"/>
    </row>
    <row r="156" spans="1:37" x14ac:dyDescent="0.25">
      <c r="A156" s="164" t="s">
        <v>181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4.9800000000000004</v>
      </c>
      <c r="AH156" s="54"/>
      <c r="AI156" s="55"/>
      <c r="AK156" s="56"/>
    </row>
    <row r="157" spans="1:37" x14ac:dyDescent="0.25">
      <c r="A157" s="164" t="s">
        <v>182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4.95</v>
      </c>
      <c r="AH157" s="54"/>
      <c r="AI157" s="55"/>
      <c r="AK157" s="56"/>
    </row>
    <row r="158" spans="1:37" x14ac:dyDescent="0.25">
      <c r="A158" s="164" t="s">
        <v>81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183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4.8</v>
      </c>
      <c r="AH159" s="54"/>
      <c r="AI159" s="55"/>
      <c r="AK159" s="56"/>
    </row>
    <row r="160" spans="1:37" x14ac:dyDescent="0.25">
      <c r="A160" s="164" t="s">
        <v>184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185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186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4.5</v>
      </c>
      <c r="AH162" s="54"/>
      <c r="AI162" s="55"/>
      <c r="AK162" s="56"/>
    </row>
    <row r="163" spans="1:37" x14ac:dyDescent="0.25">
      <c r="A163" s="164" t="s">
        <v>187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188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4.4550000000000001</v>
      </c>
      <c r="AH164" s="54"/>
      <c r="AI164" s="55"/>
      <c r="AK164" s="56"/>
    </row>
    <row r="165" spans="1:37" x14ac:dyDescent="0.25">
      <c r="A165" s="164" t="s">
        <v>189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4.41</v>
      </c>
      <c r="AH165" s="54"/>
      <c r="AI165" s="55"/>
      <c r="AK165" s="56"/>
    </row>
    <row r="166" spans="1:37" x14ac:dyDescent="0.25">
      <c r="A166" s="164" t="s">
        <v>190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4.4000000000000004</v>
      </c>
      <c r="AH166" s="54"/>
      <c r="AI166" s="55"/>
      <c r="AK166" s="56"/>
    </row>
    <row r="167" spans="1:37" x14ac:dyDescent="0.25">
      <c r="A167" s="164" t="s">
        <v>191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4.3600000000000003</v>
      </c>
      <c r="AH167" s="54"/>
      <c r="AI167" s="55"/>
      <c r="AK167" s="56"/>
    </row>
    <row r="168" spans="1:37" x14ac:dyDescent="0.25">
      <c r="A168" s="164" t="s">
        <v>192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4.2</v>
      </c>
      <c r="AH168" s="54"/>
      <c r="AI168" s="55"/>
      <c r="AK168" s="56"/>
    </row>
    <row r="169" spans="1:37" x14ac:dyDescent="0.25">
      <c r="A169" s="164" t="s">
        <v>193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</v>
      </c>
      <c r="AH169" s="54"/>
      <c r="AI169" s="55"/>
      <c r="AK169" s="56"/>
    </row>
    <row r="170" spans="1:37" x14ac:dyDescent="0.25">
      <c r="A170" s="164" t="s">
        <v>194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195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196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197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198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199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200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201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3.75</v>
      </c>
      <c r="AH177" s="54"/>
      <c r="AI177" s="55"/>
      <c r="AK177" s="56"/>
    </row>
    <row r="178" spans="1:37" x14ac:dyDescent="0.25">
      <c r="A178" s="164" t="s">
        <v>202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3.52</v>
      </c>
      <c r="AH178" s="54"/>
      <c r="AI178" s="55"/>
      <c r="AK178" s="56"/>
    </row>
    <row r="179" spans="1:37" x14ac:dyDescent="0.25">
      <c r="A179" s="164" t="s">
        <v>203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3.33</v>
      </c>
      <c r="AH179" s="54"/>
      <c r="AI179" s="55"/>
      <c r="AK179" s="56"/>
    </row>
    <row r="180" spans="1:37" x14ac:dyDescent="0.25">
      <c r="A180" s="164" t="s">
        <v>204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3.2</v>
      </c>
      <c r="AH180" s="54"/>
      <c r="AI180" s="55"/>
      <c r="AK180" s="56"/>
    </row>
    <row r="181" spans="1:37" x14ac:dyDescent="0.25">
      <c r="A181" s="164" t="s">
        <v>205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</v>
      </c>
      <c r="AH181" s="54"/>
      <c r="AI181" s="55"/>
      <c r="AK181" s="56"/>
    </row>
    <row r="182" spans="1:37" x14ac:dyDescent="0.25">
      <c r="A182" s="164" t="s">
        <v>206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207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208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209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210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211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212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213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2.83</v>
      </c>
      <c r="AH189" s="54"/>
      <c r="AI189" s="55"/>
      <c r="AK189" s="56"/>
    </row>
    <row r="190" spans="1:37" x14ac:dyDescent="0.25">
      <c r="A190" s="164" t="s">
        <v>214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2.5</v>
      </c>
      <c r="AH190" s="54"/>
      <c r="AI190" s="55"/>
      <c r="AK190" s="56"/>
    </row>
    <row r="191" spans="1:37" x14ac:dyDescent="0.25">
      <c r="A191" s="164" t="s">
        <v>215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216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2.4</v>
      </c>
      <c r="AH192" s="54"/>
      <c r="AI192" s="55"/>
      <c r="AK192" s="56"/>
    </row>
    <row r="193" spans="1:37" x14ac:dyDescent="0.25">
      <c r="A193" s="164" t="s">
        <v>217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218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2.2000000000000002</v>
      </c>
      <c r="AH194" s="54"/>
      <c r="AI194" s="55"/>
      <c r="AK194" s="56"/>
    </row>
    <row r="195" spans="1:37" x14ac:dyDescent="0.25">
      <c r="A195" s="164" t="s">
        <v>219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</v>
      </c>
      <c r="AH195" s="54"/>
      <c r="AI195" s="55"/>
      <c r="AK195" s="56"/>
    </row>
    <row r="196" spans="1:37" x14ac:dyDescent="0.25">
      <c r="A196" s="164" t="s">
        <v>220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221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222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1.8</v>
      </c>
      <c r="AH198" s="54"/>
      <c r="AI198" s="55"/>
      <c r="AK198" s="56"/>
    </row>
    <row r="199" spans="1:37" x14ac:dyDescent="0.25">
      <c r="A199" s="164" t="s">
        <v>223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224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1.65</v>
      </c>
      <c r="AH200" s="54"/>
      <c r="AI200" s="55"/>
      <c r="AK200" s="56"/>
    </row>
    <row r="201" spans="1:37" x14ac:dyDescent="0.25">
      <c r="A201" s="164" t="s">
        <v>225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1.5</v>
      </c>
      <c r="AH201" s="54"/>
      <c r="AI201" s="55"/>
      <c r="AK201" s="56"/>
    </row>
    <row r="202" spans="1:37" x14ac:dyDescent="0.25">
      <c r="A202" s="164" t="s">
        <v>226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0.998</v>
      </c>
      <c r="AH202" s="54"/>
      <c r="AI202" s="55"/>
      <c r="AK202" s="56"/>
    </row>
    <row r="203" spans="1:37" x14ac:dyDescent="0.25">
      <c r="A203" s="164" t="s">
        <v>227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0.997</v>
      </c>
      <c r="AH203" s="54"/>
      <c r="AI203" s="55"/>
      <c r="AK203" s="56"/>
    </row>
    <row r="204" spans="1:37" x14ac:dyDescent="0.25">
      <c r="A204" s="164" t="s">
        <v>228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229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0.996</v>
      </c>
      <c r="AH205" s="54"/>
      <c r="AI205" s="55"/>
      <c r="AK205" s="56"/>
    </row>
    <row r="206" spans="1:37" x14ac:dyDescent="0.25">
      <c r="A206" s="164" t="s">
        <v>230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231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232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0.995</v>
      </c>
      <c r="AH208" s="54"/>
      <c r="AI208" s="55"/>
      <c r="AK208" s="56"/>
    </row>
    <row r="209" spans="1:37" x14ac:dyDescent="0.25">
      <c r="A209" s="164" t="s">
        <v>233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0.99299999999999999</v>
      </c>
      <c r="AH209" s="54"/>
      <c r="AI209" s="55"/>
      <c r="AK209" s="56"/>
    </row>
    <row r="210" spans="1:37" x14ac:dyDescent="0.25">
      <c r="A210" s="164" t="s">
        <v>234</v>
      </c>
      <c r="B210" s="97"/>
      <c r="C210" s="53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</v>
      </c>
      <c r="AH210" s="54"/>
      <c r="AI210" s="55"/>
      <c r="AK210" s="56"/>
    </row>
    <row r="211" spans="1:37" ht="15.75" thickBot="1" x14ac:dyDescent="0.3">
      <c r="A211" s="164" t="s">
        <v>235</v>
      </c>
      <c r="B211" s="102"/>
      <c r="C211" s="166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0">
        <v>0.97899999999999998</v>
      </c>
      <c r="AH211" s="54"/>
      <c r="AI211" s="55"/>
      <c r="AK211" s="56"/>
    </row>
    <row r="212" spans="1:37" ht="15.75" thickBot="1" x14ac:dyDescent="0.3">
      <c r="A212" s="165" t="s">
        <v>82</v>
      </c>
      <c r="B212" s="167">
        <f>SUM(B107:B211)</f>
        <v>0</v>
      </c>
      <c r="C212" s="103">
        <f t="shared" ref="C212:AG212" si="42">SUM(C107:C211)</f>
        <v>0</v>
      </c>
      <c r="D212" s="103">
        <f t="shared" si="42"/>
        <v>0</v>
      </c>
      <c r="E212" s="103">
        <f t="shared" si="42"/>
        <v>0</v>
      </c>
      <c r="F212" s="103">
        <f t="shared" si="42"/>
        <v>0</v>
      </c>
      <c r="G212" s="103">
        <f t="shared" si="42"/>
        <v>0</v>
      </c>
      <c r="H212" s="103">
        <f t="shared" si="42"/>
        <v>0</v>
      </c>
      <c r="I212" s="103">
        <f t="shared" si="42"/>
        <v>0</v>
      </c>
      <c r="J212" s="103">
        <f t="shared" si="42"/>
        <v>0</v>
      </c>
      <c r="K212" s="103">
        <f t="shared" si="42"/>
        <v>0</v>
      </c>
      <c r="L212" s="103">
        <f t="shared" si="42"/>
        <v>0</v>
      </c>
      <c r="M212" s="103">
        <f t="shared" si="42"/>
        <v>0</v>
      </c>
      <c r="N212" s="103">
        <f t="shared" si="42"/>
        <v>0</v>
      </c>
      <c r="O212" s="103">
        <f t="shared" si="42"/>
        <v>0</v>
      </c>
      <c r="P212" s="103">
        <f t="shared" si="42"/>
        <v>0</v>
      </c>
      <c r="Q212" s="103">
        <f t="shared" si="42"/>
        <v>0</v>
      </c>
      <c r="R212" s="103">
        <f t="shared" si="42"/>
        <v>0</v>
      </c>
      <c r="S212" s="103">
        <f t="shared" si="42"/>
        <v>0</v>
      </c>
      <c r="T212" s="103">
        <f t="shared" si="42"/>
        <v>0</v>
      </c>
      <c r="U212" s="103">
        <f t="shared" si="42"/>
        <v>0</v>
      </c>
      <c r="V212" s="103">
        <f t="shared" si="42"/>
        <v>0</v>
      </c>
      <c r="W212" s="103">
        <f t="shared" si="42"/>
        <v>0</v>
      </c>
      <c r="X212" s="103">
        <f t="shared" si="42"/>
        <v>0</v>
      </c>
      <c r="Y212" s="103">
        <f t="shared" si="42"/>
        <v>0</v>
      </c>
      <c r="Z212" s="103">
        <f t="shared" si="42"/>
        <v>0</v>
      </c>
      <c r="AA212" s="103">
        <f t="shared" si="42"/>
        <v>0</v>
      </c>
      <c r="AB212" s="103">
        <f t="shared" si="42"/>
        <v>0</v>
      </c>
      <c r="AC212" s="103">
        <f t="shared" si="42"/>
        <v>0</v>
      </c>
      <c r="AD212" s="103">
        <f t="shared" si="42"/>
        <v>0</v>
      </c>
      <c r="AE212" s="103">
        <f t="shared" si="42"/>
        <v>0</v>
      </c>
      <c r="AF212" s="168">
        <f t="shared" si="42"/>
        <v>0</v>
      </c>
      <c r="AG212" s="169">
        <f t="shared" si="42"/>
        <v>412.72299999999984</v>
      </c>
      <c r="AH212" s="54"/>
      <c r="AI212" s="55"/>
      <c r="AK212" s="56"/>
    </row>
    <row r="213" spans="1:37" ht="15.75" thickBot="1" x14ac:dyDescent="0.3">
      <c r="A213" s="28" t="s">
        <v>35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149"/>
      <c r="AH213" s="54"/>
      <c r="AI213" s="55"/>
      <c r="AK213" s="56"/>
    </row>
    <row r="214" spans="1:37" x14ac:dyDescent="0.25">
      <c r="A214" s="170" t="s">
        <v>83</v>
      </c>
      <c r="B214" s="101">
        <f t="shared" ref="B214:B219" si="43">AF214</f>
        <v>0</v>
      </c>
      <c r="C214" s="101">
        <v>0.3</v>
      </c>
      <c r="D214" s="101">
        <f t="shared" ref="D214:P219" si="44">C214</f>
        <v>0.3</v>
      </c>
      <c r="E214" s="101">
        <f t="shared" si="44"/>
        <v>0.3</v>
      </c>
      <c r="F214" s="101">
        <f t="shared" si="44"/>
        <v>0.3</v>
      </c>
      <c r="G214" s="101">
        <f t="shared" si="44"/>
        <v>0.3</v>
      </c>
      <c r="H214" s="101">
        <f t="shared" si="44"/>
        <v>0.3</v>
      </c>
      <c r="I214" s="101">
        <f t="shared" si="44"/>
        <v>0.3</v>
      </c>
      <c r="J214" s="101">
        <f t="shared" si="44"/>
        <v>0.3</v>
      </c>
      <c r="K214" s="101">
        <f t="shared" si="44"/>
        <v>0.3</v>
      </c>
      <c r="L214" s="101">
        <f t="shared" si="44"/>
        <v>0.3</v>
      </c>
      <c r="M214" s="101">
        <f t="shared" si="44"/>
        <v>0.3</v>
      </c>
      <c r="N214" s="101">
        <f t="shared" si="44"/>
        <v>0.3</v>
      </c>
      <c r="O214" s="101">
        <f t="shared" si="44"/>
        <v>0.3</v>
      </c>
      <c r="P214" s="101">
        <f t="shared" si="44"/>
        <v>0.3</v>
      </c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55">
        <v>2.4</v>
      </c>
      <c r="AH214" s="54"/>
      <c r="AI214" s="55"/>
      <c r="AK214" s="56"/>
    </row>
    <row r="215" spans="1:37" x14ac:dyDescent="0.25">
      <c r="A215" s="163" t="s">
        <v>84</v>
      </c>
      <c r="B215" s="97">
        <f t="shared" si="43"/>
        <v>0</v>
      </c>
      <c r="C215" s="97">
        <v>0.4</v>
      </c>
      <c r="D215" s="97">
        <f t="shared" si="44"/>
        <v>0.4</v>
      </c>
      <c r="E215" s="97">
        <f t="shared" si="44"/>
        <v>0.4</v>
      </c>
      <c r="F215" s="97">
        <f t="shared" si="44"/>
        <v>0.4</v>
      </c>
      <c r="G215" s="97">
        <f t="shared" si="44"/>
        <v>0.4</v>
      </c>
      <c r="H215" s="97">
        <f t="shared" si="44"/>
        <v>0.4</v>
      </c>
      <c r="I215" s="97">
        <f t="shared" si="44"/>
        <v>0.4</v>
      </c>
      <c r="J215" s="97">
        <f t="shared" si="44"/>
        <v>0.4</v>
      </c>
      <c r="K215" s="97">
        <f t="shared" si="44"/>
        <v>0.4</v>
      </c>
      <c r="L215" s="97">
        <f t="shared" si="44"/>
        <v>0.4</v>
      </c>
      <c r="M215" s="97">
        <f t="shared" si="44"/>
        <v>0.4</v>
      </c>
      <c r="N215" s="97">
        <f t="shared" si="44"/>
        <v>0.4</v>
      </c>
      <c r="O215" s="97">
        <f t="shared" si="44"/>
        <v>0.4</v>
      </c>
      <c r="P215" s="97">
        <f t="shared" si="44"/>
        <v>0.4</v>
      </c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56">
        <v>2</v>
      </c>
      <c r="AH215" s="54"/>
      <c r="AI215" s="55"/>
      <c r="AK215" s="56"/>
    </row>
    <row r="216" spans="1:37" x14ac:dyDescent="0.25">
      <c r="A216" s="163" t="s">
        <v>85</v>
      </c>
      <c r="B216" s="97">
        <f t="shared" si="43"/>
        <v>0</v>
      </c>
      <c r="C216" s="97">
        <v>1.5</v>
      </c>
      <c r="D216" s="97">
        <f t="shared" si="44"/>
        <v>1.5</v>
      </c>
      <c r="E216" s="97">
        <f t="shared" si="44"/>
        <v>1.5</v>
      </c>
      <c r="F216" s="97">
        <f t="shared" si="44"/>
        <v>1.5</v>
      </c>
      <c r="G216" s="97">
        <f t="shared" si="44"/>
        <v>1.5</v>
      </c>
      <c r="H216" s="97">
        <f t="shared" si="44"/>
        <v>1.5</v>
      </c>
      <c r="I216" s="97">
        <f t="shared" si="44"/>
        <v>1.5</v>
      </c>
      <c r="J216" s="97">
        <f t="shared" si="44"/>
        <v>1.5</v>
      </c>
      <c r="K216" s="97">
        <f t="shared" si="44"/>
        <v>1.5</v>
      </c>
      <c r="L216" s="97">
        <f t="shared" si="44"/>
        <v>1.5</v>
      </c>
      <c r="M216" s="97">
        <f t="shared" si="44"/>
        <v>1.5</v>
      </c>
      <c r="N216" s="97">
        <f t="shared" si="44"/>
        <v>1.5</v>
      </c>
      <c r="O216" s="97">
        <f t="shared" si="44"/>
        <v>1.5</v>
      </c>
      <c r="P216" s="97">
        <f t="shared" si="44"/>
        <v>1.5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1.5</v>
      </c>
      <c r="AH216" s="54"/>
      <c r="AI216" s="55"/>
      <c r="AK216" s="56"/>
    </row>
    <row r="217" spans="1:37" x14ac:dyDescent="0.25">
      <c r="A217" s="163" t="s">
        <v>86</v>
      </c>
      <c r="B217" s="97">
        <f t="shared" si="43"/>
        <v>0</v>
      </c>
      <c r="C217" s="97">
        <v>0.3</v>
      </c>
      <c r="D217" s="97">
        <f t="shared" si="44"/>
        <v>0.3</v>
      </c>
      <c r="E217" s="97">
        <f t="shared" si="44"/>
        <v>0.3</v>
      </c>
      <c r="F217" s="97">
        <f t="shared" si="44"/>
        <v>0.3</v>
      </c>
      <c r="G217" s="97">
        <f t="shared" si="44"/>
        <v>0.3</v>
      </c>
      <c r="H217" s="97">
        <f t="shared" si="44"/>
        <v>0.3</v>
      </c>
      <c r="I217" s="97">
        <f t="shared" si="44"/>
        <v>0.3</v>
      </c>
      <c r="J217" s="97">
        <f t="shared" si="44"/>
        <v>0.3</v>
      </c>
      <c r="K217" s="97">
        <f t="shared" si="44"/>
        <v>0.3</v>
      </c>
      <c r="L217" s="97">
        <f t="shared" si="44"/>
        <v>0.3</v>
      </c>
      <c r="M217" s="97">
        <f t="shared" si="44"/>
        <v>0.3</v>
      </c>
      <c r="N217" s="97">
        <f t="shared" si="44"/>
        <v>0.3</v>
      </c>
      <c r="O217" s="97">
        <f t="shared" si="44"/>
        <v>0.3</v>
      </c>
      <c r="P217" s="97">
        <f t="shared" si="44"/>
        <v>0.3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</v>
      </c>
      <c r="AH217" s="54"/>
      <c r="AI217" s="55"/>
      <c r="AK217" s="56"/>
    </row>
    <row r="218" spans="1:37" x14ac:dyDescent="0.25">
      <c r="A218" s="163" t="s">
        <v>87</v>
      </c>
      <c r="B218" s="97">
        <f t="shared" si="43"/>
        <v>0</v>
      </c>
      <c r="C218" s="97">
        <v>0.4</v>
      </c>
      <c r="D218" s="97">
        <f t="shared" si="44"/>
        <v>0.4</v>
      </c>
      <c r="E218" s="97">
        <f t="shared" si="44"/>
        <v>0.4</v>
      </c>
      <c r="F218" s="97">
        <f t="shared" si="44"/>
        <v>0.4</v>
      </c>
      <c r="G218" s="97">
        <f t="shared" si="44"/>
        <v>0.4</v>
      </c>
      <c r="H218" s="97">
        <f t="shared" si="44"/>
        <v>0.4</v>
      </c>
      <c r="I218" s="97">
        <f t="shared" si="44"/>
        <v>0.4</v>
      </c>
      <c r="J218" s="97">
        <f t="shared" si="44"/>
        <v>0.4</v>
      </c>
      <c r="K218" s="97">
        <f t="shared" si="44"/>
        <v>0.4</v>
      </c>
      <c r="L218" s="97">
        <f t="shared" si="44"/>
        <v>0.4</v>
      </c>
      <c r="M218" s="97">
        <f t="shared" si="44"/>
        <v>0.4</v>
      </c>
      <c r="N218" s="97">
        <f t="shared" si="44"/>
        <v>0.4</v>
      </c>
      <c r="O218" s="97">
        <f t="shared" si="44"/>
        <v>0.4</v>
      </c>
      <c r="P218" s="97">
        <f t="shared" si="44"/>
        <v>0.4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ht="15.75" thickBot="1" x14ac:dyDescent="0.3">
      <c r="A219" s="164" t="s">
        <v>88</v>
      </c>
      <c r="B219" s="102">
        <f t="shared" si="43"/>
        <v>0</v>
      </c>
      <c r="C219" s="102">
        <v>0.64</v>
      </c>
      <c r="D219" s="102">
        <f t="shared" si="44"/>
        <v>0.64</v>
      </c>
      <c r="E219" s="102">
        <f t="shared" si="44"/>
        <v>0.64</v>
      </c>
      <c r="F219" s="102">
        <f t="shared" si="44"/>
        <v>0.64</v>
      </c>
      <c r="G219" s="102">
        <f t="shared" si="44"/>
        <v>0.64</v>
      </c>
      <c r="H219" s="102">
        <f t="shared" si="44"/>
        <v>0.64</v>
      </c>
      <c r="I219" s="102">
        <f t="shared" si="44"/>
        <v>0.64</v>
      </c>
      <c r="J219" s="102">
        <f t="shared" si="44"/>
        <v>0.64</v>
      </c>
      <c r="K219" s="102">
        <f t="shared" si="44"/>
        <v>0.64</v>
      </c>
      <c r="L219" s="102">
        <f t="shared" si="44"/>
        <v>0.64</v>
      </c>
      <c r="M219" s="102">
        <f t="shared" si="44"/>
        <v>0.64</v>
      </c>
      <c r="N219" s="102">
        <f t="shared" si="44"/>
        <v>0.64</v>
      </c>
      <c r="O219" s="102">
        <f t="shared" si="44"/>
        <v>0.64</v>
      </c>
      <c r="P219" s="102">
        <f t="shared" si="44"/>
        <v>0.64</v>
      </c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57">
        <v>0.66</v>
      </c>
      <c r="AH219" s="54"/>
      <c r="AI219" s="55"/>
    </row>
    <row r="220" spans="1:37" ht="15.75" thickBot="1" x14ac:dyDescent="0.3">
      <c r="A220" s="173" t="s">
        <v>35</v>
      </c>
      <c r="B220" s="103">
        <f>SUM(B214:B219)</f>
        <v>0</v>
      </c>
      <c r="C220" s="103">
        <f>SUM(C214:C219)</f>
        <v>3.54</v>
      </c>
      <c r="D220" s="103">
        <f t="shared" ref="D220:L220" si="45">SUM(D214:D219)</f>
        <v>3.54</v>
      </c>
      <c r="E220" s="103">
        <f t="shared" si="45"/>
        <v>3.54</v>
      </c>
      <c r="F220" s="103">
        <f t="shared" si="45"/>
        <v>3.54</v>
      </c>
      <c r="G220" s="103">
        <f t="shared" si="45"/>
        <v>3.54</v>
      </c>
      <c r="H220" s="103">
        <f t="shared" si="45"/>
        <v>3.54</v>
      </c>
      <c r="I220" s="103">
        <f t="shared" si="45"/>
        <v>3.54</v>
      </c>
      <c r="J220" s="103">
        <f t="shared" si="45"/>
        <v>3.54</v>
      </c>
      <c r="K220" s="103">
        <f t="shared" si="45"/>
        <v>3.54</v>
      </c>
      <c r="L220" s="103">
        <f t="shared" si="45"/>
        <v>3.54</v>
      </c>
      <c r="M220" s="103">
        <f>SUM(M214:M219)</f>
        <v>3.54</v>
      </c>
      <c r="N220" s="103">
        <f t="shared" ref="N220:S220" si="46">SUM(N214:N219)</f>
        <v>3.54</v>
      </c>
      <c r="O220" s="103">
        <f t="shared" si="46"/>
        <v>3.54</v>
      </c>
      <c r="P220" s="103">
        <f t="shared" si="46"/>
        <v>3.54</v>
      </c>
      <c r="Q220" s="103">
        <f t="shared" si="46"/>
        <v>0</v>
      </c>
      <c r="R220" s="103">
        <f t="shared" si="46"/>
        <v>0</v>
      </c>
      <c r="S220" s="103">
        <f t="shared" si="46"/>
        <v>0</v>
      </c>
      <c r="T220" s="103">
        <f>SUM(T214:T219)</f>
        <v>0</v>
      </c>
      <c r="U220" s="103">
        <f t="shared" ref="U220:AG220" si="47">SUM(U214:U219)</f>
        <v>0</v>
      </c>
      <c r="V220" s="103">
        <f t="shared" si="47"/>
        <v>0</v>
      </c>
      <c r="W220" s="103">
        <f t="shared" si="47"/>
        <v>0</v>
      </c>
      <c r="X220" s="103">
        <f t="shared" si="47"/>
        <v>0</v>
      </c>
      <c r="Y220" s="103">
        <f t="shared" si="47"/>
        <v>0</v>
      </c>
      <c r="Z220" s="103">
        <f t="shared" si="47"/>
        <v>0</v>
      </c>
      <c r="AA220" s="103">
        <f t="shared" si="47"/>
        <v>0</v>
      </c>
      <c r="AB220" s="103">
        <f t="shared" si="47"/>
        <v>0</v>
      </c>
      <c r="AC220" s="103">
        <f t="shared" si="47"/>
        <v>0</v>
      </c>
      <c r="AD220" s="103">
        <f t="shared" si="47"/>
        <v>0</v>
      </c>
      <c r="AE220" s="103">
        <f t="shared" si="47"/>
        <v>0</v>
      </c>
      <c r="AF220" s="103">
        <f t="shared" si="47"/>
        <v>0</v>
      </c>
      <c r="AG220" s="158">
        <f t="shared" si="47"/>
        <v>8.56</v>
      </c>
      <c r="AH220" s="54"/>
      <c r="AI220" s="55"/>
    </row>
    <row r="221" spans="1:37" ht="15.75" thickBot="1" x14ac:dyDescent="0.3"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  <c r="AC221" s="179"/>
      <c r="AD221" s="179"/>
      <c r="AE221" s="179"/>
      <c r="AF221" s="179"/>
      <c r="AG221" s="84"/>
      <c r="AH221" s="179"/>
    </row>
    <row r="222" spans="1:37" x14ac:dyDescent="0.25">
      <c r="A222" s="79" t="s">
        <v>89</v>
      </c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5"/>
      <c r="AG222" s="179"/>
      <c r="AH222" s="54"/>
      <c r="AI222" s="55"/>
    </row>
    <row r="223" spans="1:37" x14ac:dyDescent="0.25">
      <c r="A223" s="106" t="s">
        <v>90</v>
      </c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8"/>
      <c r="AG223" s="109"/>
      <c r="AH223" s="54"/>
      <c r="AI223" s="55"/>
    </row>
    <row r="224" spans="1:37" x14ac:dyDescent="0.25">
      <c r="A224" s="81" t="s">
        <v>91</v>
      </c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1"/>
      <c r="AG224" s="109"/>
      <c r="AH224" s="54"/>
      <c r="AI224" s="55"/>
    </row>
    <row r="225" spans="1:50" x14ac:dyDescent="0.25">
      <c r="A225" s="81" t="s">
        <v>92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ht="15.75" thickBot="1" x14ac:dyDescent="0.3">
      <c r="A226" s="112" t="s">
        <v>93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4"/>
      <c r="AG226" s="109"/>
      <c r="AH226" s="54"/>
      <c r="AI226" s="55"/>
    </row>
    <row r="227" spans="1:50" x14ac:dyDescent="0.25"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  <c r="AC227" s="179"/>
      <c r="AD227" s="179"/>
      <c r="AE227" s="179"/>
      <c r="AF227" s="179"/>
      <c r="AG227" s="179"/>
      <c r="AH227" s="179"/>
    </row>
    <row r="228" spans="1:50" x14ac:dyDescent="0.25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  <c r="AC228" s="179"/>
      <c r="AD228" s="179"/>
      <c r="AE228" s="179"/>
      <c r="AF228" s="179"/>
      <c r="AG228" s="179"/>
      <c r="AH228" s="179"/>
    </row>
    <row r="229" spans="1:50" x14ac:dyDescent="0.25">
      <c r="A229" s="115" t="s">
        <v>94</v>
      </c>
      <c r="B229" s="116">
        <f>MAX(G79:N79)</f>
        <v>1850.74</v>
      </c>
      <c r="C229" s="117">
        <f>INDEX(G9:N9,1,MATCH(MAX(G79:N79),G79:N79,0))</f>
        <v>0.3125</v>
      </c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  <c r="AC229" s="179"/>
      <c r="AD229" s="179"/>
      <c r="AE229" s="179"/>
      <c r="AF229" s="179"/>
      <c r="AG229" s="179"/>
      <c r="AH229" s="179"/>
    </row>
    <row r="230" spans="1:50" x14ac:dyDescent="0.25"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18" t="str">
        <f ca="1">MID(CELL("filename",C7),FIND("]",CELL("filename",C7))+1,600)</f>
        <v>25</v>
      </c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79"/>
      <c r="AH230" s="179"/>
    </row>
    <row r="231" spans="1:50" x14ac:dyDescent="0.25">
      <c r="A231" s="208" t="s">
        <v>95</v>
      </c>
      <c r="B231" s="208"/>
      <c r="C231" s="179"/>
      <c r="D231" s="118" t="str">
        <f ca="1">"Pie Chart of Daily Peak Demand(Inclusive of Export) of Nepal ("&amp;A4&amp;" "&amp;B4&amp;")"</f>
        <v>Pie Chart of Daily Peak Demand(Inclusive of Export) of Nepal (Nepali Date: 2079/02/25)</v>
      </c>
      <c r="E231" s="179"/>
      <c r="F231" s="179"/>
      <c r="G231" s="118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18" t="str">
        <f ca="1">"Daily Load Curve(Excluding of Export) of Nepal ("&amp;A4&amp;" "&amp;B4&amp;")"</f>
        <v>Daily Load Curve(Excluding of Export) of Nepal (Nepali Date: 2079/02/25)</v>
      </c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  <c r="AE231" s="179"/>
      <c r="AF231" s="179"/>
      <c r="AG231" s="179"/>
      <c r="AH231" s="179"/>
    </row>
    <row r="232" spans="1:50" ht="12.75" customHeight="1" thickBot="1" x14ac:dyDescent="0.3">
      <c r="A232" s="119" t="s">
        <v>7</v>
      </c>
      <c r="B232" s="120"/>
      <c r="C232" s="179"/>
      <c r="D232" s="121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  <c r="AC232" s="179"/>
      <c r="AD232" s="179"/>
      <c r="AE232" s="179"/>
      <c r="AF232" s="179"/>
      <c r="AG232" s="179"/>
      <c r="AH232" s="179"/>
    </row>
    <row r="233" spans="1:50" ht="15.75" thickTop="1" x14ac:dyDescent="0.25">
      <c r="A233" s="119" t="s">
        <v>96</v>
      </c>
      <c r="B233" s="120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22" t="s">
        <v>97</v>
      </c>
      <c r="T233" s="123">
        <v>0</v>
      </c>
      <c r="U233" s="124">
        <v>4.1666666666666664E-2</v>
      </c>
      <c r="V233" s="125">
        <v>8.3333333333333301E-2</v>
      </c>
      <c r="W233" s="125">
        <v>0.125</v>
      </c>
      <c r="X233" s="125">
        <v>0.16666666666666699</v>
      </c>
      <c r="Y233" s="125">
        <v>0.20833333333333301</v>
      </c>
      <c r="Z233" s="125">
        <v>0.22916666666666666</v>
      </c>
      <c r="AA233" s="125">
        <v>0.25</v>
      </c>
      <c r="AB233" s="125">
        <v>0.27083333333333331</v>
      </c>
      <c r="AC233" s="125">
        <v>0.29166666666666669</v>
      </c>
      <c r="AD233" s="125">
        <v>0.3125</v>
      </c>
      <c r="AE233" s="126">
        <v>0.33333333333333331</v>
      </c>
      <c r="AF233" s="126">
        <v>0.375</v>
      </c>
      <c r="AG233" s="126">
        <v>0.41666666666666702</v>
      </c>
      <c r="AH233" s="126">
        <v>0.45833333333333298</v>
      </c>
      <c r="AI233" s="126">
        <v>0.5</v>
      </c>
      <c r="AJ233" s="126">
        <v>0.54166666666666696</v>
      </c>
      <c r="AK233" s="126">
        <v>0.58333333333333304</v>
      </c>
      <c r="AL233" s="126">
        <v>0.625</v>
      </c>
      <c r="AM233" s="126">
        <v>0.66666666666666696</v>
      </c>
      <c r="AN233" s="126">
        <v>0.70833333333333304</v>
      </c>
      <c r="AO233" s="126">
        <v>0.72916666666666663</v>
      </c>
      <c r="AP233" s="126">
        <v>0.75</v>
      </c>
      <c r="AQ233" s="126">
        <v>0.77083333333333337</v>
      </c>
      <c r="AR233" s="126">
        <v>0.79166666666666663</v>
      </c>
      <c r="AS233" s="126">
        <v>0.8125</v>
      </c>
      <c r="AT233" s="125">
        <v>0.83333333333333337</v>
      </c>
      <c r="AU233" s="125">
        <v>0.85416666666666663</v>
      </c>
      <c r="AV233" s="125">
        <v>0.875</v>
      </c>
      <c r="AW233" s="125">
        <v>0.91666666666666696</v>
      </c>
      <c r="AX233" s="125">
        <v>0.95833333333333304</v>
      </c>
    </row>
    <row r="234" spans="1:50" x14ac:dyDescent="0.25">
      <c r="A234" s="119" t="s">
        <v>98</v>
      </c>
      <c r="B234" s="120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 t="s">
        <v>99</v>
      </c>
      <c r="T234" s="127">
        <f t="shared" ref="T234:AX234" si="48">B79</f>
        <v>1832.14</v>
      </c>
      <c r="U234" s="127">
        <f t="shared" si="48"/>
        <v>1806.8399999999997</v>
      </c>
      <c r="V234" s="127">
        <f t="shared" si="48"/>
        <v>1810.5400000000002</v>
      </c>
      <c r="W234" s="127">
        <f t="shared" si="48"/>
        <v>1778.8400000000001</v>
      </c>
      <c r="X234" s="127">
        <f t="shared" si="48"/>
        <v>1767.8400000000001</v>
      </c>
      <c r="Y234" s="127">
        <f t="shared" si="48"/>
        <v>1779.44</v>
      </c>
      <c r="Z234" s="127">
        <f t="shared" si="48"/>
        <v>1778.94</v>
      </c>
      <c r="AA234" s="127">
        <f t="shared" si="48"/>
        <v>1769.84</v>
      </c>
      <c r="AB234" s="127">
        <f t="shared" si="48"/>
        <v>1767.3400000000001</v>
      </c>
      <c r="AC234" s="127">
        <f t="shared" si="48"/>
        <v>1804.24</v>
      </c>
      <c r="AD234" s="127">
        <f t="shared" si="48"/>
        <v>1850.74</v>
      </c>
      <c r="AE234" s="127">
        <f t="shared" si="48"/>
        <v>1847.74</v>
      </c>
      <c r="AF234" s="127">
        <f t="shared" si="48"/>
        <v>1803.04</v>
      </c>
      <c r="AG234" s="127">
        <f t="shared" si="48"/>
        <v>1830.44</v>
      </c>
      <c r="AH234" s="127">
        <f t="shared" si="48"/>
        <v>1775.94</v>
      </c>
      <c r="AI234" s="127">
        <f t="shared" si="48"/>
        <v>1792.54</v>
      </c>
      <c r="AJ234" s="127">
        <f t="shared" si="48"/>
        <v>1786.8400000000001</v>
      </c>
      <c r="AK234" s="127">
        <f t="shared" si="48"/>
        <v>1805.3400000000001</v>
      </c>
      <c r="AL234" s="127">
        <f t="shared" si="48"/>
        <v>1800.3400000000001</v>
      </c>
      <c r="AM234" s="127">
        <f t="shared" si="48"/>
        <v>1759.3400000000001</v>
      </c>
      <c r="AN234" s="127">
        <f t="shared" si="48"/>
        <v>1792.3400000000001</v>
      </c>
      <c r="AO234" s="127">
        <f t="shared" si="48"/>
        <v>1765.2400000000002</v>
      </c>
      <c r="AP234" s="127">
        <f t="shared" si="48"/>
        <v>1753.14</v>
      </c>
      <c r="AQ234" s="127">
        <f t="shared" si="48"/>
        <v>1772.2400000000002</v>
      </c>
      <c r="AR234" s="127">
        <f t="shared" si="48"/>
        <v>1823.7400000000002</v>
      </c>
      <c r="AS234" s="127">
        <f t="shared" si="48"/>
        <v>1885.3400000000001</v>
      </c>
      <c r="AT234" s="127">
        <f t="shared" si="48"/>
        <v>1861.0400000000002</v>
      </c>
      <c r="AU234" s="127">
        <f t="shared" si="48"/>
        <v>1831.0400000000002</v>
      </c>
      <c r="AV234" s="127">
        <f t="shared" si="48"/>
        <v>1852.8400000000001</v>
      </c>
      <c r="AW234" s="127">
        <f t="shared" si="48"/>
        <v>1829.6399999999999</v>
      </c>
      <c r="AX234" s="127">
        <f t="shared" si="48"/>
        <v>1824.1399999999999</v>
      </c>
    </row>
    <row r="235" spans="1:50" x14ac:dyDescent="0.25">
      <c r="A235" s="119" t="s">
        <v>100</v>
      </c>
      <c r="B235" s="120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  <c r="AC235" s="179"/>
      <c r="AD235" s="179"/>
      <c r="AE235" s="179"/>
      <c r="AF235" s="179"/>
      <c r="AG235" s="179"/>
      <c r="AH235" s="179"/>
    </row>
    <row r="236" spans="1:50" x14ac:dyDescent="0.25">
      <c r="A236" s="119" t="s">
        <v>101</v>
      </c>
      <c r="B236" s="120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79"/>
      <c r="AE236" s="179"/>
      <c r="AF236" s="179"/>
      <c r="AG236" s="179"/>
      <c r="AH236" s="179"/>
    </row>
    <row r="237" spans="1:50" x14ac:dyDescent="0.25">
      <c r="A237" s="119" t="s">
        <v>102</v>
      </c>
      <c r="B237" s="120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  <c r="AE237" s="179"/>
      <c r="AF237" s="179"/>
      <c r="AG237" s="179"/>
      <c r="AH237" s="179"/>
    </row>
    <row r="238" spans="1:50" x14ac:dyDescent="0.25">
      <c r="A238" s="119" t="s">
        <v>103</v>
      </c>
      <c r="B238" s="128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  <c r="AE238" s="179"/>
      <c r="AF238" s="179"/>
      <c r="AG238" s="179"/>
      <c r="AH238" s="179"/>
    </row>
    <row r="239" spans="1:50" x14ac:dyDescent="0.25">
      <c r="A239" s="119" t="s">
        <v>104</v>
      </c>
      <c r="B239" s="120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</row>
    <row r="240" spans="1:50" x14ac:dyDescent="0.25"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  <c r="AD240" s="179"/>
      <c r="AE240" s="179"/>
      <c r="AF240" s="179"/>
      <c r="AG240" s="179"/>
      <c r="AH240" s="179"/>
    </row>
    <row r="241" spans="1:36" x14ac:dyDescent="0.25"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  <c r="AC241" s="179"/>
      <c r="AD241" s="179"/>
      <c r="AE241" s="179"/>
      <c r="AF241" s="179"/>
      <c r="AG241" s="179"/>
      <c r="AH241" s="179"/>
    </row>
    <row r="242" spans="1:36" x14ac:dyDescent="0.25"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  <c r="AC242" s="179"/>
      <c r="AD242" s="179"/>
      <c r="AE242" s="179"/>
      <c r="AF242" s="179"/>
      <c r="AG242" s="179"/>
      <c r="AH242" s="179"/>
    </row>
    <row r="243" spans="1:36" x14ac:dyDescent="0.25"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  <c r="AC243" s="179"/>
      <c r="AD243" s="179"/>
      <c r="AE243" s="179"/>
      <c r="AF243" s="179"/>
      <c r="AG243" s="179"/>
      <c r="AH243" s="179"/>
    </row>
    <row r="244" spans="1:36" x14ac:dyDescent="0.25"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  <c r="AC244" s="179"/>
      <c r="AD244" s="179"/>
      <c r="AE244" s="179"/>
      <c r="AF244" s="179"/>
      <c r="AG244" s="179"/>
      <c r="AH244" s="179"/>
    </row>
    <row r="245" spans="1:36" x14ac:dyDescent="0.25"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  <c r="AG245" s="179"/>
      <c r="AH245" s="179"/>
    </row>
    <row r="246" spans="1:36" x14ac:dyDescent="0.25"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  <c r="AC246" s="179"/>
      <c r="AD246" s="179"/>
      <c r="AE246" s="179"/>
      <c r="AF246" s="179"/>
      <c r="AG246" s="179"/>
      <c r="AH246" s="179"/>
      <c r="AJ246"/>
    </row>
    <row r="247" spans="1:36" x14ac:dyDescent="0.25"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  <c r="AC247" s="179"/>
      <c r="AD247" s="179"/>
      <c r="AE247" s="179"/>
      <c r="AF247" s="179"/>
      <c r="AG247" s="179"/>
      <c r="AH247" s="179"/>
      <c r="AJ247"/>
    </row>
    <row r="248" spans="1:36" x14ac:dyDescent="0.25"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  <c r="AC248" s="179"/>
      <c r="AD248" s="179"/>
      <c r="AE248" s="179"/>
      <c r="AF248" s="179"/>
      <c r="AG248" s="179"/>
      <c r="AH248" s="179"/>
      <c r="AJ248"/>
    </row>
    <row r="249" spans="1:36" x14ac:dyDescent="0.25"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  <c r="AC249" s="179"/>
      <c r="AD249" s="179"/>
      <c r="AE249" s="179"/>
      <c r="AF249" s="179"/>
      <c r="AG249" s="179"/>
      <c r="AH249" s="179"/>
      <c r="AJ249"/>
    </row>
    <row r="250" spans="1:36" x14ac:dyDescent="0.25"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  <c r="AC250" s="179"/>
      <c r="AD250" s="179"/>
      <c r="AE250" s="179"/>
      <c r="AF250" s="179"/>
      <c r="AG250" s="179"/>
      <c r="AH250" s="179"/>
      <c r="AJ250"/>
    </row>
    <row r="251" spans="1:36" x14ac:dyDescent="0.25"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  <c r="AE251" s="179"/>
      <c r="AF251" s="179"/>
      <c r="AG251" s="179"/>
      <c r="AH251" s="179"/>
      <c r="AJ251"/>
    </row>
    <row r="252" spans="1:36" x14ac:dyDescent="0.25"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  <c r="AC252" s="179"/>
      <c r="AD252" s="179"/>
      <c r="AE252" s="179"/>
      <c r="AF252" s="179"/>
      <c r="AG252" s="179"/>
      <c r="AH252" s="179"/>
      <c r="AJ252"/>
    </row>
    <row r="253" spans="1:36" x14ac:dyDescent="0.25"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J253"/>
    </row>
    <row r="254" spans="1:36" x14ac:dyDescent="0.25"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  <c r="AE254" s="179"/>
      <c r="AF254" s="179"/>
      <c r="AG254" s="179"/>
      <c r="AH254" s="179"/>
      <c r="AJ254"/>
    </row>
    <row r="255" spans="1:36" x14ac:dyDescent="0.25">
      <c r="A255" s="129" t="s">
        <v>89</v>
      </c>
      <c r="B255" s="130">
        <f t="shared" ref="B255:AE255" si="49">C219</f>
        <v>0.64</v>
      </c>
      <c r="C255" s="130">
        <f t="shared" si="49"/>
        <v>0.64</v>
      </c>
      <c r="D255" s="130">
        <f t="shared" si="49"/>
        <v>0.64</v>
      </c>
      <c r="E255" s="130">
        <f t="shared" si="49"/>
        <v>0.64</v>
      </c>
      <c r="F255" s="130">
        <f t="shared" si="49"/>
        <v>0.64</v>
      </c>
      <c r="G255" s="130">
        <f t="shared" si="49"/>
        <v>0.64</v>
      </c>
      <c r="H255" s="130">
        <f t="shared" si="49"/>
        <v>0.64</v>
      </c>
      <c r="I255" s="130">
        <f t="shared" si="49"/>
        <v>0.64</v>
      </c>
      <c r="J255" s="130">
        <f t="shared" si="49"/>
        <v>0.64</v>
      </c>
      <c r="K255" s="130">
        <f t="shared" si="49"/>
        <v>0.64</v>
      </c>
      <c r="L255" s="130">
        <f t="shared" si="49"/>
        <v>0.64</v>
      </c>
      <c r="M255" s="130">
        <f t="shared" si="49"/>
        <v>0.64</v>
      </c>
      <c r="N255" s="130">
        <f t="shared" si="49"/>
        <v>0.64</v>
      </c>
      <c r="O255" s="130">
        <f t="shared" si="49"/>
        <v>0.64</v>
      </c>
      <c r="P255" s="130">
        <f t="shared" si="49"/>
        <v>0</v>
      </c>
      <c r="Q255" s="130">
        <f t="shared" si="49"/>
        <v>0</v>
      </c>
      <c r="R255" s="130">
        <f t="shared" si="49"/>
        <v>0</v>
      </c>
      <c r="S255" s="130">
        <f t="shared" si="49"/>
        <v>0</v>
      </c>
      <c r="T255" s="130">
        <f t="shared" si="49"/>
        <v>0</v>
      </c>
      <c r="U255" s="130">
        <f t="shared" si="49"/>
        <v>0</v>
      </c>
      <c r="V255" s="130">
        <f t="shared" si="49"/>
        <v>0</v>
      </c>
      <c r="W255" s="130">
        <f t="shared" si="49"/>
        <v>0</v>
      </c>
      <c r="X255" s="130">
        <f t="shared" si="49"/>
        <v>0</v>
      </c>
      <c r="Y255" s="130">
        <f t="shared" si="49"/>
        <v>0</v>
      </c>
      <c r="Z255" s="130">
        <f t="shared" si="49"/>
        <v>0</v>
      </c>
      <c r="AA255" s="130">
        <f t="shared" si="49"/>
        <v>0</v>
      </c>
      <c r="AB255" s="130">
        <f t="shared" si="49"/>
        <v>0</v>
      </c>
      <c r="AC255" s="130">
        <f t="shared" si="49"/>
        <v>0</v>
      </c>
      <c r="AD255" s="130">
        <f t="shared" si="49"/>
        <v>0</v>
      </c>
      <c r="AE255" s="130">
        <f t="shared" si="49"/>
        <v>0</v>
      </c>
      <c r="AF255" s="130">
        <f>B219</f>
        <v>0</v>
      </c>
      <c r="AG255" s="179"/>
      <c r="AH255" s="179"/>
      <c r="AJ255"/>
    </row>
    <row r="256" spans="1:36" x14ac:dyDescent="0.25">
      <c r="A256" s="88" t="str">
        <f>A223</f>
        <v>KGA</v>
      </c>
      <c r="B256" s="88" t="str">
        <f>IF(B223&lt;100,"",B223-520)</f>
        <v/>
      </c>
      <c r="C256" s="88" t="str">
        <f t="shared" ref="C256:AF256" si="50">IF(C223&lt;100,"",C223-520)</f>
        <v/>
      </c>
      <c r="D256" s="88" t="str">
        <f t="shared" si="50"/>
        <v/>
      </c>
      <c r="E256" s="88" t="str">
        <f t="shared" si="50"/>
        <v/>
      </c>
      <c r="F256" s="88" t="str">
        <f t="shared" si="50"/>
        <v/>
      </c>
      <c r="G256" s="88" t="str">
        <f t="shared" si="50"/>
        <v/>
      </c>
      <c r="H256" s="88" t="str">
        <f t="shared" si="50"/>
        <v/>
      </c>
      <c r="I256" s="88" t="str">
        <f t="shared" si="50"/>
        <v/>
      </c>
      <c r="J256" s="88" t="str">
        <f t="shared" si="50"/>
        <v/>
      </c>
      <c r="K256" s="88" t="str">
        <f t="shared" si="50"/>
        <v/>
      </c>
      <c r="L256" s="88" t="str">
        <f t="shared" si="50"/>
        <v/>
      </c>
      <c r="M256" s="88" t="str">
        <f t="shared" si="50"/>
        <v/>
      </c>
      <c r="N256" s="88" t="str">
        <f t="shared" si="50"/>
        <v/>
      </c>
      <c r="O256" s="88" t="str">
        <f t="shared" si="50"/>
        <v/>
      </c>
      <c r="P256" s="88" t="str">
        <f t="shared" si="50"/>
        <v/>
      </c>
      <c r="Q256" s="88" t="str">
        <f t="shared" si="50"/>
        <v/>
      </c>
      <c r="R256" s="88" t="str">
        <f t="shared" si="50"/>
        <v/>
      </c>
      <c r="S256" s="88" t="str">
        <f t="shared" si="50"/>
        <v/>
      </c>
      <c r="T256" s="88" t="str">
        <f t="shared" si="50"/>
        <v/>
      </c>
      <c r="U256" s="88" t="str">
        <f t="shared" si="50"/>
        <v/>
      </c>
      <c r="V256" s="88" t="str">
        <f t="shared" si="50"/>
        <v/>
      </c>
      <c r="W256" s="88" t="str">
        <f t="shared" si="50"/>
        <v/>
      </c>
      <c r="X256" s="88" t="str">
        <f t="shared" si="50"/>
        <v/>
      </c>
      <c r="Y256" s="88" t="str">
        <f t="shared" si="50"/>
        <v/>
      </c>
      <c r="Z256" s="88" t="str">
        <f t="shared" si="50"/>
        <v/>
      </c>
      <c r="AA256" s="88" t="str">
        <f t="shared" si="50"/>
        <v/>
      </c>
      <c r="AB256" s="88" t="str">
        <f t="shared" si="50"/>
        <v/>
      </c>
      <c r="AC256" s="88" t="str">
        <f t="shared" si="50"/>
        <v/>
      </c>
      <c r="AD256" s="88" t="str">
        <f t="shared" si="50"/>
        <v/>
      </c>
      <c r="AE256" s="88" t="str">
        <f t="shared" si="50"/>
        <v/>
      </c>
      <c r="AF256" s="88" t="str">
        <f t="shared" si="50"/>
        <v/>
      </c>
      <c r="AG256" s="179"/>
      <c r="AH256" s="179"/>
      <c r="AJ256"/>
    </row>
    <row r="257" spans="1:36" x14ac:dyDescent="0.25">
      <c r="A257" s="88" t="str">
        <f>A224</f>
        <v>MMRS</v>
      </c>
      <c r="B257" s="88" t="str">
        <f t="shared" ref="B257:AF257" si="51">IF(B224&lt;100,"",B224-620)</f>
        <v/>
      </c>
      <c r="C257" s="88" t="str">
        <f t="shared" si="51"/>
        <v/>
      </c>
      <c r="D257" s="88" t="str">
        <f t="shared" si="51"/>
        <v/>
      </c>
      <c r="E257" s="88" t="str">
        <f t="shared" si="51"/>
        <v/>
      </c>
      <c r="F257" s="88" t="str">
        <f t="shared" si="51"/>
        <v/>
      </c>
      <c r="G257" s="88" t="str">
        <f t="shared" si="51"/>
        <v/>
      </c>
      <c r="H257" s="88" t="str">
        <f t="shared" si="51"/>
        <v/>
      </c>
      <c r="I257" s="88" t="str">
        <f t="shared" si="51"/>
        <v/>
      </c>
      <c r="J257" s="88" t="str">
        <f t="shared" si="51"/>
        <v/>
      </c>
      <c r="K257" s="88" t="str">
        <f t="shared" si="51"/>
        <v/>
      </c>
      <c r="L257" s="88" t="str">
        <f t="shared" si="51"/>
        <v/>
      </c>
      <c r="M257" s="88" t="str">
        <f t="shared" si="51"/>
        <v/>
      </c>
      <c r="N257" s="88" t="str">
        <f t="shared" si="51"/>
        <v/>
      </c>
      <c r="O257" s="88" t="str">
        <f t="shared" si="51"/>
        <v/>
      </c>
      <c r="P257" s="88" t="str">
        <f t="shared" si="51"/>
        <v/>
      </c>
      <c r="Q257" s="88" t="str">
        <f t="shared" si="51"/>
        <v/>
      </c>
      <c r="R257" s="88" t="str">
        <f t="shared" si="51"/>
        <v/>
      </c>
      <c r="S257" s="88" t="str">
        <f t="shared" si="51"/>
        <v/>
      </c>
      <c r="T257" s="88" t="str">
        <f t="shared" si="51"/>
        <v/>
      </c>
      <c r="U257" s="88" t="str">
        <f t="shared" si="51"/>
        <v/>
      </c>
      <c r="V257" s="88" t="str">
        <f t="shared" si="51"/>
        <v/>
      </c>
      <c r="W257" s="88" t="str">
        <f t="shared" si="51"/>
        <v/>
      </c>
      <c r="X257" s="88" t="str">
        <f t="shared" si="51"/>
        <v/>
      </c>
      <c r="Y257" s="88" t="str">
        <f t="shared" si="51"/>
        <v/>
      </c>
      <c r="Z257" s="88" t="str">
        <f t="shared" si="51"/>
        <v/>
      </c>
      <c r="AA257" s="88" t="str">
        <f t="shared" si="51"/>
        <v/>
      </c>
      <c r="AB257" s="88" t="str">
        <f t="shared" si="51"/>
        <v/>
      </c>
      <c r="AC257" s="88" t="str">
        <f t="shared" si="51"/>
        <v/>
      </c>
      <c r="AD257" s="88" t="str">
        <f t="shared" si="51"/>
        <v/>
      </c>
      <c r="AE257" s="88" t="str">
        <f t="shared" si="51"/>
        <v/>
      </c>
      <c r="AF257" s="88" t="str">
        <f t="shared" si="51"/>
        <v/>
      </c>
      <c r="AG257" s="179"/>
      <c r="AH257" s="179"/>
      <c r="AJ257"/>
    </row>
    <row r="258" spans="1:36" x14ac:dyDescent="0.25">
      <c r="A258" s="88" t="str">
        <f>A225</f>
        <v>MRS</v>
      </c>
      <c r="B258" s="88" t="str">
        <f t="shared" ref="B258:AF258" si="52">IF(B225&lt;100,"",B225-330)</f>
        <v/>
      </c>
      <c r="C258" s="88" t="str">
        <f t="shared" si="52"/>
        <v/>
      </c>
      <c r="D258" s="88" t="str">
        <f t="shared" si="52"/>
        <v/>
      </c>
      <c r="E258" s="88" t="str">
        <f t="shared" si="52"/>
        <v/>
      </c>
      <c r="F258" s="88" t="str">
        <f t="shared" si="52"/>
        <v/>
      </c>
      <c r="G258" s="88" t="str">
        <f t="shared" si="52"/>
        <v/>
      </c>
      <c r="H258" s="88" t="str">
        <f t="shared" si="52"/>
        <v/>
      </c>
      <c r="I258" s="88" t="str">
        <f t="shared" si="52"/>
        <v/>
      </c>
      <c r="J258" s="88" t="str">
        <f t="shared" si="52"/>
        <v/>
      </c>
      <c r="K258" s="88" t="str">
        <f t="shared" si="52"/>
        <v/>
      </c>
      <c r="L258" s="88" t="str">
        <f t="shared" si="52"/>
        <v/>
      </c>
      <c r="M258" s="88" t="str">
        <f t="shared" si="52"/>
        <v/>
      </c>
      <c r="N258" s="88" t="str">
        <f t="shared" si="52"/>
        <v/>
      </c>
      <c r="O258" s="88" t="str">
        <f t="shared" si="52"/>
        <v/>
      </c>
      <c r="P258" s="88" t="str">
        <f t="shared" si="52"/>
        <v/>
      </c>
      <c r="Q258" s="88" t="str">
        <f t="shared" si="52"/>
        <v/>
      </c>
      <c r="R258" s="88" t="str">
        <f t="shared" si="52"/>
        <v/>
      </c>
      <c r="S258" s="88" t="str">
        <f t="shared" si="52"/>
        <v/>
      </c>
      <c r="T258" s="88" t="str">
        <f t="shared" si="52"/>
        <v/>
      </c>
      <c r="U258" s="88" t="str">
        <f t="shared" si="52"/>
        <v/>
      </c>
      <c r="V258" s="88" t="str">
        <f t="shared" si="52"/>
        <v/>
      </c>
      <c r="W258" s="88" t="str">
        <f t="shared" si="52"/>
        <v/>
      </c>
      <c r="X258" s="88" t="str">
        <f t="shared" si="52"/>
        <v/>
      </c>
      <c r="Y258" s="88" t="str">
        <f t="shared" si="52"/>
        <v/>
      </c>
      <c r="Z258" s="88" t="str">
        <f t="shared" si="52"/>
        <v/>
      </c>
      <c r="AA258" s="88" t="str">
        <f t="shared" si="52"/>
        <v/>
      </c>
      <c r="AB258" s="88" t="str">
        <f t="shared" si="52"/>
        <v/>
      </c>
      <c r="AC258" s="88" t="str">
        <f t="shared" si="52"/>
        <v/>
      </c>
      <c r="AD258" s="88" t="str">
        <f t="shared" si="52"/>
        <v/>
      </c>
      <c r="AE258" s="88" t="str">
        <f t="shared" si="52"/>
        <v/>
      </c>
      <c r="AF258" s="88" t="str">
        <f t="shared" si="52"/>
        <v/>
      </c>
      <c r="AG258" s="179"/>
      <c r="AH258" s="179"/>
      <c r="AJ258"/>
    </row>
    <row r="259" spans="1:36" x14ac:dyDescent="0.25">
      <c r="A259" s="88" t="str">
        <f>A226</f>
        <v>KL 1</v>
      </c>
      <c r="B259" s="88" t="str">
        <f>IF(B226&lt;100,"",B226-1500)</f>
        <v/>
      </c>
      <c r="C259" s="88" t="str">
        <f t="shared" ref="C259:AF259" si="53">IF(C226&lt;100,"",C226-1500)</f>
        <v/>
      </c>
      <c r="D259" s="88" t="str">
        <f t="shared" si="53"/>
        <v/>
      </c>
      <c r="E259" s="88" t="str">
        <f t="shared" si="53"/>
        <v/>
      </c>
      <c r="F259" s="88" t="str">
        <f t="shared" si="53"/>
        <v/>
      </c>
      <c r="G259" s="88" t="str">
        <f t="shared" si="53"/>
        <v/>
      </c>
      <c r="H259" s="88" t="str">
        <f t="shared" si="53"/>
        <v/>
      </c>
      <c r="I259" s="88" t="str">
        <f t="shared" si="53"/>
        <v/>
      </c>
      <c r="J259" s="88" t="str">
        <f t="shared" si="53"/>
        <v/>
      </c>
      <c r="K259" s="88" t="str">
        <f t="shared" si="53"/>
        <v/>
      </c>
      <c r="L259" s="88" t="str">
        <f t="shared" si="53"/>
        <v/>
      </c>
      <c r="M259" s="88" t="str">
        <f t="shared" si="53"/>
        <v/>
      </c>
      <c r="N259" s="88" t="str">
        <f t="shared" si="53"/>
        <v/>
      </c>
      <c r="O259" s="88" t="str">
        <f t="shared" si="53"/>
        <v/>
      </c>
      <c r="P259" s="88" t="str">
        <f t="shared" si="53"/>
        <v/>
      </c>
      <c r="Q259" s="88" t="str">
        <f t="shared" si="53"/>
        <v/>
      </c>
      <c r="R259" s="88" t="str">
        <f t="shared" si="53"/>
        <v/>
      </c>
      <c r="S259" s="88" t="str">
        <f t="shared" si="53"/>
        <v/>
      </c>
      <c r="T259" s="88" t="str">
        <f t="shared" si="53"/>
        <v/>
      </c>
      <c r="U259" s="88" t="str">
        <f t="shared" si="53"/>
        <v/>
      </c>
      <c r="V259" s="88" t="str">
        <f t="shared" si="53"/>
        <v/>
      </c>
      <c r="W259" s="88" t="str">
        <f t="shared" si="53"/>
        <v/>
      </c>
      <c r="X259" s="88" t="str">
        <f t="shared" si="53"/>
        <v/>
      </c>
      <c r="Y259" s="88" t="str">
        <f t="shared" si="53"/>
        <v/>
      </c>
      <c r="Z259" s="88" t="str">
        <f t="shared" si="53"/>
        <v/>
      </c>
      <c r="AA259" s="88" t="str">
        <f t="shared" si="53"/>
        <v/>
      </c>
      <c r="AB259" s="88" t="str">
        <f t="shared" si="53"/>
        <v/>
      </c>
      <c r="AC259" s="88" t="str">
        <f t="shared" si="53"/>
        <v/>
      </c>
      <c r="AD259" s="88" t="str">
        <f t="shared" si="53"/>
        <v/>
      </c>
      <c r="AE259" s="88" t="str">
        <f t="shared" si="53"/>
        <v/>
      </c>
      <c r="AF259" s="88" t="str">
        <f t="shared" si="53"/>
        <v/>
      </c>
      <c r="AG259" s="179"/>
      <c r="AH259" s="179"/>
      <c r="AJ259"/>
    </row>
    <row r="260" spans="1:36" x14ac:dyDescent="0.25"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  <c r="AC260" s="179"/>
      <c r="AD260" s="179"/>
      <c r="AE260" s="179"/>
      <c r="AF260" s="179"/>
      <c r="AG260" s="179"/>
      <c r="AH260" s="179"/>
      <c r="AJ260"/>
    </row>
    <row r="261" spans="1:36" x14ac:dyDescent="0.25"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  <c r="AJ261"/>
    </row>
    <row r="262" spans="1:36" x14ac:dyDescent="0.25"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  <c r="AE262" s="179"/>
      <c r="AF262" s="179"/>
      <c r="AG262" s="179"/>
      <c r="AH262" s="179"/>
      <c r="AJ262"/>
    </row>
    <row r="263" spans="1:36" x14ac:dyDescent="0.25"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  <c r="AC263" s="179"/>
      <c r="AD263" s="179"/>
      <c r="AE263" s="179"/>
      <c r="AF263" s="179"/>
      <c r="AG263" s="179"/>
      <c r="AH263" s="179"/>
      <c r="AJ263"/>
    </row>
    <row r="264" spans="1:36" x14ac:dyDescent="0.25"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  <c r="AC264" s="179"/>
      <c r="AD264" s="179"/>
      <c r="AE264" s="179"/>
      <c r="AF264" s="179"/>
      <c r="AG264" s="179"/>
      <c r="AH264" s="179"/>
      <c r="AJ264"/>
    </row>
    <row r="265" spans="1:36" x14ac:dyDescent="0.25"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  <c r="AC265" s="179"/>
      <c r="AD265" s="179"/>
      <c r="AE265" s="179"/>
      <c r="AF265" s="179"/>
      <c r="AG265" s="179"/>
      <c r="AH265" s="179"/>
      <c r="AJ265"/>
    </row>
    <row r="266" spans="1:36" x14ac:dyDescent="0.25"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  <c r="AC266" s="179"/>
      <c r="AD266" s="179"/>
      <c r="AE266" s="179"/>
      <c r="AF266" s="179"/>
      <c r="AJ266"/>
    </row>
    <row r="490" spans="36:38" x14ac:dyDescent="0.25">
      <c r="AK490" s="1"/>
    </row>
    <row r="491" spans="36:38" x14ac:dyDescent="0.25">
      <c r="AK491" s="1"/>
      <c r="AL491" s="1"/>
    </row>
    <row r="492" spans="36:38" x14ac:dyDescent="0.25">
      <c r="AJ49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1:B23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2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D214:AF220 B214:B220 B212:AF212 U233:AF233 B9:AF10 C99:AF105 AA11:AF11">
    <cfRule type="expression" dxfId="1883" priority="323">
      <formula>B$9&gt;=20/24</formula>
    </cfRule>
    <cfRule type="expression" dxfId="1882" priority="324">
      <formula>AND(B$9&gt;=14/24,B$9&lt;20/24)</formula>
    </cfRule>
    <cfRule type="expression" dxfId="1881" priority="325">
      <formula>AND(B$9&gt;=8/24,B$9&lt;14/24)</formula>
    </cfRule>
    <cfRule type="expression" dxfId="1880" priority="326">
      <formula>B$9&lt;8/24</formula>
    </cfRule>
  </conditionalFormatting>
  <conditionalFormatting sqref="AL4:AL6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1879" priority="318">
      <formula>S$9&gt;=20/24</formula>
    </cfRule>
    <cfRule type="expression" dxfId="1878" priority="319">
      <formula>AND(S$9&gt;=14/24,S$9&lt;20/24)</formula>
    </cfRule>
    <cfRule type="expression" dxfId="1877" priority="320">
      <formula>AND(S$9&gt;=8/24,S$9&lt;14/24)</formula>
    </cfRule>
    <cfRule type="expression" dxfId="1876" priority="321">
      <formula>S$9&lt;8/24</formula>
    </cfRule>
  </conditionalFormatting>
  <conditionalFormatting sqref="AG55 M11:P11 O12:P14 P15:P16 M16:O16 S37:AF37 Q11:AF16 M35:AF35">
    <cfRule type="expression" dxfId="1875" priority="317">
      <formula>M11&gt;$AG11</formula>
    </cfRule>
  </conditionalFormatting>
  <conditionalFormatting sqref="A89:A102 A11:A14 A49:A76 A85:A87 A190:A220 A16:A30 A36:A47 A106:A177 A32:A33 A81:A83 A78:A79">
    <cfRule type="expression" dxfId="1874" priority="316">
      <formula>$AH11=0</formula>
    </cfRule>
  </conditionalFormatting>
  <conditionalFormatting sqref="A103">
    <cfRule type="expression" dxfId="1873" priority="315">
      <formula>$AH103=0</formula>
    </cfRule>
  </conditionalFormatting>
  <conditionalFormatting sqref="AL33">
    <cfRule type="iconSet" priority="314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1872" priority="313">
      <formula>$AH35=0</formula>
    </cfRule>
  </conditionalFormatting>
  <conditionalFormatting sqref="A88">
    <cfRule type="expression" dxfId="1871" priority="312">
      <formula>$AH88=0</formula>
    </cfRule>
  </conditionalFormatting>
  <conditionalFormatting sqref="A15">
    <cfRule type="expression" dxfId="1870" priority="311">
      <formula>$AH15=0</formula>
    </cfRule>
  </conditionalFormatting>
  <conditionalFormatting sqref="A184:A189">
    <cfRule type="expression" dxfId="1869" priority="310">
      <formula>$AH184=0</formula>
    </cfRule>
  </conditionalFormatting>
  <conditionalFormatting sqref="A178:A183">
    <cfRule type="expression" dxfId="1868" priority="309">
      <formula>$AH178=0</formula>
    </cfRule>
  </conditionalFormatting>
  <conditionalFormatting sqref="A48">
    <cfRule type="expression" dxfId="1867" priority="308">
      <formula>$AH48=0</formula>
    </cfRule>
  </conditionalFormatting>
  <conditionalFormatting sqref="A84">
    <cfRule type="expression" dxfId="1866" priority="307">
      <formula>$AH84=0</formula>
    </cfRule>
  </conditionalFormatting>
  <conditionalFormatting sqref="C89:AF89">
    <cfRule type="expression" dxfId="1865" priority="303">
      <formula>C$9&gt;=20/24</formula>
    </cfRule>
    <cfRule type="expression" dxfId="1864" priority="304">
      <formula>AND(C$9&gt;=14/24,C$9&lt;20/24)</formula>
    </cfRule>
    <cfRule type="expression" dxfId="1863" priority="305">
      <formula>AND(C$9&gt;=8/24,C$9&lt;14/24)</formula>
    </cfRule>
    <cfRule type="expression" dxfId="1862" priority="306">
      <formula>C$9&lt;8/24</formula>
    </cfRule>
  </conditionalFormatting>
  <conditionalFormatting sqref="AL34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861" priority="329">
      <formula>C$9&gt;=20/24</formula>
    </cfRule>
    <cfRule type="expression" dxfId="1860" priority="330">
      <formula>AND(C$9&gt;=14/24,C$9&lt;20/24)</formula>
    </cfRule>
    <cfRule type="expression" dxfId="1859" priority="331">
      <formula>AND(C$9&gt;=8/24,C$9&lt;14/24)</formula>
    </cfRule>
    <cfRule type="expression" dxfId="1858" priority="332">
      <formula>C$9&lt;8/24</formula>
    </cfRule>
  </conditionalFormatting>
  <conditionalFormatting sqref="A221">
    <cfRule type="expression" dxfId="1857" priority="333">
      <formula>$AH221=0</formula>
    </cfRule>
  </conditionalFormatting>
  <conditionalFormatting sqref="AG233">
    <cfRule type="expression" dxfId="1856" priority="334">
      <formula>B$9&gt;=20/24</formula>
    </cfRule>
    <cfRule type="expression" dxfId="1855" priority="335">
      <formula>AND(B$9&gt;=14/24,B$9&lt;20/24)</formula>
    </cfRule>
    <cfRule type="expression" dxfId="1854" priority="336">
      <formula>AND(B$9&gt;=8/24,B$9&lt;14/24)</formula>
    </cfRule>
    <cfRule type="expression" dxfId="1853" priority="337">
      <formula>B$9&lt;8/24</formula>
    </cfRule>
  </conditionalFormatting>
  <conditionalFormatting sqref="S8">
    <cfRule type="expression" dxfId="1852" priority="298">
      <formula>U$9&gt;=20/24</formula>
    </cfRule>
    <cfRule type="expression" dxfId="1851" priority="299">
      <formula>AND(U$9&gt;=14/24,U$9&lt;20/24)</formula>
    </cfRule>
    <cfRule type="expression" dxfId="1850" priority="300">
      <formula>AND(U$9&gt;=8/24,U$9&lt;14/24)</formula>
    </cfRule>
    <cfRule type="expression" dxfId="1849" priority="301">
      <formula>U$9&lt;8/24</formula>
    </cfRule>
  </conditionalFormatting>
  <conditionalFormatting sqref="AB8">
    <cfRule type="expression" dxfId="1848" priority="294">
      <formula>AD$9&gt;=20/24</formula>
    </cfRule>
    <cfRule type="expression" dxfId="1847" priority="295">
      <formula>AND(AD$9&gt;=14/24,AD$9&lt;20/24)</formula>
    </cfRule>
    <cfRule type="expression" dxfId="1846" priority="296">
      <formula>AND(AD$9&gt;=8/24,AD$9&lt;14/24)</formula>
    </cfRule>
    <cfRule type="expression" dxfId="1845" priority="297">
      <formula>AD$9&lt;8/24</formula>
    </cfRule>
  </conditionalFormatting>
  <conditionalFormatting sqref="AH233:AX233">
    <cfRule type="expression" dxfId="1844" priority="338">
      <formula>AG$9&gt;=20/24</formula>
    </cfRule>
    <cfRule type="expression" dxfId="1843" priority="339">
      <formula>AND(AG$9&gt;=14/24,AG$9&lt;20/24)</formula>
    </cfRule>
    <cfRule type="expression" dxfId="1842" priority="340">
      <formula>AND(AG$9&gt;=8/24,AG$9&lt;14/24)</formula>
    </cfRule>
    <cfRule type="expression" dxfId="1841" priority="341">
      <formula>AG$9&lt;8/24</formula>
    </cfRule>
  </conditionalFormatting>
  <conditionalFormatting sqref="T233">
    <cfRule type="expression" dxfId="1840" priority="342">
      <formula>AX$9&gt;=20/24</formula>
    </cfRule>
    <cfRule type="expression" dxfId="1839" priority="343">
      <formula>AND(AX$9&gt;=14/24,AX$9&lt;20/24)</formula>
    </cfRule>
    <cfRule type="expression" dxfId="1838" priority="344">
      <formula>AND(AX$9&gt;=8/24,AX$9&lt;14/24)</formula>
    </cfRule>
    <cfRule type="expression" dxfId="1837" priority="345">
      <formula>AX$9&lt;8/24</formula>
    </cfRule>
  </conditionalFormatting>
  <conditionalFormatting sqref="A104:A105">
    <cfRule type="expression" dxfId="1836" priority="293">
      <formula>$AH104=0</formula>
    </cfRule>
  </conditionalFormatting>
  <conditionalFormatting sqref="C61:AF61 AA44:AF45 AA36:AF36">
    <cfRule type="expression" dxfId="1835" priority="289">
      <formula>C$9&gt;=20/24</formula>
    </cfRule>
    <cfRule type="expression" dxfId="1834" priority="290">
      <formula>AND(C$9&gt;=14/24,C$9&lt;20/24)</formula>
    </cfRule>
    <cfRule type="expression" dxfId="1833" priority="291">
      <formula>AND(C$9&gt;=8/24,C$9&lt;14/24)</formula>
    </cfRule>
    <cfRule type="expression" dxfId="1832" priority="292">
      <formula>C$9&lt;8/24</formula>
    </cfRule>
  </conditionalFormatting>
  <conditionalFormatting sqref="AA43:AF43">
    <cfRule type="expression" dxfId="1831" priority="285">
      <formula>AA$9&gt;=20/24</formula>
    </cfRule>
    <cfRule type="expression" dxfId="1830" priority="286">
      <formula>AND(AA$9&gt;=14/24,AA$9&lt;20/24)</formula>
    </cfRule>
    <cfRule type="expression" dxfId="1829" priority="287">
      <formula>AND(AA$9&gt;=8/24,AA$9&lt;14/24)</formula>
    </cfRule>
    <cfRule type="expression" dxfId="1828" priority="288">
      <formula>AA$9&lt;8/24</formula>
    </cfRule>
  </conditionalFormatting>
  <conditionalFormatting sqref="AA43:AF45 AA36:AF36">
    <cfRule type="expression" dxfId="1827" priority="284">
      <formula>AA36&gt;$AG36</formula>
    </cfRule>
  </conditionalFormatting>
  <conditionalFormatting sqref="C86:AF86 M68:M70 G64:M65 G62:X63 C71:M71 C62:F65 C67:M67 K66:M66 M36:R37 N64:X71 M11:Z14 S36:Z36 C57:AF59 Y62:AF71 C73:AF76 C90:AF96 AA12:AF14 M16:AF16 M24:AF26 M18:AF22 M28:AF30 M32:AF32">
    <cfRule type="expression" dxfId="1826" priority="280">
      <formula>C$9&gt;=20/24</formula>
    </cfRule>
    <cfRule type="expression" dxfId="1825" priority="281">
      <formula>AND(C$9&gt;=14/24,C$9&lt;20/24)</formula>
    </cfRule>
    <cfRule type="expression" dxfId="1824" priority="282">
      <formula>AND(C$9&gt;=8/24,C$9&lt;14/24)</formula>
    </cfRule>
    <cfRule type="expression" dxfId="1823" priority="283">
      <formula>C$9&lt;8/24</formula>
    </cfRule>
  </conditionalFormatting>
  <conditionalFormatting sqref="M33:AF33">
    <cfRule type="expression" dxfId="1822" priority="276">
      <formula>M$9&gt;=20/24</formula>
    </cfRule>
    <cfRule type="expression" dxfId="1821" priority="277">
      <formula>AND(M$9&gt;=14/24,M$9&lt;20/24)</formula>
    </cfRule>
    <cfRule type="expression" dxfId="1820" priority="278">
      <formula>AND(M$9&gt;=8/24,M$9&lt;14/24)</formula>
    </cfRule>
    <cfRule type="expression" dxfId="1819" priority="279">
      <formula>M$9&lt;8/24</formula>
    </cfRule>
  </conditionalFormatting>
  <conditionalFormatting sqref="M12:N15 AF46:AF47 C55:AF55 E37:R37 O15 M11:Z11 M36:Z36 C57:AF59 M18:AF22 M32:AF33 M24:AF30">
    <cfRule type="expression" dxfId="1818" priority="275">
      <formula>C11&gt;$AG11</formula>
    </cfRule>
  </conditionalFormatting>
  <conditionalFormatting sqref="M35:AF35">
    <cfRule type="expression" dxfId="1817" priority="271">
      <formula>M$9&gt;=20/24</formula>
    </cfRule>
    <cfRule type="expression" dxfId="1816" priority="272">
      <formula>AND(M$9&gt;=14/24,M$9&lt;20/24)</formula>
    </cfRule>
    <cfRule type="expression" dxfId="1815" priority="273">
      <formula>AND(M$9&gt;=8/24,M$9&lt;14/24)</formula>
    </cfRule>
    <cfRule type="expression" dxfId="1814" priority="274">
      <formula>M$9&lt;8/24</formula>
    </cfRule>
  </conditionalFormatting>
  <conditionalFormatting sqref="M15:AF15">
    <cfRule type="expression" dxfId="1813" priority="267">
      <formula>M$9&gt;=20/24</formula>
    </cfRule>
    <cfRule type="expression" dxfId="1812" priority="268">
      <formula>AND(M$9&gt;=14/24,M$9&lt;20/24)</formula>
    </cfRule>
    <cfRule type="expression" dxfId="1811" priority="269">
      <formula>AND(M$9&gt;=8/24,M$9&lt;14/24)</formula>
    </cfRule>
    <cfRule type="expression" dxfId="1810" priority="270">
      <formula>M$9&lt;8/24</formula>
    </cfRule>
  </conditionalFormatting>
  <conditionalFormatting sqref="M34:AF34">
    <cfRule type="expression" dxfId="1809" priority="263">
      <formula>M$9&gt;=20/24</formula>
    </cfRule>
    <cfRule type="expression" dxfId="1808" priority="264">
      <formula>AND(M$9&gt;=14/24,M$9&lt;20/24)</formula>
    </cfRule>
    <cfRule type="expression" dxfId="1807" priority="265">
      <formula>AND(M$9&gt;=8/24,M$9&lt;14/24)</formula>
    </cfRule>
    <cfRule type="expression" dxfId="1806" priority="266">
      <formula>M$9&lt;8/24</formula>
    </cfRule>
  </conditionalFormatting>
  <conditionalFormatting sqref="M34:AF34">
    <cfRule type="expression" dxfId="1805" priority="262">
      <formula>M34&gt;$AG34</formula>
    </cfRule>
  </conditionalFormatting>
  <conditionalFormatting sqref="AF48:AF54 AA46:AE47">
    <cfRule type="expression" dxfId="1804" priority="254">
      <formula>AA$9&gt;=20/24</formula>
    </cfRule>
    <cfRule type="expression" dxfId="1803" priority="255">
      <formula>AND(AA$9&gt;=14/24,AA$9&lt;20/24)</formula>
    </cfRule>
    <cfRule type="expression" dxfId="1802" priority="256">
      <formula>AND(AA$9&gt;=8/24,AA$9&lt;14/24)</formula>
    </cfRule>
    <cfRule type="expression" dxfId="1801" priority="257">
      <formula>AA$9&lt;8/24</formula>
    </cfRule>
  </conditionalFormatting>
  <conditionalFormatting sqref="AF48:AF54 AA46:AE47">
    <cfRule type="expression" dxfId="1800" priority="253">
      <formula>AA46&gt;$AG46</formula>
    </cfRule>
  </conditionalFormatting>
  <conditionalFormatting sqref="M43:Z54 AA48:AE54">
    <cfRule type="expression" dxfId="1799" priority="249">
      <formula>M$9&gt;=20/24</formula>
    </cfRule>
    <cfRule type="expression" dxfId="1798" priority="250">
      <formula>AND(M$9&gt;=14/24,M$9&lt;20/24)</formula>
    </cfRule>
    <cfRule type="expression" dxfId="1797" priority="251">
      <formula>AND(M$9&gt;=8/24,M$9&lt;14/24)</formula>
    </cfRule>
    <cfRule type="expression" dxfId="1796" priority="252">
      <formula>M$9&lt;8/24</formula>
    </cfRule>
  </conditionalFormatting>
  <conditionalFormatting sqref="M43:Z54 AA48:AE54">
    <cfRule type="expression" dxfId="1795" priority="248">
      <formula>M43&gt;$AG43</formula>
    </cfRule>
  </conditionalFormatting>
  <conditionalFormatting sqref="M27:AF27">
    <cfRule type="expression" dxfId="1794" priority="244">
      <formula>M$9&gt;=20/24</formula>
    </cfRule>
    <cfRule type="expression" dxfId="1793" priority="245">
      <formula>AND(M$9&gt;=14/24,M$9&lt;20/24)</formula>
    </cfRule>
    <cfRule type="expression" dxfId="1792" priority="246">
      <formula>AND(M$9&gt;=8/24,M$9&lt;14/24)</formula>
    </cfRule>
    <cfRule type="expression" dxfId="1791" priority="247">
      <formula>M$9&lt;8/24</formula>
    </cfRule>
  </conditionalFormatting>
  <conditionalFormatting sqref="M17:AF17 M23:AF23">
    <cfRule type="expression" dxfId="1790" priority="240">
      <formula>M$9&gt;=20/24</formula>
    </cfRule>
    <cfRule type="expression" dxfId="1789" priority="241">
      <formula>AND(M$9&gt;=14/24,M$9&lt;20/24)</formula>
    </cfRule>
    <cfRule type="expression" dxfId="1788" priority="242">
      <formula>AND(M$9&gt;=8/24,M$9&lt;14/24)</formula>
    </cfRule>
    <cfRule type="expression" dxfId="1787" priority="243">
      <formula>M$9&lt;8/24</formula>
    </cfRule>
  </conditionalFormatting>
  <conditionalFormatting sqref="M17:AF17 M23:AF23">
    <cfRule type="expression" dxfId="1786" priority="235">
      <formula>M17&gt;$AG17</formula>
    </cfRule>
  </conditionalFormatting>
  <conditionalFormatting sqref="C44:L45">
    <cfRule type="expression" dxfId="1785" priority="218">
      <formula>C$9&gt;=20/24</formula>
    </cfRule>
    <cfRule type="expression" dxfId="1784" priority="219">
      <formula>AND(C$9&gt;=14/24,C$9&lt;20/24)</formula>
    </cfRule>
    <cfRule type="expression" dxfId="1783" priority="220">
      <formula>AND(C$9&gt;=8/24,C$9&lt;14/24)</formula>
    </cfRule>
    <cfRule type="expression" dxfId="1782" priority="221">
      <formula>C$9&lt;8/24</formula>
    </cfRule>
  </conditionalFormatting>
  <conditionalFormatting sqref="C43:L43">
    <cfRule type="expression" dxfId="1781" priority="214">
      <formula>C$9&gt;=20/24</formula>
    </cfRule>
    <cfRule type="expression" dxfId="1780" priority="215">
      <formula>AND(C$9&gt;=14/24,C$9&lt;20/24)</formula>
    </cfRule>
    <cfRule type="expression" dxfId="1779" priority="216">
      <formula>AND(C$9&gt;=8/24,C$9&lt;14/24)</formula>
    </cfRule>
    <cfRule type="expression" dxfId="1778" priority="217">
      <formula>C$9&lt;8/24</formula>
    </cfRule>
  </conditionalFormatting>
  <conditionalFormatting sqref="C43:L45">
    <cfRule type="expression" dxfId="1777" priority="213">
      <formula>C43&gt;$AG43</formula>
    </cfRule>
  </conditionalFormatting>
  <conditionalFormatting sqref="C68:L70">
    <cfRule type="expression" dxfId="1776" priority="209">
      <formula>C$9&gt;=20/24</formula>
    </cfRule>
    <cfRule type="expression" dxfId="1775" priority="210">
      <formula>AND(C$9&gt;=14/24,C$9&lt;20/24)</formula>
    </cfRule>
    <cfRule type="expression" dxfId="1774" priority="211">
      <formula>AND(C$9&gt;=8/24,C$9&lt;14/24)</formula>
    </cfRule>
    <cfRule type="expression" dxfId="1773" priority="212">
      <formula>C$9&lt;8/24</formula>
    </cfRule>
  </conditionalFormatting>
  <conditionalFormatting sqref="C46:L47">
    <cfRule type="expression" dxfId="1772" priority="208">
      <formula>C46&gt;$AG46</formula>
    </cfRule>
  </conditionalFormatting>
  <conditionalFormatting sqref="C48:L54">
    <cfRule type="expression" dxfId="1771" priority="204">
      <formula>C$9&gt;=20/24</formula>
    </cfRule>
    <cfRule type="expression" dxfId="1770" priority="205">
      <formula>AND(C$9&gt;=14/24,C$9&lt;20/24)</formula>
    </cfRule>
    <cfRule type="expression" dxfId="1769" priority="206">
      <formula>AND(C$9&gt;=8/24,C$9&lt;14/24)</formula>
    </cfRule>
    <cfRule type="expression" dxfId="1768" priority="207">
      <formula>C$9&lt;8/24</formula>
    </cfRule>
  </conditionalFormatting>
  <conditionalFormatting sqref="C48:L54">
    <cfRule type="expression" dxfId="1767" priority="203">
      <formula>C48&gt;$AG48</formula>
    </cfRule>
  </conditionalFormatting>
  <conditionalFormatting sqref="C78:AF78 C87:AF87">
    <cfRule type="expression" dxfId="1766" priority="190">
      <formula>C$9&gt;=20/24</formula>
    </cfRule>
    <cfRule type="expression" dxfId="1765" priority="191">
      <formula>AND(C$9&gt;=14/24,C$9&lt;20/24)</formula>
    </cfRule>
    <cfRule type="expression" dxfId="1764" priority="192">
      <formula>AND(C$9&gt;=8/24,C$9&lt;14/24)</formula>
    </cfRule>
    <cfRule type="expression" dxfId="1763" priority="193">
      <formula>C$9&lt;8/24</formula>
    </cfRule>
  </conditionalFormatting>
  <conditionalFormatting sqref="B89">
    <cfRule type="expression" dxfId="1762" priority="87">
      <formula>B$9&gt;=20/24</formula>
    </cfRule>
    <cfRule type="expression" dxfId="1761" priority="88">
      <formula>AND(B$9&gt;=14/24,B$9&lt;20/24)</formula>
    </cfRule>
    <cfRule type="expression" dxfId="1760" priority="89">
      <formula>AND(B$9&gt;=8/24,B$9&lt;14/24)</formula>
    </cfRule>
    <cfRule type="expression" dxfId="1759" priority="90">
      <formula>B$9&lt;8/24</formula>
    </cfRule>
  </conditionalFormatting>
  <conditionalFormatting sqref="B86 B90:B96 B73:B76 B57:B59 B62:B71 B16:L16 B36:L36 B18:L21 B11:L14 C66:J66">
    <cfRule type="expression" dxfId="1758" priority="74">
      <formula>B$9&gt;=20/24</formula>
    </cfRule>
    <cfRule type="expression" dxfId="1757" priority="75">
      <formula>AND(B$9&gt;=14/24,B$9&lt;20/24)</formula>
    </cfRule>
    <cfRule type="expression" dxfId="1756" priority="76">
      <formula>AND(B$9&gt;=8/24,B$9&lt;14/24)</formula>
    </cfRule>
    <cfRule type="expression" dxfId="1755" priority="77">
      <formula>B$9&lt;8/24</formula>
    </cfRule>
  </conditionalFormatting>
  <conditionalFormatting sqref="B55 B46:B47 B57:B59 B11:L11 B36:L36 B18:L21">
    <cfRule type="expression" dxfId="1754" priority="73">
      <formula>B11&gt;$AG11</formula>
    </cfRule>
  </conditionalFormatting>
  <conditionalFormatting sqref="C79:AF79 C60:AG60 C77:AG77 C88:AF88">
    <cfRule type="expression" dxfId="1753" priority="168">
      <formula>C$9&gt;=20/24</formula>
    </cfRule>
    <cfRule type="expression" dxfId="1752" priority="169">
      <formula>AND(C$9&gt;=14/24,C$9&lt;20/24)</formula>
    </cfRule>
    <cfRule type="expression" dxfId="1751" priority="170">
      <formula>AND(C$9&gt;=8/24,C$9&lt;14/24)</formula>
    </cfRule>
    <cfRule type="expression" dxfId="1750" priority="171">
      <formula>C$9&lt;8/24</formula>
    </cfRule>
  </conditionalFormatting>
  <conditionalFormatting sqref="B15:L15">
    <cfRule type="expression" dxfId="1749" priority="65">
      <formula>B$9&gt;=20/24</formula>
    </cfRule>
    <cfRule type="expression" dxfId="1748" priority="66">
      <formula>AND(B$9&gt;=14/24,B$9&lt;20/24)</formula>
    </cfRule>
    <cfRule type="expression" dxfId="1747" priority="67">
      <formula>AND(B$9&gt;=8/24,B$9&lt;14/24)</formula>
    </cfRule>
    <cfRule type="expression" dxfId="1746" priority="68">
      <formula>B$9&lt;8/24</formula>
    </cfRule>
  </conditionalFormatting>
  <conditionalFormatting sqref="C38:AG38 C56:AG56 C60:AG60">
    <cfRule type="expression" dxfId="1745" priority="163">
      <formula>C38&gt;$AG38</formula>
    </cfRule>
  </conditionalFormatting>
  <conditionalFormatting sqref="B17:L17">
    <cfRule type="expression" dxfId="1744" priority="56">
      <formula>B$9&gt;=20/24</formula>
    </cfRule>
    <cfRule type="expression" dxfId="1743" priority="57">
      <formula>AND(B$9&gt;=14/24,B$9&lt;20/24)</formula>
    </cfRule>
    <cfRule type="expression" dxfId="1742" priority="58">
      <formula>AND(B$9&gt;=8/24,B$9&lt;14/24)</formula>
    </cfRule>
    <cfRule type="expression" dxfId="1741" priority="59">
      <formula>B$9&lt;8/24</formula>
    </cfRule>
  </conditionalFormatting>
  <conditionalFormatting sqref="B79 B60 B77 B88 B28:L30 B22:L22 B24:L26 B32:L32">
    <cfRule type="expression" dxfId="1740" priority="47">
      <formula>B$9&gt;=20/24</formula>
    </cfRule>
    <cfRule type="expression" dxfId="1739" priority="48">
      <formula>AND(B$9&gt;=14/24,B$9&lt;20/24)</formula>
    </cfRule>
    <cfRule type="expression" dxfId="1738" priority="49">
      <formula>AND(B$9&gt;=8/24,B$9&lt;14/24)</formula>
    </cfRule>
    <cfRule type="expression" dxfId="1737" priority="50">
      <formula>B$9&lt;8/24</formula>
    </cfRule>
  </conditionalFormatting>
  <conditionalFormatting sqref="B34:L34">
    <cfRule type="expression" dxfId="1736" priority="38">
      <formula>B$9&gt;=20/24</formula>
    </cfRule>
    <cfRule type="expression" dxfId="1735" priority="39">
      <formula>AND(B$9&gt;=14/24,B$9&lt;20/24)</formula>
    </cfRule>
    <cfRule type="expression" dxfId="1734" priority="40">
      <formula>AND(B$9&gt;=8/24,B$9&lt;14/24)</formula>
    </cfRule>
    <cfRule type="expression" dxfId="1733" priority="41">
      <formula>B$9&lt;8/24</formula>
    </cfRule>
  </conditionalFormatting>
  <conditionalFormatting sqref="B34:L34">
    <cfRule type="expression" dxfId="1732" priority="37">
      <formula>B34&gt;$AG34</formula>
    </cfRule>
  </conditionalFormatting>
  <conditionalFormatting sqref="A34">
    <cfRule type="expression" dxfId="1731" priority="135">
      <formula>$AH34=0</formula>
    </cfRule>
  </conditionalFormatting>
  <conditionalFormatting sqref="C72:AF72">
    <cfRule type="expression" dxfId="1730" priority="131">
      <formula>C$9&gt;=20/24</formula>
    </cfRule>
    <cfRule type="expression" dxfId="1729" priority="132">
      <formula>AND(C$9&gt;=14/24,C$9&lt;20/24)</formula>
    </cfRule>
    <cfRule type="expression" dxfId="1728" priority="133">
      <formula>AND(C$9&gt;=8/24,C$9&lt;14/24)</formula>
    </cfRule>
    <cfRule type="expression" dxfId="1727" priority="134">
      <formula>C$9&lt;8/24</formula>
    </cfRule>
  </conditionalFormatting>
  <conditionalFormatting sqref="C81:AF85">
    <cfRule type="expression" dxfId="1726" priority="127">
      <formula>C$9&gt;=20/24</formula>
    </cfRule>
    <cfRule type="expression" dxfId="1725" priority="128">
      <formula>AND(C$9&gt;=14/24,C$9&lt;20/24)</formula>
    </cfRule>
    <cfRule type="expression" dxfId="1724" priority="129">
      <formula>AND(C$9&gt;=8/24,C$9&lt;14/24)</formula>
    </cfRule>
    <cfRule type="expression" dxfId="1723" priority="130">
      <formula>C$9&lt;8/24</formula>
    </cfRule>
  </conditionalFormatting>
  <conditionalFormatting sqref="AL35 AL7:AL30 AL32">
    <cfRule type="iconSet" priority="346">
      <iconSet iconSet="3TrafficLights2" reverse="1">
        <cfvo type="percent" val="0"/>
        <cfvo type="num" val="1"/>
        <cfvo type="num" val="1"/>
      </iconSet>
    </cfRule>
  </conditionalFormatting>
  <conditionalFormatting sqref="C39:AF41">
    <cfRule type="expression" dxfId="1722" priority="123">
      <formula>C$9&gt;=20/24</formula>
    </cfRule>
    <cfRule type="expression" dxfId="1721" priority="124">
      <formula>AND(C$9&gt;=14/24,C$9&lt;20/24)</formula>
    </cfRule>
    <cfRule type="expression" dxfId="1720" priority="125">
      <formula>AND(C$9&gt;=8/24,C$9&lt;14/24)</formula>
    </cfRule>
    <cfRule type="expression" dxfId="1719" priority="126">
      <formula>C$9&lt;8/24</formula>
    </cfRule>
  </conditionalFormatting>
  <conditionalFormatting sqref="C39:AF41">
    <cfRule type="expression" dxfId="1718" priority="122">
      <formula>C39&gt;$AG39</formula>
    </cfRule>
  </conditionalFormatting>
  <conditionalFormatting sqref="C42:AG42">
    <cfRule type="expression" dxfId="1717" priority="118">
      <formula>C$9&gt;=20/24</formula>
    </cfRule>
    <cfRule type="expression" dxfId="1716" priority="119">
      <formula>AND(C$9&gt;=14/24,C$9&lt;20/24)</formula>
    </cfRule>
    <cfRule type="expression" dxfId="1715" priority="120">
      <formula>AND(C$9&gt;=8/24,C$9&lt;14/24)</formula>
    </cfRule>
    <cfRule type="expression" dxfId="1714" priority="121">
      <formula>C$9&lt;8/24</formula>
    </cfRule>
  </conditionalFormatting>
  <conditionalFormatting sqref="C42:AG42">
    <cfRule type="expression" dxfId="1713" priority="117">
      <formula>C42&gt;$AG42</formula>
    </cfRule>
  </conditionalFormatting>
  <conditionalFormatting sqref="C97:AF97">
    <cfRule type="expression" dxfId="1712" priority="113">
      <formula>C$9&gt;=20/24</formula>
    </cfRule>
    <cfRule type="expression" dxfId="1711" priority="114">
      <formula>AND(C$9&gt;=14/24,C$9&lt;20/24)</formula>
    </cfRule>
    <cfRule type="expression" dxfId="1710" priority="115">
      <formula>AND(C$9&gt;=8/24,C$9&lt;14/24)</formula>
    </cfRule>
    <cfRule type="expression" dxfId="1709" priority="116">
      <formula>C$9&lt;8/24</formula>
    </cfRule>
  </conditionalFormatting>
  <conditionalFormatting sqref="AL31">
    <cfRule type="iconSet" priority="108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1708" priority="102">
      <formula>$AH31=0</formula>
    </cfRule>
  </conditionalFormatting>
  <conditionalFormatting sqref="A80">
    <cfRule type="expression" dxfId="1707" priority="100">
      <formula>$AH80=0</formula>
    </cfRule>
  </conditionalFormatting>
  <conditionalFormatting sqref="A77">
    <cfRule type="expression" dxfId="1706" priority="101">
      <formula>$AH77=0</formula>
    </cfRule>
  </conditionalFormatting>
  <conditionalFormatting sqref="B99:B105">
    <cfRule type="expression" dxfId="1705" priority="96">
      <formula>B$9&gt;=20/24</formula>
    </cfRule>
    <cfRule type="expression" dxfId="1704" priority="97">
      <formula>AND(B$9&gt;=14/24,B$9&lt;20/24)</formula>
    </cfRule>
    <cfRule type="expression" dxfId="1703" priority="98">
      <formula>AND(B$9&gt;=8/24,B$9&lt;14/24)</formula>
    </cfRule>
    <cfRule type="expression" dxfId="1702" priority="99">
      <formula>B$9&lt;8/24</formula>
    </cfRule>
  </conditionalFormatting>
  <conditionalFormatting sqref="B37:D37">
    <cfRule type="expression" dxfId="1701" priority="92">
      <formula>B$9&gt;=20/24</formula>
    </cfRule>
    <cfRule type="expression" dxfId="1700" priority="93">
      <formula>AND(B$9&gt;=14/24,B$9&lt;20/24)</formula>
    </cfRule>
    <cfRule type="expression" dxfId="1699" priority="94">
      <formula>AND(B$9&gt;=8/24,B$9&lt;14/24)</formula>
    </cfRule>
    <cfRule type="expression" dxfId="1698" priority="95">
      <formula>B$9&lt;8/24</formula>
    </cfRule>
  </conditionalFormatting>
  <conditionalFormatting sqref="B37:D37 B35:L35 B11:L16">
    <cfRule type="expression" dxfId="1697" priority="91">
      <formula>B11&gt;$AG11</formula>
    </cfRule>
  </conditionalFormatting>
  <conditionalFormatting sqref="B44:B45 B61">
    <cfRule type="expression" dxfId="1696" priority="83">
      <formula>B$9&gt;=20/24</formula>
    </cfRule>
    <cfRule type="expression" dxfId="1695" priority="84">
      <formula>AND(B$9&gt;=14/24,B$9&lt;20/24)</formula>
    </cfRule>
    <cfRule type="expression" dxfId="1694" priority="85">
      <formula>AND(B$9&gt;=8/24,B$9&lt;14/24)</formula>
    </cfRule>
    <cfRule type="expression" dxfId="1693" priority="86">
      <formula>B$9&lt;8/24</formula>
    </cfRule>
  </conditionalFormatting>
  <conditionalFormatting sqref="B43">
    <cfRule type="expression" dxfId="1692" priority="79">
      <formula>B$9&gt;=20/24</formula>
    </cfRule>
    <cfRule type="expression" dxfId="1691" priority="80">
      <formula>AND(B$9&gt;=14/24,B$9&lt;20/24)</formula>
    </cfRule>
    <cfRule type="expression" dxfId="1690" priority="81">
      <formula>AND(B$9&gt;=8/24,B$9&lt;14/24)</formula>
    </cfRule>
    <cfRule type="expression" dxfId="1689" priority="82">
      <formula>B$9&lt;8/24</formula>
    </cfRule>
  </conditionalFormatting>
  <conditionalFormatting sqref="B43:B45">
    <cfRule type="expression" dxfId="1688" priority="78">
      <formula>B43&gt;$AG43</formula>
    </cfRule>
  </conditionalFormatting>
  <conditionalFormatting sqref="B35:L35">
    <cfRule type="expression" dxfId="1687" priority="69">
      <formula>B$9&gt;=20/24</formula>
    </cfRule>
    <cfRule type="expression" dxfId="1686" priority="70">
      <formula>AND(B$9&gt;=14/24,B$9&lt;20/24)</formula>
    </cfRule>
    <cfRule type="expression" dxfId="1685" priority="71">
      <formula>AND(B$9&gt;=8/24,B$9&lt;14/24)</formula>
    </cfRule>
    <cfRule type="expression" dxfId="1684" priority="72">
      <formula>B$9&lt;8/24</formula>
    </cfRule>
  </conditionalFormatting>
  <conditionalFormatting sqref="B48:B54">
    <cfRule type="expression" dxfId="1683" priority="61">
      <formula>B$9&gt;=20/24</formula>
    </cfRule>
    <cfRule type="expression" dxfId="1682" priority="62">
      <formula>AND(B$9&gt;=14/24,B$9&lt;20/24)</formula>
    </cfRule>
    <cfRule type="expression" dxfId="1681" priority="63">
      <formula>AND(B$9&gt;=8/24,B$9&lt;14/24)</formula>
    </cfRule>
    <cfRule type="expression" dxfId="1680" priority="64">
      <formula>B$9&lt;8/24</formula>
    </cfRule>
  </conditionalFormatting>
  <conditionalFormatting sqref="B48:B54">
    <cfRule type="expression" dxfId="1679" priority="60">
      <formula>B48&gt;$AG48</formula>
    </cfRule>
  </conditionalFormatting>
  <conditionalFormatting sqref="B17:L17">
    <cfRule type="expression" dxfId="1678" priority="55">
      <formula>B17&gt;$AG17</formula>
    </cfRule>
  </conditionalFormatting>
  <conditionalFormatting sqref="B78 B87">
    <cfRule type="expression" dxfId="1677" priority="51">
      <formula>B$9&gt;=20/24</formula>
    </cfRule>
    <cfRule type="expression" dxfId="1676" priority="52">
      <formula>AND(B$9&gt;=14/24,B$9&lt;20/24)</formula>
    </cfRule>
    <cfRule type="expression" dxfId="1675" priority="53">
      <formula>AND(B$9&gt;=8/24,B$9&lt;14/24)</formula>
    </cfRule>
    <cfRule type="expression" dxfId="1674" priority="54">
      <formula>B$9&lt;8/24</formula>
    </cfRule>
  </conditionalFormatting>
  <conditionalFormatting sqref="B33:L33">
    <cfRule type="expression" dxfId="1673" priority="43">
      <formula>B$9&gt;=20/24</formula>
    </cfRule>
    <cfRule type="expression" dxfId="1672" priority="44">
      <formula>AND(B$9&gt;=14/24,B$9&lt;20/24)</formula>
    </cfRule>
    <cfRule type="expression" dxfId="1671" priority="45">
      <formula>AND(B$9&gt;=8/24,B$9&lt;14/24)</formula>
    </cfRule>
    <cfRule type="expression" dxfId="1670" priority="46">
      <formula>B$9&lt;8/24</formula>
    </cfRule>
  </conditionalFormatting>
  <conditionalFormatting sqref="B38 B56 B60 B22:L22 B24:L30 B32:L33">
    <cfRule type="expression" dxfId="1669" priority="42">
      <formula>B22&gt;$AG22</formula>
    </cfRule>
  </conditionalFormatting>
  <conditionalFormatting sqref="B27:L27">
    <cfRule type="expression" dxfId="1668" priority="33">
      <formula>B$9&gt;=20/24</formula>
    </cfRule>
    <cfRule type="expression" dxfId="1667" priority="34">
      <formula>AND(B$9&gt;=14/24,B$9&lt;20/24)</formula>
    </cfRule>
    <cfRule type="expression" dxfId="1666" priority="35">
      <formula>AND(B$9&gt;=8/24,B$9&lt;14/24)</formula>
    </cfRule>
    <cfRule type="expression" dxfId="1665" priority="36">
      <formula>B$9&lt;8/24</formula>
    </cfRule>
  </conditionalFormatting>
  <conditionalFormatting sqref="B23:L23">
    <cfRule type="expression" dxfId="1664" priority="29">
      <formula>B$9&gt;=20/24</formula>
    </cfRule>
    <cfRule type="expression" dxfId="1663" priority="30">
      <formula>AND(B$9&gt;=14/24,B$9&lt;20/24)</formula>
    </cfRule>
    <cfRule type="expression" dxfId="1662" priority="31">
      <formula>AND(B$9&gt;=8/24,B$9&lt;14/24)</formula>
    </cfRule>
    <cfRule type="expression" dxfId="1661" priority="32">
      <formula>B$9&lt;8/24</formula>
    </cfRule>
  </conditionalFormatting>
  <conditionalFormatting sqref="B23:L23">
    <cfRule type="expression" dxfId="1660" priority="28">
      <formula>B23&gt;$AG23</formula>
    </cfRule>
  </conditionalFormatting>
  <conditionalFormatting sqref="B72">
    <cfRule type="expression" dxfId="1659" priority="24">
      <formula>B$9&gt;=20/24</formula>
    </cfRule>
    <cfRule type="expression" dxfId="1658" priority="25">
      <formula>AND(B$9&gt;=14/24,B$9&lt;20/24)</formula>
    </cfRule>
    <cfRule type="expression" dxfId="1657" priority="26">
      <formula>AND(B$9&gt;=8/24,B$9&lt;14/24)</formula>
    </cfRule>
    <cfRule type="expression" dxfId="1656" priority="27">
      <formula>B$9&lt;8/24</formula>
    </cfRule>
  </conditionalFormatting>
  <conditionalFormatting sqref="B81:B85">
    <cfRule type="expression" dxfId="1655" priority="20">
      <formula>B$9&gt;=20/24</formula>
    </cfRule>
    <cfRule type="expression" dxfId="1654" priority="21">
      <formula>AND(B$9&gt;=14/24,B$9&lt;20/24)</formula>
    </cfRule>
    <cfRule type="expression" dxfId="1653" priority="22">
      <formula>AND(B$9&gt;=8/24,B$9&lt;14/24)</formula>
    </cfRule>
    <cfRule type="expression" dxfId="1652" priority="23">
      <formula>B$9&lt;8/24</formula>
    </cfRule>
  </conditionalFormatting>
  <conditionalFormatting sqref="B39:B41">
    <cfRule type="expression" dxfId="1651" priority="16">
      <formula>B$9&gt;=20/24</formula>
    </cfRule>
    <cfRule type="expression" dxfId="1650" priority="17">
      <formula>AND(B$9&gt;=14/24,B$9&lt;20/24)</formula>
    </cfRule>
    <cfRule type="expression" dxfId="1649" priority="18">
      <formula>AND(B$9&gt;=8/24,B$9&lt;14/24)</formula>
    </cfRule>
    <cfRule type="expression" dxfId="1648" priority="19">
      <formula>B$9&lt;8/24</formula>
    </cfRule>
  </conditionalFormatting>
  <conditionalFormatting sqref="B39:B41">
    <cfRule type="expression" dxfId="1647" priority="15">
      <formula>B39&gt;$AG39</formula>
    </cfRule>
  </conditionalFormatting>
  <conditionalFormatting sqref="B42">
    <cfRule type="expression" dxfId="1646" priority="11">
      <formula>B$9&gt;=20/24</formula>
    </cfRule>
    <cfRule type="expression" dxfId="1645" priority="12">
      <formula>AND(B$9&gt;=14/24,B$9&lt;20/24)</formula>
    </cfRule>
    <cfRule type="expression" dxfId="1644" priority="13">
      <formula>AND(B$9&gt;=8/24,B$9&lt;14/24)</formula>
    </cfRule>
    <cfRule type="expression" dxfId="1643" priority="14">
      <formula>B$9&lt;8/24</formula>
    </cfRule>
  </conditionalFormatting>
  <conditionalFormatting sqref="B42">
    <cfRule type="expression" dxfId="1642" priority="10">
      <formula>B42&gt;$AG42</formula>
    </cfRule>
  </conditionalFormatting>
  <conditionalFormatting sqref="B97">
    <cfRule type="expression" dxfId="1641" priority="6">
      <formula>B$9&gt;=20/24</formula>
    </cfRule>
    <cfRule type="expression" dxfId="1640" priority="7">
      <formula>AND(B$9&gt;=14/24,B$9&lt;20/24)</formula>
    </cfRule>
    <cfRule type="expression" dxfId="1639" priority="8">
      <formula>AND(B$9&gt;=8/24,B$9&lt;14/24)</formula>
    </cfRule>
    <cfRule type="expression" dxfId="1638" priority="9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4" id="{68893406-8A83-4D51-A4A1-01E700198C87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5" id="{084B4C7A-A2C7-413C-832F-68F006D3B67F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6" id="{D6BA5046-6318-4FEC-A1C3-714ABBEEA0FE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07" id="{2E38B783-5DA5-4C98-8F88-8393123C8F02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103" id="{A58976D2-E072-4C2C-847E-95B28DDD99DE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2"/>
  <sheetViews>
    <sheetView zoomScale="90" zoomScaleNormal="90" workbookViewId="0">
      <pane xSplit="1" ySplit="10" topLeftCell="B47" activePane="bottomRight" state="frozen"/>
      <selection activeCell="AF88" sqref="AF88"/>
      <selection pane="topRight" activeCell="AF88" sqref="AF88"/>
      <selection pane="bottomLeft" activeCell="AF88" sqref="AF88"/>
      <selection pane="bottomRight" activeCell="Y63" sqref="Y63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2079/02/26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("&amp;ROUND(B237,0)&amp;" MW)"&amp;"    IPP   = "&amp;ROUND(B232,0)&amp;" MW     NEA RoR = "&amp;ROUND(B233,0)&amp;" MWImport   = "&amp;ROUND(B235,0)&amp;" MW      KL1+KL2+K3 = "&amp;ROUND(B234,0) &amp;" MW    EXPORT = "&amp;ROUND(B236,0)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27</v>
      </c>
      <c r="C5" s="32">
        <f t="shared" si="0"/>
        <v>19.899999999999999</v>
      </c>
      <c r="D5" s="32">
        <f t="shared" si="0"/>
        <v>19.899999999999999</v>
      </c>
      <c r="E5" s="32">
        <f t="shared" si="0"/>
        <v>21.5</v>
      </c>
      <c r="F5" s="32">
        <f t="shared" si="0"/>
        <v>21.1</v>
      </c>
      <c r="G5" s="32">
        <f t="shared" si="0"/>
        <v>21.1</v>
      </c>
      <c r="H5" s="32">
        <f t="shared" si="0"/>
        <v>22</v>
      </c>
      <c r="I5" s="32">
        <f t="shared" si="0"/>
        <v>34</v>
      </c>
      <c r="J5" s="32">
        <f t="shared" si="0"/>
        <v>25.3</v>
      </c>
      <c r="K5" s="32">
        <f t="shared" si="0"/>
        <v>25.3</v>
      </c>
      <c r="L5" s="32">
        <f t="shared" si="0"/>
        <v>28.4</v>
      </c>
      <c r="M5" s="32">
        <f t="shared" si="0"/>
        <v>53.5</v>
      </c>
      <c r="N5" s="32">
        <f t="shared" si="0"/>
        <v>58.300000000000004</v>
      </c>
      <c r="O5" s="32">
        <f t="shared" si="0"/>
        <v>56.5</v>
      </c>
      <c r="P5" s="32">
        <f t="shared" si="0"/>
        <v>56.2</v>
      </c>
      <c r="Q5" s="32">
        <f t="shared" si="0"/>
        <v>67.400000000000006</v>
      </c>
      <c r="R5" s="32">
        <f t="shared" si="0"/>
        <v>64</v>
      </c>
      <c r="S5" s="32">
        <f t="shared" si="0"/>
        <v>65</v>
      </c>
      <c r="T5" s="32">
        <f t="shared" si="0"/>
        <v>0</v>
      </c>
      <c r="U5" s="32">
        <f t="shared" si="0"/>
        <v>0</v>
      </c>
      <c r="V5" s="32">
        <f t="shared" si="0"/>
        <v>57</v>
      </c>
      <c r="W5" s="32">
        <f t="shared" si="0"/>
        <v>57</v>
      </c>
      <c r="X5" s="32">
        <f t="shared" si="0"/>
        <v>55</v>
      </c>
      <c r="Y5" s="32">
        <f t="shared" si="0"/>
        <v>51.4</v>
      </c>
      <c r="Z5" s="32">
        <f t="shared" si="0"/>
        <v>63.9</v>
      </c>
      <c r="AA5" s="32">
        <f t="shared" si="0"/>
        <v>72.900000000000006</v>
      </c>
      <c r="AB5" s="32">
        <f t="shared" si="0"/>
        <v>75.099999999999994</v>
      </c>
      <c r="AC5" s="32">
        <f t="shared" si="0"/>
        <v>75.099999999999994</v>
      </c>
      <c r="AD5" s="32">
        <f t="shared" si="0"/>
        <v>72.7</v>
      </c>
      <c r="AE5" s="32">
        <f t="shared" si="0"/>
        <v>72.099999999999994</v>
      </c>
      <c r="AF5" s="32">
        <f>B72</f>
        <v>63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"&amp;ROUND(B237,0)&amp;"MW at "&amp;TRUNC(B238*24,0)&amp;":"&amp;ROUND((B238*24-TRUNC(B238*24,0))*60,0)&amp;"hr at "&amp;ROUND(B239,1)&amp;"Hz     "&amp;A229&amp;" "&amp;ROUND(B229,0)&amp;"MW at "&amp;TRUNC(C229*24,0)&amp;":"&amp;ROUND((C229*24-TRUNC(C229*24,0))*6,0)&amp;"0hr"</f>
        <v>Evening Peak 0MW at 0:0hr at 0Hz     Morning Peak 1884MW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B79</f>
        <v>1816.94</v>
      </c>
      <c r="C7" s="37">
        <f t="shared" ref="C7:AF7" si="1">C79</f>
        <v>1769.24</v>
      </c>
      <c r="D7" s="37">
        <f t="shared" si="1"/>
        <v>1767.14</v>
      </c>
      <c r="E7" s="37">
        <f t="shared" si="1"/>
        <v>1767.94</v>
      </c>
      <c r="F7" s="37">
        <f t="shared" si="1"/>
        <v>1748.24</v>
      </c>
      <c r="G7" s="37">
        <f t="shared" si="1"/>
        <v>1725.54</v>
      </c>
      <c r="H7" s="37">
        <f t="shared" si="1"/>
        <v>1726.54</v>
      </c>
      <c r="I7" s="37">
        <f t="shared" si="1"/>
        <v>1728.44</v>
      </c>
      <c r="J7" s="37">
        <f t="shared" si="1"/>
        <v>1741.44</v>
      </c>
      <c r="K7" s="37">
        <f t="shared" si="1"/>
        <v>1787.84</v>
      </c>
      <c r="L7" s="37">
        <f t="shared" si="1"/>
        <v>1789.54</v>
      </c>
      <c r="M7" s="37">
        <f t="shared" si="1"/>
        <v>1884.2400000000002</v>
      </c>
      <c r="N7" s="37">
        <f t="shared" si="1"/>
        <v>1500.94</v>
      </c>
      <c r="O7" s="37">
        <f t="shared" si="1"/>
        <v>1537.54</v>
      </c>
      <c r="P7" s="37">
        <f t="shared" si="1"/>
        <v>1640.74</v>
      </c>
      <c r="Q7" s="37">
        <f t="shared" si="1"/>
        <v>1682.24</v>
      </c>
      <c r="R7" s="37">
        <f t="shared" si="1"/>
        <v>1750.54</v>
      </c>
      <c r="S7" s="37">
        <f t="shared" si="1"/>
        <v>1720.44</v>
      </c>
      <c r="T7" s="37">
        <f t="shared" si="1"/>
        <v>1785.1399999999999</v>
      </c>
      <c r="U7" s="37">
        <f t="shared" si="1"/>
        <v>3.54</v>
      </c>
      <c r="V7" s="37">
        <f t="shared" si="1"/>
        <v>3.54</v>
      </c>
      <c r="W7" s="37">
        <f t="shared" si="1"/>
        <v>1853.1399999999999</v>
      </c>
      <c r="X7" s="37">
        <f t="shared" si="1"/>
        <v>1841.6399999999999</v>
      </c>
      <c r="Y7" s="37">
        <f t="shared" si="1"/>
        <v>1572.6399999999999</v>
      </c>
      <c r="Z7" s="37">
        <f t="shared" si="1"/>
        <v>1705.2400000000002</v>
      </c>
      <c r="AA7" s="37">
        <f t="shared" si="1"/>
        <v>1727.94</v>
      </c>
      <c r="AB7" s="37">
        <f t="shared" si="1"/>
        <v>1794.94</v>
      </c>
      <c r="AC7" s="37">
        <f t="shared" si="1"/>
        <v>1808.04</v>
      </c>
      <c r="AD7" s="37">
        <f t="shared" si="1"/>
        <v>1804.7399999999998</v>
      </c>
      <c r="AE7" s="37">
        <f t="shared" si="1"/>
        <v>1814.4399999999998</v>
      </c>
      <c r="AF7" s="37">
        <f t="shared" si="1"/>
        <v>1753.2399999999998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179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0">
        <v>53.6</v>
      </c>
      <c r="C11" s="50">
        <v>53.6</v>
      </c>
      <c r="D11" s="50">
        <v>53.6</v>
      </c>
      <c r="E11" s="50">
        <v>53.6</v>
      </c>
      <c r="F11" s="50">
        <v>53.6</v>
      </c>
      <c r="G11" s="50">
        <v>53.6</v>
      </c>
      <c r="H11" s="50">
        <v>53.6</v>
      </c>
      <c r="I11" s="50">
        <v>53.6</v>
      </c>
      <c r="J11" s="50">
        <v>53.6</v>
      </c>
      <c r="K11" s="50">
        <v>53.6</v>
      </c>
      <c r="L11" s="50">
        <v>53.6</v>
      </c>
      <c r="M11" s="50">
        <v>53.6</v>
      </c>
      <c r="N11" s="50">
        <v>53.6</v>
      </c>
      <c r="O11" s="50">
        <v>53.6</v>
      </c>
      <c r="P11" s="50">
        <v>53.6</v>
      </c>
      <c r="Q11" s="50">
        <v>53.6</v>
      </c>
      <c r="R11" s="50">
        <v>53.6</v>
      </c>
      <c r="S11" s="50">
        <v>53.6</v>
      </c>
      <c r="T11" s="50">
        <v>53.6</v>
      </c>
      <c r="U11" s="52"/>
      <c r="V11" s="52"/>
      <c r="W11" s="52">
        <v>53.6</v>
      </c>
      <c r="X11" s="52">
        <v>53.6</v>
      </c>
      <c r="Y11" s="52">
        <v>53.6</v>
      </c>
      <c r="Z11" s="52">
        <v>53.6</v>
      </c>
      <c r="AA11" s="52">
        <v>53.6</v>
      </c>
      <c r="AB11" s="52">
        <v>53.6</v>
      </c>
      <c r="AC11" s="52">
        <v>53.6</v>
      </c>
      <c r="AD11" s="52">
        <v>53.6</v>
      </c>
      <c r="AE11" s="52">
        <v>53.6</v>
      </c>
      <c r="AF11" s="52">
        <v>53.6</v>
      </c>
      <c r="AG11" s="133">
        <v>52.4</v>
      </c>
      <c r="AH11" s="54">
        <f>MAX(B11:AF11)</f>
        <v>53.6</v>
      </c>
      <c r="AI11" s="55">
        <f>MIN(B11:AF11)</f>
        <v>53.6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50.3</v>
      </c>
      <c r="C12" s="50">
        <v>50.3</v>
      </c>
      <c r="D12" s="50">
        <v>50.3</v>
      </c>
      <c r="E12" s="50">
        <v>50.3</v>
      </c>
      <c r="F12" s="50">
        <v>50.3</v>
      </c>
      <c r="G12" s="50">
        <v>50.3</v>
      </c>
      <c r="H12" s="50">
        <v>50.3</v>
      </c>
      <c r="I12" s="50">
        <v>50.3</v>
      </c>
      <c r="J12" s="50">
        <v>50.3</v>
      </c>
      <c r="K12" s="50">
        <v>50.3</v>
      </c>
      <c r="L12" s="50">
        <v>50.3</v>
      </c>
      <c r="M12" s="50">
        <v>50.3</v>
      </c>
      <c r="N12" s="50">
        <v>50.3</v>
      </c>
      <c r="O12" s="50">
        <v>50.3</v>
      </c>
      <c r="P12" s="50">
        <v>50.3</v>
      </c>
      <c r="Q12" s="50">
        <v>50.3</v>
      </c>
      <c r="R12" s="50">
        <v>50.3</v>
      </c>
      <c r="S12" s="50">
        <v>50.3</v>
      </c>
      <c r="T12" s="50">
        <v>50.3</v>
      </c>
      <c r="U12" s="50"/>
      <c r="V12" s="50"/>
      <c r="W12" s="50">
        <v>50.3</v>
      </c>
      <c r="X12" s="50">
        <v>50.3</v>
      </c>
      <c r="Y12" s="50">
        <v>50.3</v>
      </c>
      <c r="Z12" s="50">
        <v>50.3</v>
      </c>
      <c r="AA12" s="50">
        <v>50.3</v>
      </c>
      <c r="AB12" s="50">
        <v>50.4</v>
      </c>
      <c r="AC12" s="50">
        <v>50.4</v>
      </c>
      <c r="AD12" s="50">
        <v>50.2</v>
      </c>
      <c r="AE12" s="50">
        <v>50.1</v>
      </c>
      <c r="AF12" s="50">
        <v>50.1</v>
      </c>
      <c r="AG12" s="134">
        <v>50</v>
      </c>
      <c r="AH12" s="54">
        <f t="shared" ref="AH12:AH79" si="2">MAX(B12:AF12)</f>
        <v>50.4</v>
      </c>
      <c r="AI12" s="55">
        <f t="shared" ref="AI12:AI79" si="3">MIN(B12:AF12)</f>
        <v>50.1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45.9</v>
      </c>
      <c r="C13" s="50">
        <v>45.9</v>
      </c>
      <c r="D13" s="50">
        <v>45.9</v>
      </c>
      <c r="E13" s="50">
        <v>45.9</v>
      </c>
      <c r="F13" s="50">
        <v>45.9</v>
      </c>
      <c r="G13" s="50">
        <v>45.9</v>
      </c>
      <c r="H13" s="50">
        <v>45.9</v>
      </c>
      <c r="I13" s="50">
        <v>45.9</v>
      </c>
      <c r="J13" s="50">
        <v>45.9</v>
      </c>
      <c r="K13" s="50">
        <v>45.9</v>
      </c>
      <c r="L13" s="50">
        <v>45.9</v>
      </c>
      <c r="M13" s="50">
        <v>45.9</v>
      </c>
      <c r="N13" s="50">
        <v>45.9</v>
      </c>
      <c r="O13" s="50">
        <v>45.9</v>
      </c>
      <c r="P13" s="50">
        <v>45.9</v>
      </c>
      <c r="Q13" s="50">
        <v>45.9</v>
      </c>
      <c r="R13" s="50">
        <v>45.9</v>
      </c>
      <c r="S13" s="50">
        <v>45.9</v>
      </c>
      <c r="T13" s="50">
        <v>45.9</v>
      </c>
      <c r="U13" s="50"/>
      <c r="V13" s="50"/>
      <c r="W13" s="50">
        <v>45.9</v>
      </c>
      <c r="X13" s="50">
        <v>45.9</v>
      </c>
      <c r="Y13" s="50">
        <v>45.9</v>
      </c>
      <c r="Z13" s="50">
        <v>45.9</v>
      </c>
      <c r="AA13" s="50">
        <v>45.9</v>
      </c>
      <c r="AB13" s="50">
        <v>46</v>
      </c>
      <c r="AC13" s="50">
        <v>46</v>
      </c>
      <c r="AD13" s="50">
        <v>45.9</v>
      </c>
      <c r="AE13" s="50">
        <v>45.9</v>
      </c>
      <c r="AF13" s="50">
        <v>45.9</v>
      </c>
      <c r="AG13" s="134">
        <v>45</v>
      </c>
      <c r="AH13" s="54">
        <f t="shared" si="2"/>
        <v>46</v>
      </c>
      <c r="AI13" s="55">
        <f t="shared" si="3"/>
        <v>45.9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28</v>
      </c>
      <c r="C14" s="50">
        <v>28</v>
      </c>
      <c r="D14" s="50">
        <v>28</v>
      </c>
      <c r="E14" s="50">
        <v>28</v>
      </c>
      <c r="F14" s="50">
        <v>26</v>
      </c>
      <c r="G14" s="50">
        <v>26</v>
      </c>
      <c r="H14" s="50">
        <v>26</v>
      </c>
      <c r="I14" s="50">
        <v>26</v>
      </c>
      <c r="J14" s="50">
        <v>26</v>
      </c>
      <c r="K14" s="50">
        <v>26</v>
      </c>
      <c r="L14" s="50">
        <v>26</v>
      </c>
      <c r="M14" s="50">
        <v>40</v>
      </c>
      <c r="N14" s="50">
        <v>40</v>
      </c>
      <c r="O14" s="50">
        <v>40</v>
      </c>
      <c r="P14" s="50">
        <v>40</v>
      </c>
      <c r="Q14" s="50">
        <v>40</v>
      </c>
      <c r="R14" s="50">
        <v>40</v>
      </c>
      <c r="S14" s="50">
        <v>40</v>
      </c>
      <c r="T14" s="50">
        <v>40</v>
      </c>
      <c r="U14" s="50"/>
      <c r="V14" s="50"/>
      <c r="W14" s="50">
        <v>40</v>
      </c>
      <c r="X14" s="50">
        <v>40</v>
      </c>
      <c r="Y14" s="50">
        <v>40</v>
      </c>
      <c r="Z14" s="50">
        <v>40</v>
      </c>
      <c r="AA14" s="50">
        <v>40</v>
      </c>
      <c r="AB14" s="50">
        <v>41</v>
      </c>
      <c r="AC14" s="50">
        <v>41</v>
      </c>
      <c r="AD14" s="50">
        <v>41</v>
      </c>
      <c r="AE14" s="50">
        <v>41</v>
      </c>
      <c r="AF14" s="50">
        <v>32</v>
      </c>
      <c r="AG14" s="134">
        <v>42</v>
      </c>
      <c r="AH14" s="54">
        <f t="shared" si="2"/>
        <v>41</v>
      </c>
      <c r="AI14" s="55">
        <f t="shared" si="3"/>
        <v>26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30</v>
      </c>
      <c r="C15" s="50">
        <v>30</v>
      </c>
      <c r="D15" s="50">
        <v>30</v>
      </c>
      <c r="E15" s="50">
        <v>30</v>
      </c>
      <c r="F15" s="50">
        <v>20</v>
      </c>
      <c r="G15" s="50">
        <v>10</v>
      </c>
      <c r="H15" s="50">
        <v>10</v>
      </c>
      <c r="I15" s="50">
        <v>10</v>
      </c>
      <c r="J15" s="50">
        <v>10</v>
      </c>
      <c r="K15" s="50">
        <v>30</v>
      </c>
      <c r="L15" s="50">
        <v>30</v>
      </c>
      <c r="M15" s="50">
        <v>30</v>
      </c>
      <c r="N15" s="50">
        <v>30</v>
      </c>
      <c r="O15" s="50">
        <v>30</v>
      </c>
      <c r="P15" s="50">
        <v>30</v>
      </c>
      <c r="Q15" s="50">
        <v>30</v>
      </c>
      <c r="R15" s="50">
        <v>30</v>
      </c>
      <c r="S15" s="50">
        <v>30</v>
      </c>
      <c r="T15" s="50">
        <v>30</v>
      </c>
      <c r="U15" s="50"/>
      <c r="V15" s="50"/>
      <c r="W15" s="50">
        <v>30</v>
      </c>
      <c r="X15" s="50">
        <v>20</v>
      </c>
      <c r="Y15" s="50">
        <v>20</v>
      </c>
      <c r="Z15" s="50">
        <v>30</v>
      </c>
      <c r="AA15" s="50">
        <v>30</v>
      </c>
      <c r="AB15" s="50">
        <v>30</v>
      </c>
      <c r="AC15" s="50">
        <v>30</v>
      </c>
      <c r="AD15" s="50">
        <v>30</v>
      </c>
      <c r="AE15" s="50">
        <v>30</v>
      </c>
      <c r="AF15" s="50">
        <v>30</v>
      </c>
      <c r="AG15" s="135">
        <v>30</v>
      </c>
      <c r="AH15" s="54">
        <f t="shared" si="2"/>
        <v>30</v>
      </c>
      <c r="AI15" s="55">
        <f t="shared" si="3"/>
        <v>10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26.3</v>
      </c>
      <c r="C16" s="50">
        <v>26.3</v>
      </c>
      <c r="D16" s="50">
        <v>26.3</v>
      </c>
      <c r="E16" s="50">
        <v>26.3</v>
      </c>
      <c r="F16" s="50">
        <v>26.3</v>
      </c>
      <c r="G16" s="50">
        <v>26.3</v>
      </c>
      <c r="H16" s="50">
        <v>26.3</v>
      </c>
      <c r="I16" s="50">
        <v>26.3</v>
      </c>
      <c r="J16" s="50">
        <v>26.3</v>
      </c>
      <c r="K16" s="50">
        <v>26.3</v>
      </c>
      <c r="L16" s="50">
        <v>26.3</v>
      </c>
      <c r="M16" s="50">
        <v>26.3</v>
      </c>
      <c r="N16" s="50">
        <v>26.3</v>
      </c>
      <c r="O16" s="50">
        <v>26.3</v>
      </c>
      <c r="P16" s="50">
        <v>26.3</v>
      </c>
      <c r="Q16" s="50">
        <v>26.3</v>
      </c>
      <c r="R16" s="50">
        <v>26.3</v>
      </c>
      <c r="S16" s="50">
        <v>26.3</v>
      </c>
      <c r="T16" s="50">
        <v>26.3</v>
      </c>
      <c r="U16" s="50"/>
      <c r="V16" s="50"/>
      <c r="W16" s="50">
        <v>26.3</v>
      </c>
      <c r="X16" s="50">
        <v>26.3</v>
      </c>
      <c r="Y16" s="50">
        <v>26.3</v>
      </c>
      <c r="Z16" s="50">
        <v>26.3</v>
      </c>
      <c r="AA16" s="50">
        <v>26.3</v>
      </c>
      <c r="AB16" s="50">
        <v>26.3</v>
      </c>
      <c r="AC16" s="50">
        <v>26.3</v>
      </c>
      <c r="AD16" s="50">
        <v>26.3</v>
      </c>
      <c r="AE16" s="50">
        <v>26.3</v>
      </c>
      <c r="AF16" s="50">
        <v>26.3</v>
      </c>
      <c r="AG16" s="134">
        <v>25</v>
      </c>
      <c r="AH16" s="54">
        <f t="shared" si="2"/>
        <v>26.3</v>
      </c>
      <c r="AI16" s="55">
        <f t="shared" si="3"/>
        <v>26.3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/>
      <c r="V17" s="50"/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0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/>
      <c r="V18" s="50"/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0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33.299999999999997</v>
      </c>
      <c r="C19" s="50">
        <v>33.299999999999997</v>
      </c>
      <c r="D19" s="50">
        <v>33.299999999999997</v>
      </c>
      <c r="E19" s="50">
        <v>33.299999999999997</v>
      </c>
      <c r="F19" s="50">
        <v>24</v>
      </c>
      <c r="G19" s="50">
        <v>24</v>
      </c>
      <c r="H19" s="50">
        <v>24</v>
      </c>
      <c r="I19" s="50">
        <v>24</v>
      </c>
      <c r="J19" s="50">
        <v>24</v>
      </c>
      <c r="K19" s="50">
        <v>33.299999999999997</v>
      </c>
      <c r="L19" s="50">
        <v>33.299999999999997</v>
      </c>
      <c r="M19" s="50">
        <v>33.299999999999997</v>
      </c>
      <c r="N19" s="50">
        <v>33.299999999999997</v>
      </c>
      <c r="O19" s="50">
        <v>33.299999999999997</v>
      </c>
      <c r="P19" s="50">
        <v>33.299999999999997</v>
      </c>
      <c r="Q19" s="50">
        <v>25</v>
      </c>
      <c r="R19" s="50">
        <v>25</v>
      </c>
      <c r="S19" s="50">
        <v>25</v>
      </c>
      <c r="T19" s="50">
        <v>25</v>
      </c>
      <c r="U19" s="50"/>
      <c r="V19" s="50"/>
      <c r="W19" s="50">
        <v>25</v>
      </c>
      <c r="X19" s="50">
        <v>25</v>
      </c>
      <c r="Y19" s="50">
        <v>0</v>
      </c>
      <c r="Z19" s="50">
        <v>33.4</v>
      </c>
      <c r="AA19" s="50">
        <v>0</v>
      </c>
      <c r="AB19" s="50">
        <v>19.8</v>
      </c>
      <c r="AC19" s="50">
        <v>33.200000000000003</v>
      </c>
      <c r="AD19" s="50">
        <v>33.200000000000003</v>
      </c>
      <c r="AE19" s="50">
        <v>33.200000000000003</v>
      </c>
      <c r="AF19" s="50">
        <v>33.200000000000003</v>
      </c>
      <c r="AG19" s="134">
        <v>24.2</v>
      </c>
      <c r="AH19" s="54">
        <f t="shared" si="2"/>
        <v>33.4</v>
      </c>
      <c r="AI19" s="55">
        <f t="shared" si="3"/>
        <v>0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23.3</v>
      </c>
      <c r="C20" s="50">
        <v>23.3</v>
      </c>
      <c r="D20" s="50">
        <v>23.3</v>
      </c>
      <c r="E20" s="50">
        <v>23.3</v>
      </c>
      <c r="F20" s="50">
        <v>23.3</v>
      </c>
      <c r="G20" s="50">
        <v>11</v>
      </c>
      <c r="H20" s="50">
        <v>11</v>
      </c>
      <c r="I20" s="50">
        <v>11</v>
      </c>
      <c r="J20" s="50">
        <v>11</v>
      </c>
      <c r="K20" s="50">
        <v>11</v>
      </c>
      <c r="L20" s="50">
        <v>11</v>
      </c>
      <c r="M20" s="50">
        <v>23.3</v>
      </c>
      <c r="N20" s="50">
        <v>23.3</v>
      </c>
      <c r="O20" s="50">
        <v>23.3</v>
      </c>
      <c r="P20" s="50">
        <v>23.3</v>
      </c>
      <c r="Q20" s="50">
        <v>23.3</v>
      </c>
      <c r="R20" s="50">
        <v>23.3</v>
      </c>
      <c r="S20" s="50">
        <v>23.3</v>
      </c>
      <c r="T20" s="50">
        <v>23.3</v>
      </c>
      <c r="U20" s="50"/>
      <c r="V20" s="50"/>
      <c r="W20" s="50">
        <v>23.3</v>
      </c>
      <c r="X20" s="50">
        <v>23.3</v>
      </c>
      <c r="Y20" s="50">
        <v>23.3</v>
      </c>
      <c r="Z20" s="50">
        <v>23.3</v>
      </c>
      <c r="AA20" s="50">
        <v>23.3</v>
      </c>
      <c r="AB20" s="50">
        <v>23.3</v>
      </c>
      <c r="AC20" s="50">
        <v>23.3</v>
      </c>
      <c r="AD20" s="50">
        <v>23.2</v>
      </c>
      <c r="AE20" s="50">
        <v>23.2</v>
      </c>
      <c r="AF20" s="50">
        <v>23.2</v>
      </c>
      <c r="AG20" s="134">
        <v>23.5</v>
      </c>
      <c r="AH20" s="54">
        <f t="shared" si="2"/>
        <v>23.3</v>
      </c>
      <c r="AI20" s="55">
        <f t="shared" si="3"/>
        <v>11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16</v>
      </c>
      <c r="C21" s="50">
        <v>16</v>
      </c>
      <c r="D21" s="50">
        <v>16</v>
      </c>
      <c r="E21" s="50">
        <v>16</v>
      </c>
      <c r="F21" s="50">
        <v>16</v>
      </c>
      <c r="G21" s="50">
        <v>16</v>
      </c>
      <c r="H21" s="50">
        <v>16</v>
      </c>
      <c r="I21" s="50">
        <v>16</v>
      </c>
      <c r="J21" s="50">
        <v>16</v>
      </c>
      <c r="K21" s="50">
        <v>16</v>
      </c>
      <c r="L21" s="50">
        <v>16</v>
      </c>
      <c r="M21" s="50">
        <v>16</v>
      </c>
      <c r="N21" s="50">
        <v>16</v>
      </c>
      <c r="O21" s="50">
        <v>16</v>
      </c>
      <c r="P21" s="50">
        <v>16</v>
      </c>
      <c r="Q21" s="50">
        <v>16</v>
      </c>
      <c r="R21" s="50">
        <v>0</v>
      </c>
      <c r="S21" s="50">
        <v>16</v>
      </c>
      <c r="T21" s="50">
        <v>16</v>
      </c>
      <c r="U21" s="50"/>
      <c r="V21" s="50"/>
      <c r="W21" s="50">
        <v>16</v>
      </c>
      <c r="X21" s="50">
        <v>16</v>
      </c>
      <c r="Y21" s="50">
        <v>16</v>
      </c>
      <c r="Z21" s="50">
        <v>16</v>
      </c>
      <c r="AA21" s="50">
        <v>16</v>
      </c>
      <c r="AB21" s="50">
        <v>16</v>
      </c>
      <c r="AC21" s="50">
        <v>16</v>
      </c>
      <c r="AD21" s="50">
        <v>16</v>
      </c>
      <c r="AE21" s="50">
        <v>16</v>
      </c>
      <c r="AF21" s="50">
        <v>16</v>
      </c>
      <c r="AG21" s="134">
        <v>22.2</v>
      </c>
      <c r="AH21" s="54">
        <f t="shared" si="2"/>
        <v>16</v>
      </c>
      <c r="AI21" s="55">
        <f t="shared" si="3"/>
        <v>0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/>
      <c r="V22" s="50"/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134">
        <v>22.1</v>
      </c>
      <c r="AH22" s="54">
        <f t="shared" si="2"/>
        <v>22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/>
      <c r="V23" s="50"/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22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/>
      <c r="V24" s="50"/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22</v>
      </c>
      <c r="AI24" s="55">
        <f t="shared" si="3"/>
        <v>22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0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/>
      <c r="V25" s="50"/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134">
        <v>20</v>
      </c>
      <c r="AH25" s="54">
        <f t="shared" si="2"/>
        <v>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14.9</v>
      </c>
      <c r="C26" s="50">
        <v>14.9</v>
      </c>
      <c r="D26" s="50">
        <v>14.9</v>
      </c>
      <c r="E26" s="50">
        <v>14.9</v>
      </c>
      <c r="F26" s="50">
        <v>14.9</v>
      </c>
      <c r="G26" s="50">
        <v>14.9</v>
      </c>
      <c r="H26" s="50">
        <v>14.9</v>
      </c>
      <c r="I26" s="50">
        <v>14.9</v>
      </c>
      <c r="J26" s="50">
        <v>14.9</v>
      </c>
      <c r="K26" s="50">
        <v>14.9</v>
      </c>
      <c r="L26" s="50">
        <v>14.9</v>
      </c>
      <c r="M26" s="50">
        <v>14.9</v>
      </c>
      <c r="N26" s="50">
        <v>14.9</v>
      </c>
      <c r="O26" s="50">
        <v>14.9</v>
      </c>
      <c r="P26" s="50">
        <v>14.9</v>
      </c>
      <c r="Q26" s="50">
        <v>14.9</v>
      </c>
      <c r="R26" s="50">
        <v>14.9</v>
      </c>
      <c r="S26" s="50">
        <v>14.9</v>
      </c>
      <c r="T26" s="50">
        <v>14.9</v>
      </c>
      <c r="U26" s="50"/>
      <c r="V26" s="50"/>
      <c r="W26" s="50">
        <v>14.9</v>
      </c>
      <c r="X26" s="50">
        <v>14.9</v>
      </c>
      <c r="Y26" s="50">
        <v>14.9</v>
      </c>
      <c r="Z26" s="50">
        <v>14.9</v>
      </c>
      <c r="AA26" s="50">
        <v>14.9</v>
      </c>
      <c r="AB26" s="50">
        <v>14.9</v>
      </c>
      <c r="AC26" s="50">
        <v>14.9</v>
      </c>
      <c r="AD26" s="50">
        <v>14.9</v>
      </c>
      <c r="AE26" s="50">
        <v>14.9</v>
      </c>
      <c r="AF26" s="50">
        <v>14.9</v>
      </c>
      <c r="AG26" s="134">
        <v>14.9</v>
      </c>
      <c r="AH26" s="54">
        <f t="shared" si="2"/>
        <v>14.9</v>
      </c>
      <c r="AI26" s="55">
        <f t="shared" si="3"/>
        <v>14.9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12</v>
      </c>
      <c r="C27" s="50">
        <v>12</v>
      </c>
      <c r="D27" s="50">
        <v>12</v>
      </c>
      <c r="E27" s="50">
        <v>12</v>
      </c>
      <c r="F27" s="50">
        <v>12</v>
      </c>
      <c r="G27" s="50">
        <v>12</v>
      </c>
      <c r="H27" s="50">
        <v>12</v>
      </c>
      <c r="I27" s="50">
        <v>12</v>
      </c>
      <c r="J27" s="50">
        <v>12</v>
      </c>
      <c r="K27" s="50">
        <v>12</v>
      </c>
      <c r="L27" s="50">
        <v>12</v>
      </c>
      <c r="M27" s="50">
        <v>12</v>
      </c>
      <c r="N27" s="50">
        <v>12</v>
      </c>
      <c r="O27" s="50">
        <v>12</v>
      </c>
      <c r="P27" s="50">
        <v>12</v>
      </c>
      <c r="Q27" s="50">
        <v>12</v>
      </c>
      <c r="R27" s="50">
        <v>12</v>
      </c>
      <c r="S27" s="50">
        <v>12</v>
      </c>
      <c r="T27" s="50">
        <v>12</v>
      </c>
      <c r="U27" s="50"/>
      <c r="V27" s="50"/>
      <c r="W27" s="50">
        <v>12</v>
      </c>
      <c r="X27" s="50">
        <v>12</v>
      </c>
      <c r="Y27" s="50">
        <v>12</v>
      </c>
      <c r="Z27" s="50">
        <v>12</v>
      </c>
      <c r="AA27" s="50">
        <v>12</v>
      </c>
      <c r="AB27" s="50">
        <v>12</v>
      </c>
      <c r="AC27" s="50">
        <v>12</v>
      </c>
      <c r="AD27" s="50">
        <v>12</v>
      </c>
      <c r="AE27" s="50">
        <v>12</v>
      </c>
      <c r="AF27" s="50">
        <v>12</v>
      </c>
      <c r="AG27" s="134">
        <v>13.6</v>
      </c>
      <c r="AH27" s="54">
        <f t="shared" si="2"/>
        <v>12</v>
      </c>
      <c r="AI27" s="55">
        <f t="shared" si="3"/>
        <v>12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12</v>
      </c>
      <c r="C28" s="50">
        <v>12</v>
      </c>
      <c r="D28" s="50">
        <v>12</v>
      </c>
      <c r="E28" s="50">
        <v>12</v>
      </c>
      <c r="F28" s="50">
        <v>12</v>
      </c>
      <c r="G28" s="50">
        <v>12</v>
      </c>
      <c r="H28" s="50">
        <v>12</v>
      </c>
      <c r="I28" s="50">
        <v>12</v>
      </c>
      <c r="J28" s="50">
        <v>12</v>
      </c>
      <c r="K28" s="50">
        <v>12</v>
      </c>
      <c r="L28" s="50">
        <v>12</v>
      </c>
      <c r="M28" s="50">
        <v>12</v>
      </c>
      <c r="N28" s="50">
        <v>12</v>
      </c>
      <c r="O28" s="50">
        <v>12</v>
      </c>
      <c r="P28" s="50">
        <v>12</v>
      </c>
      <c r="Q28" s="50">
        <v>12</v>
      </c>
      <c r="R28" s="50">
        <v>12</v>
      </c>
      <c r="S28" s="50">
        <v>12</v>
      </c>
      <c r="T28" s="50">
        <v>12</v>
      </c>
      <c r="U28" s="50"/>
      <c r="V28" s="50"/>
      <c r="W28" s="50">
        <v>12</v>
      </c>
      <c r="X28" s="50">
        <v>12</v>
      </c>
      <c r="Y28" s="50">
        <v>12</v>
      </c>
      <c r="Z28" s="50">
        <v>12</v>
      </c>
      <c r="AA28" s="50">
        <v>12</v>
      </c>
      <c r="AB28" s="50">
        <v>12</v>
      </c>
      <c r="AC28" s="50">
        <v>12</v>
      </c>
      <c r="AD28" s="50">
        <v>12</v>
      </c>
      <c r="AE28" s="50">
        <v>12</v>
      </c>
      <c r="AF28" s="50">
        <v>12</v>
      </c>
      <c r="AG28" s="134">
        <v>13</v>
      </c>
      <c r="AH28" s="54">
        <f t="shared" si="2"/>
        <v>12</v>
      </c>
      <c r="AI28" s="55">
        <f t="shared" si="3"/>
        <v>12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12</v>
      </c>
      <c r="C29" s="50">
        <v>12</v>
      </c>
      <c r="D29" s="50">
        <v>12</v>
      </c>
      <c r="E29" s="50">
        <v>12</v>
      </c>
      <c r="F29" s="50">
        <v>12</v>
      </c>
      <c r="G29" s="50">
        <v>12</v>
      </c>
      <c r="H29" s="50">
        <v>12</v>
      </c>
      <c r="I29" s="50">
        <v>12</v>
      </c>
      <c r="J29" s="50">
        <v>12</v>
      </c>
      <c r="K29" s="50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/>
      <c r="V29" s="50"/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134">
        <v>12</v>
      </c>
      <c r="AH29" s="54">
        <f t="shared" si="2"/>
        <v>12</v>
      </c>
      <c r="AI29" s="55">
        <f t="shared" si="3"/>
        <v>12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0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2</v>
      </c>
      <c r="N30" s="50">
        <v>2</v>
      </c>
      <c r="O30" s="50">
        <v>2</v>
      </c>
      <c r="P30" s="50">
        <v>2</v>
      </c>
      <c r="Q30" s="50">
        <v>2</v>
      </c>
      <c r="R30" s="50">
        <v>2</v>
      </c>
      <c r="S30" s="50">
        <v>2</v>
      </c>
      <c r="T30" s="50">
        <v>2</v>
      </c>
      <c r="U30" s="50"/>
      <c r="V30" s="50"/>
      <c r="W30" s="50">
        <v>2</v>
      </c>
      <c r="X30" s="50">
        <v>2</v>
      </c>
      <c r="Y30" s="50">
        <v>2</v>
      </c>
      <c r="Z30" s="50">
        <v>2</v>
      </c>
      <c r="AA30" s="50">
        <v>2</v>
      </c>
      <c r="AB30" s="50">
        <v>2</v>
      </c>
      <c r="AC30" s="50">
        <v>2</v>
      </c>
      <c r="AD30" s="50">
        <v>2</v>
      </c>
      <c r="AE30" s="50">
        <v>2</v>
      </c>
      <c r="AF30" s="50">
        <v>2</v>
      </c>
      <c r="AG30" s="134">
        <v>12</v>
      </c>
      <c r="AH30" s="54">
        <f t="shared" si="2"/>
        <v>2</v>
      </c>
      <c r="AI30" s="55">
        <f t="shared" si="3"/>
        <v>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12</v>
      </c>
      <c r="C31" s="50">
        <v>12</v>
      </c>
      <c r="D31" s="50">
        <v>12</v>
      </c>
      <c r="E31" s="50">
        <v>12</v>
      </c>
      <c r="F31" s="50">
        <v>12</v>
      </c>
      <c r="G31" s="50">
        <v>12</v>
      </c>
      <c r="H31" s="50">
        <v>12</v>
      </c>
      <c r="I31" s="50">
        <v>12</v>
      </c>
      <c r="J31" s="50">
        <v>12</v>
      </c>
      <c r="K31" s="50">
        <v>12</v>
      </c>
      <c r="L31" s="50">
        <v>12</v>
      </c>
      <c r="M31" s="50">
        <v>12</v>
      </c>
      <c r="N31" s="50">
        <v>12</v>
      </c>
      <c r="O31" s="50">
        <v>12</v>
      </c>
      <c r="P31" s="50">
        <v>12</v>
      </c>
      <c r="Q31" s="50">
        <v>12</v>
      </c>
      <c r="R31" s="50">
        <v>12</v>
      </c>
      <c r="S31" s="50">
        <v>12</v>
      </c>
      <c r="T31" s="50">
        <v>12</v>
      </c>
      <c r="U31" s="50"/>
      <c r="V31" s="50"/>
      <c r="W31" s="50">
        <v>12</v>
      </c>
      <c r="X31" s="50">
        <v>12</v>
      </c>
      <c r="Y31" s="50">
        <v>12</v>
      </c>
      <c r="Z31" s="50">
        <v>12</v>
      </c>
      <c r="AA31" s="50">
        <v>12</v>
      </c>
      <c r="AB31" s="50">
        <v>12</v>
      </c>
      <c r="AC31" s="50">
        <v>12</v>
      </c>
      <c r="AD31" s="50">
        <v>12</v>
      </c>
      <c r="AE31" s="50">
        <v>12</v>
      </c>
      <c r="AF31" s="50">
        <v>12</v>
      </c>
      <c r="AG31" s="178">
        <v>22</v>
      </c>
      <c r="AH31" s="54">
        <f>MAX(B31:AF31)</f>
        <v>12</v>
      </c>
      <c r="AI31" s="55">
        <f>MIN(B31:AF31)</f>
        <v>12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11.5</v>
      </c>
      <c r="C32" s="50">
        <v>11.5</v>
      </c>
      <c r="D32" s="50">
        <v>11.5</v>
      </c>
      <c r="E32" s="50">
        <v>11.5</v>
      </c>
      <c r="F32" s="50">
        <v>11.5</v>
      </c>
      <c r="G32" s="50">
        <v>11.5</v>
      </c>
      <c r="H32" s="50">
        <v>11.5</v>
      </c>
      <c r="I32" s="50">
        <v>11.5</v>
      </c>
      <c r="J32" s="50">
        <v>11.5</v>
      </c>
      <c r="K32" s="50">
        <v>11.5</v>
      </c>
      <c r="L32" s="50">
        <v>11.5</v>
      </c>
      <c r="M32" s="50">
        <v>11.5</v>
      </c>
      <c r="N32" s="50">
        <v>11.5</v>
      </c>
      <c r="O32" s="50">
        <v>11.5</v>
      </c>
      <c r="P32" s="50">
        <v>11.5</v>
      </c>
      <c r="Q32" s="50">
        <v>11.5</v>
      </c>
      <c r="R32" s="50">
        <v>11.5</v>
      </c>
      <c r="S32" s="50">
        <v>11.5</v>
      </c>
      <c r="T32" s="50">
        <v>11.5</v>
      </c>
      <c r="U32" s="50"/>
      <c r="V32" s="50"/>
      <c r="W32" s="50">
        <v>11.5</v>
      </c>
      <c r="X32" s="50">
        <v>11.5</v>
      </c>
      <c r="Y32" s="50">
        <v>11.5</v>
      </c>
      <c r="Z32" s="50">
        <v>11.5</v>
      </c>
      <c r="AA32" s="50">
        <v>11.5</v>
      </c>
      <c r="AB32" s="50">
        <v>11.5</v>
      </c>
      <c r="AC32" s="50">
        <v>11.5</v>
      </c>
      <c r="AD32" s="50">
        <v>11.5</v>
      </c>
      <c r="AE32" s="50">
        <v>11.5</v>
      </c>
      <c r="AF32" s="50">
        <v>11.5</v>
      </c>
      <c r="AG32" s="135">
        <v>11.88</v>
      </c>
      <c r="AH32" s="54">
        <f t="shared" si="2"/>
        <v>11.5</v>
      </c>
      <c r="AI32" s="55">
        <f t="shared" si="3"/>
        <v>11.5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11</v>
      </c>
      <c r="D33" s="50">
        <v>11</v>
      </c>
      <c r="E33" s="50">
        <v>11</v>
      </c>
      <c r="F33" s="50">
        <v>11</v>
      </c>
      <c r="G33" s="50">
        <v>11</v>
      </c>
      <c r="H33" s="50">
        <v>11</v>
      </c>
      <c r="I33" s="50">
        <v>11</v>
      </c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/>
      <c r="V33" s="50"/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11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10</v>
      </c>
      <c r="C34" s="50">
        <v>10</v>
      </c>
      <c r="D34" s="50">
        <v>10</v>
      </c>
      <c r="E34" s="50">
        <v>10</v>
      </c>
      <c r="F34" s="50">
        <v>10</v>
      </c>
      <c r="G34" s="50">
        <v>10</v>
      </c>
      <c r="H34" s="50">
        <v>10</v>
      </c>
      <c r="I34" s="50">
        <v>10</v>
      </c>
      <c r="J34" s="50">
        <v>10</v>
      </c>
      <c r="K34" s="50">
        <v>10</v>
      </c>
      <c r="L34" s="50">
        <v>10</v>
      </c>
      <c r="M34" s="50">
        <v>10</v>
      </c>
      <c r="N34" s="50">
        <v>10</v>
      </c>
      <c r="O34" s="50">
        <v>10</v>
      </c>
      <c r="P34" s="50">
        <v>10</v>
      </c>
      <c r="Q34" s="50">
        <v>10</v>
      </c>
      <c r="R34" s="50">
        <v>10</v>
      </c>
      <c r="S34" s="50">
        <v>10</v>
      </c>
      <c r="T34" s="50">
        <v>10</v>
      </c>
      <c r="U34" s="50"/>
      <c r="V34" s="50"/>
      <c r="W34" s="50">
        <v>10</v>
      </c>
      <c r="X34" s="50">
        <v>10</v>
      </c>
      <c r="Y34" s="50">
        <v>10</v>
      </c>
      <c r="Z34" s="50">
        <v>10</v>
      </c>
      <c r="AA34" s="50">
        <v>10</v>
      </c>
      <c r="AB34" s="50">
        <v>10</v>
      </c>
      <c r="AC34" s="50">
        <v>10</v>
      </c>
      <c r="AD34" s="50">
        <v>10</v>
      </c>
      <c r="AE34" s="50">
        <v>10</v>
      </c>
      <c r="AF34" s="50">
        <v>10</v>
      </c>
      <c r="AG34" s="136">
        <v>10</v>
      </c>
      <c r="AH34" s="54">
        <f t="shared" si="2"/>
        <v>10</v>
      </c>
      <c r="AI34" s="55">
        <f t="shared" si="3"/>
        <v>10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4</v>
      </c>
      <c r="N35" s="50">
        <v>4</v>
      </c>
      <c r="O35" s="50">
        <v>4</v>
      </c>
      <c r="P35" s="50">
        <v>4</v>
      </c>
      <c r="Q35" s="50">
        <v>4</v>
      </c>
      <c r="R35" s="50">
        <v>4</v>
      </c>
      <c r="S35" s="50">
        <v>4</v>
      </c>
      <c r="T35" s="50">
        <v>4</v>
      </c>
      <c r="U35" s="50"/>
      <c r="V35" s="50"/>
      <c r="W35" s="50">
        <v>4</v>
      </c>
      <c r="X35" s="50">
        <v>4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136">
        <v>10</v>
      </c>
      <c r="AH35" s="54">
        <f t="shared" si="2"/>
        <v>4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300</v>
      </c>
      <c r="C36" s="62">
        <v>300</v>
      </c>
      <c r="D36" s="62">
        <v>300</v>
      </c>
      <c r="E36" s="62">
        <v>300</v>
      </c>
      <c r="F36" s="62">
        <v>300</v>
      </c>
      <c r="G36" s="62">
        <v>300</v>
      </c>
      <c r="H36" s="62">
        <v>300</v>
      </c>
      <c r="I36" s="62">
        <v>300</v>
      </c>
      <c r="J36" s="62">
        <v>300</v>
      </c>
      <c r="K36" s="62">
        <v>300</v>
      </c>
      <c r="L36" s="62">
        <v>300</v>
      </c>
      <c r="M36" s="62">
        <v>300</v>
      </c>
      <c r="N36" s="62">
        <v>300</v>
      </c>
      <c r="O36" s="62">
        <v>300</v>
      </c>
      <c r="P36" s="62">
        <v>300</v>
      </c>
      <c r="Q36" s="62">
        <v>300</v>
      </c>
      <c r="R36" s="62">
        <v>300</v>
      </c>
      <c r="S36" s="62">
        <v>300</v>
      </c>
      <c r="T36" s="62">
        <v>300</v>
      </c>
      <c r="U36" s="62"/>
      <c r="V36" s="62"/>
      <c r="W36" s="62">
        <v>300</v>
      </c>
      <c r="X36" s="62">
        <v>300</v>
      </c>
      <c r="Y36" s="62">
        <v>300</v>
      </c>
      <c r="Z36" s="62">
        <v>300</v>
      </c>
      <c r="AA36" s="62">
        <v>300</v>
      </c>
      <c r="AB36" s="62">
        <v>300</v>
      </c>
      <c r="AC36" s="62">
        <v>300</v>
      </c>
      <c r="AD36" s="62">
        <v>300</v>
      </c>
      <c r="AE36" s="62">
        <v>300</v>
      </c>
      <c r="AF36" s="62">
        <v>300</v>
      </c>
      <c r="AG36" s="136">
        <v>85</v>
      </c>
      <c r="AH36" s="54">
        <f t="shared" si="2"/>
        <v>300</v>
      </c>
      <c r="AI36" s="55">
        <f t="shared" si="3"/>
        <v>300</v>
      </c>
      <c r="AK36" s="56"/>
    </row>
    <row r="37" spans="1:88" ht="15.75" thickBot="1" x14ac:dyDescent="0.3">
      <c r="A37" s="63" t="s">
        <v>21</v>
      </c>
      <c r="B37" s="64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136">
        <v>240</v>
      </c>
      <c r="AH37" s="54">
        <f t="shared" si="2"/>
        <v>0</v>
      </c>
      <c r="AI37" s="55">
        <f t="shared" si="3"/>
        <v>0</v>
      </c>
      <c r="AK37" s="56"/>
    </row>
    <row r="38" spans="1:88" ht="15.75" thickBot="1" x14ac:dyDescent="0.3">
      <c r="A38" s="131" t="s">
        <v>22</v>
      </c>
      <c r="B38" s="66">
        <f t="shared" ref="B38:AG38" si="4">SUM(B11:B36)</f>
        <v>793.1</v>
      </c>
      <c r="C38" s="66">
        <f t="shared" si="4"/>
        <v>793.1</v>
      </c>
      <c r="D38" s="66">
        <f t="shared" si="4"/>
        <v>793.1</v>
      </c>
      <c r="E38" s="66">
        <f t="shared" si="4"/>
        <v>793.1</v>
      </c>
      <c r="F38" s="66">
        <f t="shared" si="4"/>
        <v>771.8</v>
      </c>
      <c r="G38" s="66">
        <f t="shared" si="4"/>
        <v>749.5</v>
      </c>
      <c r="H38" s="66">
        <f t="shared" ref="H38:J38" si="5">SUM(H11:H36)</f>
        <v>749.5</v>
      </c>
      <c r="I38" s="66">
        <f t="shared" si="5"/>
        <v>749.5</v>
      </c>
      <c r="J38" s="66">
        <f t="shared" si="5"/>
        <v>749.5</v>
      </c>
      <c r="K38" s="66">
        <f t="shared" si="4"/>
        <v>778.8</v>
      </c>
      <c r="L38" s="66">
        <f t="shared" si="4"/>
        <v>778.8</v>
      </c>
      <c r="M38" s="66">
        <f t="shared" si="4"/>
        <v>836.1</v>
      </c>
      <c r="N38" s="66">
        <f t="shared" si="4"/>
        <v>836.1</v>
      </c>
      <c r="O38" s="66">
        <f t="shared" si="4"/>
        <v>836.1</v>
      </c>
      <c r="P38" s="66">
        <f t="shared" si="4"/>
        <v>836.1</v>
      </c>
      <c r="Q38" s="66">
        <f t="shared" si="4"/>
        <v>827.8</v>
      </c>
      <c r="R38" s="66">
        <f t="shared" si="4"/>
        <v>811.8</v>
      </c>
      <c r="S38" s="66">
        <f t="shared" si="4"/>
        <v>827.8</v>
      </c>
      <c r="T38" s="66">
        <f t="shared" si="4"/>
        <v>827.8</v>
      </c>
      <c r="U38" s="66">
        <f t="shared" si="4"/>
        <v>0</v>
      </c>
      <c r="V38" s="66">
        <f t="shared" si="4"/>
        <v>0</v>
      </c>
      <c r="W38" s="66">
        <f t="shared" si="4"/>
        <v>827.8</v>
      </c>
      <c r="X38" s="66">
        <f t="shared" si="4"/>
        <v>817.8</v>
      </c>
      <c r="Y38" s="66">
        <f t="shared" si="4"/>
        <v>788.8</v>
      </c>
      <c r="Z38" s="66">
        <f t="shared" si="4"/>
        <v>832.2</v>
      </c>
      <c r="AA38" s="66">
        <f t="shared" si="4"/>
        <v>798.8</v>
      </c>
      <c r="AB38" s="66">
        <f t="shared" si="4"/>
        <v>819.8</v>
      </c>
      <c r="AC38" s="66">
        <f t="shared" si="4"/>
        <v>833.2</v>
      </c>
      <c r="AD38" s="66">
        <f t="shared" si="4"/>
        <v>832.8</v>
      </c>
      <c r="AE38" s="66">
        <f t="shared" si="4"/>
        <v>832.69999999999993</v>
      </c>
      <c r="AF38" s="66">
        <f t="shared" si="4"/>
        <v>823.69999999999993</v>
      </c>
      <c r="AG38" s="143">
        <f t="shared" si="4"/>
        <v>665.78</v>
      </c>
      <c r="AH38" s="54">
        <f t="shared" si="2"/>
        <v>836.1</v>
      </c>
      <c r="AI38" s="55">
        <f t="shared" si="3"/>
        <v>0</v>
      </c>
      <c r="AK38" s="56"/>
    </row>
    <row r="39" spans="1:88" x14ac:dyDescent="0.25">
      <c r="A39" s="159" t="s">
        <v>130</v>
      </c>
      <c r="B39" s="50">
        <v>456</v>
      </c>
      <c r="C39" s="50">
        <v>456</v>
      </c>
      <c r="D39" s="50">
        <v>456</v>
      </c>
      <c r="E39" s="50">
        <v>456</v>
      </c>
      <c r="F39" s="50">
        <v>456</v>
      </c>
      <c r="G39" s="50">
        <v>456</v>
      </c>
      <c r="H39" s="50">
        <v>456</v>
      </c>
      <c r="I39" s="50">
        <v>456</v>
      </c>
      <c r="J39" s="50">
        <v>456</v>
      </c>
      <c r="K39" s="50">
        <v>456</v>
      </c>
      <c r="L39" s="50">
        <v>456</v>
      </c>
      <c r="M39" s="50">
        <v>456</v>
      </c>
      <c r="N39" s="50">
        <v>0</v>
      </c>
      <c r="O39" s="50">
        <v>0</v>
      </c>
      <c r="P39" s="50">
        <v>300</v>
      </c>
      <c r="Q39" s="50">
        <v>330</v>
      </c>
      <c r="R39" s="50">
        <v>360</v>
      </c>
      <c r="S39" s="50">
        <v>300</v>
      </c>
      <c r="T39" s="50">
        <v>380</v>
      </c>
      <c r="U39" s="50"/>
      <c r="V39" s="50"/>
      <c r="W39" s="50">
        <v>456</v>
      </c>
      <c r="X39" s="50">
        <v>456</v>
      </c>
      <c r="Y39" s="50">
        <v>226</v>
      </c>
      <c r="Z39" s="50">
        <v>293.10000000000002</v>
      </c>
      <c r="AA39" s="50">
        <v>298</v>
      </c>
      <c r="AB39" s="50">
        <v>298</v>
      </c>
      <c r="AC39" s="50">
        <v>298</v>
      </c>
      <c r="AD39" s="50">
        <v>295.5</v>
      </c>
      <c r="AE39" s="50">
        <v>350</v>
      </c>
      <c r="AF39" s="50">
        <v>350</v>
      </c>
      <c r="AG39" s="135">
        <v>456</v>
      </c>
      <c r="AH39" s="54">
        <f t="shared" si="2"/>
        <v>456</v>
      </c>
      <c r="AI39" s="55">
        <f t="shared" si="3"/>
        <v>0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/>
      <c r="V40" s="48"/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/>
      <c r="V41" s="70"/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f>SUM(B39:B41)</f>
        <v>538</v>
      </c>
      <c r="C42" s="66">
        <f t="shared" ref="C42:AG42" si="6">SUM(C39:C41)</f>
        <v>538</v>
      </c>
      <c r="D42" s="66">
        <f t="shared" si="6"/>
        <v>538</v>
      </c>
      <c r="E42" s="66">
        <f t="shared" si="6"/>
        <v>538</v>
      </c>
      <c r="F42" s="66">
        <f t="shared" si="6"/>
        <v>538</v>
      </c>
      <c r="G42" s="66">
        <f t="shared" si="6"/>
        <v>538</v>
      </c>
      <c r="H42" s="66">
        <f t="shared" ref="H42:J42" si="7">SUM(H39:H41)</f>
        <v>538</v>
      </c>
      <c r="I42" s="66">
        <f t="shared" si="7"/>
        <v>538</v>
      </c>
      <c r="J42" s="66">
        <f t="shared" si="7"/>
        <v>538</v>
      </c>
      <c r="K42" s="66">
        <f t="shared" si="6"/>
        <v>538</v>
      </c>
      <c r="L42" s="66">
        <f t="shared" si="6"/>
        <v>538</v>
      </c>
      <c r="M42" s="66">
        <f t="shared" si="6"/>
        <v>538</v>
      </c>
      <c r="N42" s="66">
        <f t="shared" si="6"/>
        <v>82</v>
      </c>
      <c r="O42" s="66">
        <f t="shared" si="6"/>
        <v>82</v>
      </c>
      <c r="P42" s="66">
        <f t="shared" si="6"/>
        <v>382</v>
      </c>
      <c r="Q42" s="66">
        <f t="shared" si="6"/>
        <v>412</v>
      </c>
      <c r="R42" s="66">
        <f t="shared" si="6"/>
        <v>442</v>
      </c>
      <c r="S42" s="66">
        <f t="shared" si="6"/>
        <v>382</v>
      </c>
      <c r="T42" s="66">
        <f t="shared" si="6"/>
        <v>462</v>
      </c>
      <c r="U42" s="66">
        <f t="shared" si="6"/>
        <v>0</v>
      </c>
      <c r="V42" s="66">
        <f t="shared" si="6"/>
        <v>0</v>
      </c>
      <c r="W42" s="66">
        <f t="shared" si="6"/>
        <v>538</v>
      </c>
      <c r="X42" s="66">
        <f t="shared" si="6"/>
        <v>538</v>
      </c>
      <c r="Y42" s="66">
        <f t="shared" si="6"/>
        <v>308</v>
      </c>
      <c r="Z42" s="66">
        <f t="shared" si="6"/>
        <v>375.1</v>
      </c>
      <c r="AA42" s="66">
        <f t="shared" si="6"/>
        <v>380</v>
      </c>
      <c r="AB42" s="66">
        <f t="shared" si="6"/>
        <v>380</v>
      </c>
      <c r="AC42" s="66">
        <f t="shared" si="6"/>
        <v>380</v>
      </c>
      <c r="AD42" s="66">
        <f t="shared" si="6"/>
        <v>377.5</v>
      </c>
      <c r="AE42" s="66">
        <f t="shared" si="6"/>
        <v>432</v>
      </c>
      <c r="AF42" s="66">
        <f t="shared" si="6"/>
        <v>432</v>
      </c>
      <c r="AG42" s="143">
        <f t="shared" si="6"/>
        <v>538.1</v>
      </c>
      <c r="AH42" s="54">
        <f t="shared" si="2"/>
        <v>538</v>
      </c>
      <c r="AI42" s="55">
        <f t="shared" si="3"/>
        <v>0</v>
      </c>
      <c r="AK42" s="56"/>
    </row>
    <row r="43" spans="1:88" x14ac:dyDescent="0.25">
      <c r="A43" s="57" t="s">
        <v>23</v>
      </c>
      <c r="B43" s="50">
        <v>140</v>
      </c>
      <c r="C43" s="50">
        <v>140</v>
      </c>
      <c r="D43" s="50">
        <v>140</v>
      </c>
      <c r="E43" s="50">
        <v>140.80000000000001</v>
      </c>
      <c r="F43" s="50">
        <v>140.80000000000001</v>
      </c>
      <c r="G43" s="50">
        <v>140.80000000000001</v>
      </c>
      <c r="H43" s="50">
        <v>140.80000000000001</v>
      </c>
      <c r="I43" s="50">
        <v>140.80000000000001</v>
      </c>
      <c r="J43" s="50">
        <v>140.80000000000001</v>
      </c>
      <c r="K43" s="50">
        <v>138.5</v>
      </c>
      <c r="L43" s="50">
        <v>138.5</v>
      </c>
      <c r="M43" s="50">
        <v>139.1</v>
      </c>
      <c r="N43" s="50">
        <v>139.1</v>
      </c>
      <c r="O43" s="50">
        <v>139.1</v>
      </c>
      <c r="P43" s="50">
        <v>139.1</v>
      </c>
      <c r="Q43" s="50">
        <v>140</v>
      </c>
      <c r="R43" s="50">
        <v>139</v>
      </c>
      <c r="S43" s="50">
        <v>140</v>
      </c>
      <c r="T43" s="50">
        <v>140</v>
      </c>
      <c r="U43" s="50"/>
      <c r="V43" s="50"/>
      <c r="W43" s="50">
        <v>140</v>
      </c>
      <c r="X43" s="50">
        <v>140</v>
      </c>
      <c r="Y43" s="50">
        <v>140</v>
      </c>
      <c r="Z43" s="50">
        <v>140</v>
      </c>
      <c r="AA43" s="50">
        <v>140</v>
      </c>
      <c r="AB43" s="50">
        <v>140.9</v>
      </c>
      <c r="AC43" s="50">
        <v>140.80000000000001</v>
      </c>
      <c r="AD43" s="50">
        <v>141</v>
      </c>
      <c r="AE43" s="50">
        <v>140.80000000000001</v>
      </c>
      <c r="AF43" s="50">
        <v>140.69999999999999</v>
      </c>
      <c r="AG43" s="135">
        <v>144</v>
      </c>
      <c r="AH43" s="54">
        <f t="shared" si="2"/>
        <v>141</v>
      </c>
      <c r="AI43" s="55">
        <f t="shared" si="3"/>
        <v>138.5</v>
      </c>
      <c r="AK43" s="56"/>
    </row>
    <row r="44" spans="1:88" x14ac:dyDescent="0.25">
      <c r="A44" s="60" t="s">
        <v>24</v>
      </c>
      <c r="B44" s="48">
        <v>73.599999999999994</v>
      </c>
      <c r="C44" s="48">
        <v>73.599999999999994</v>
      </c>
      <c r="D44" s="48">
        <v>73.599999999999994</v>
      </c>
      <c r="E44" s="48">
        <v>73.599999999999994</v>
      </c>
      <c r="F44" s="48">
        <v>73.599999999999994</v>
      </c>
      <c r="G44" s="48">
        <v>73.599999999999994</v>
      </c>
      <c r="H44" s="48">
        <v>73.599999999999994</v>
      </c>
      <c r="I44" s="48">
        <v>73.599999999999994</v>
      </c>
      <c r="J44" s="48">
        <v>73.599999999999994</v>
      </c>
      <c r="K44" s="48">
        <v>72.7</v>
      </c>
      <c r="L44" s="48">
        <v>72.7</v>
      </c>
      <c r="M44" s="48">
        <v>72.7</v>
      </c>
      <c r="N44" s="48">
        <v>72.7</v>
      </c>
      <c r="O44" s="48">
        <v>72.7</v>
      </c>
      <c r="P44" s="48">
        <v>72.7</v>
      </c>
      <c r="Q44" s="48">
        <v>71.5</v>
      </c>
      <c r="R44" s="48">
        <v>72.5</v>
      </c>
      <c r="S44" s="48">
        <v>72.5</v>
      </c>
      <c r="T44" s="48">
        <v>72.5</v>
      </c>
      <c r="U44" s="48"/>
      <c r="V44" s="48"/>
      <c r="W44" s="48">
        <v>72.5</v>
      </c>
      <c r="X44" s="48">
        <v>70</v>
      </c>
      <c r="Y44" s="48">
        <v>70</v>
      </c>
      <c r="Z44" s="48">
        <v>70</v>
      </c>
      <c r="AA44" s="48">
        <v>70</v>
      </c>
      <c r="AB44" s="48">
        <v>74</v>
      </c>
      <c r="AC44" s="48">
        <v>73.2</v>
      </c>
      <c r="AD44" s="48">
        <v>73.400000000000006</v>
      </c>
      <c r="AE44" s="48">
        <v>73</v>
      </c>
      <c r="AF44" s="48">
        <v>73.5</v>
      </c>
      <c r="AG44" s="136">
        <v>70</v>
      </c>
      <c r="AH44" s="54">
        <f t="shared" si="2"/>
        <v>74</v>
      </c>
      <c r="AI44" s="55">
        <f t="shared" si="3"/>
        <v>70</v>
      </c>
      <c r="AK44" s="56"/>
    </row>
    <row r="45" spans="1:88" x14ac:dyDescent="0.25">
      <c r="A45" s="60" t="s">
        <v>25</v>
      </c>
      <c r="B45" s="48">
        <v>63</v>
      </c>
      <c r="C45" s="48">
        <v>63</v>
      </c>
      <c r="D45" s="48">
        <v>63</v>
      </c>
      <c r="E45" s="48">
        <v>63</v>
      </c>
      <c r="F45" s="48">
        <v>63</v>
      </c>
      <c r="G45" s="48">
        <v>63</v>
      </c>
      <c r="H45" s="48">
        <v>63</v>
      </c>
      <c r="I45" s="48">
        <v>63</v>
      </c>
      <c r="J45" s="48">
        <v>63</v>
      </c>
      <c r="K45" s="48">
        <v>63</v>
      </c>
      <c r="L45" s="48">
        <v>63</v>
      </c>
      <c r="M45" s="48">
        <v>63</v>
      </c>
      <c r="N45" s="48">
        <v>63</v>
      </c>
      <c r="O45" s="48">
        <v>63</v>
      </c>
      <c r="P45" s="48">
        <v>63</v>
      </c>
      <c r="Q45" s="48">
        <v>63</v>
      </c>
      <c r="R45" s="48">
        <v>62.8</v>
      </c>
      <c r="S45" s="48">
        <v>62.8</v>
      </c>
      <c r="T45" s="48">
        <v>62.8</v>
      </c>
      <c r="U45" s="48"/>
      <c r="V45" s="48"/>
      <c r="W45" s="48">
        <v>62.8</v>
      </c>
      <c r="X45" s="48">
        <v>63.8</v>
      </c>
      <c r="Y45" s="48">
        <v>63.8</v>
      </c>
      <c r="Z45" s="48">
        <v>63.8</v>
      </c>
      <c r="AA45" s="48">
        <v>63.8</v>
      </c>
      <c r="AB45" s="48">
        <v>63.5</v>
      </c>
      <c r="AC45" s="48">
        <v>62.8</v>
      </c>
      <c r="AD45" s="48">
        <v>62.5</v>
      </c>
      <c r="AE45" s="48">
        <v>62.7</v>
      </c>
      <c r="AF45" s="48">
        <v>62.2</v>
      </c>
      <c r="AG45" s="136">
        <v>69</v>
      </c>
      <c r="AH45" s="54">
        <f t="shared" si="2"/>
        <v>63.8</v>
      </c>
      <c r="AI45" s="55">
        <f t="shared" si="3"/>
        <v>62.2</v>
      </c>
      <c r="AK45" s="56"/>
    </row>
    <row r="46" spans="1:88" x14ac:dyDescent="0.25">
      <c r="A46" s="60" t="s">
        <v>26</v>
      </c>
      <c r="B46" s="62">
        <v>60.2</v>
      </c>
      <c r="C46" s="62">
        <v>60.2</v>
      </c>
      <c r="D46" s="62">
        <v>60.2</v>
      </c>
      <c r="E46" s="62">
        <v>60.2</v>
      </c>
      <c r="F46" s="62">
        <v>60.2</v>
      </c>
      <c r="G46" s="62">
        <v>60.2</v>
      </c>
      <c r="H46" s="62">
        <v>60.2</v>
      </c>
      <c r="I46" s="62">
        <v>60.2</v>
      </c>
      <c r="J46" s="62">
        <v>60.2</v>
      </c>
      <c r="K46" s="62">
        <v>60.2</v>
      </c>
      <c r="L46" s="62">
        <v>60.2</v>
      </c>
      <c r="M46" s="62">
        <v>60.2</v>
      </c>
      <c r="N46" s="62">
        <v>60.2</v>
      </c>
      <c r="O46" s="62">
        <v>60.2</v>
      </c>
      <c r="P46" s="62">
        <v>0</v>
      </c>
      <c r="Q46" s="62">
        <v>0</v>
      </c>
      <c r="R46" s="62">
        <v>60.9</v>
      </c>
      <c r="S46" s="62">
        <v>60.9</v>
      </c>
      <c r="T46" s="62">
        <v>60.9</v>
      </c>
      <c r="U46" s="50"/>
      <c r="V46" s="48"/>
      <c r="W46" s="48">
        <v>60.9</v>
      </c>
      <c r="X46" s="48">
        <v>60.9</v>
      </c>
      <c r="Y46" s="48">
        <v>60.9</v>
      </c>
      <c r="Z46" s="48">
        <v>60.9</v>
      </c>
      <c r="AA46" s="48">
        <v>60.9</v>
      </c>
      <c r="AB46" s="62">
        <v>61.4</v>
      </c>
      <c r="AC46" s="62">
        <v>61.4</v>
      </c>
      <c r="AD46" s="62">
        <v>61.4</v>
      </c>
      <c r="AE46" s="62">
        <v>61.4</v>
      </c>
      <c r="AF46" s="62">
        <v>61.4</v>
      </c>
      <c r="AG46" s="136">
        <v>60</v>
      </c>
      <c r="AH46" s="54">
        <f t="shared" si="2"/>
        <v>61.4</v>
      </c>
      <c r="AI46" s="55">
        <f t="shared" si="3"/>
        <v>0</v>
      </c>
      <c r="AK46" s="56"/>
    </row>
    <row r="47" spans="1:88" x14ac:dyDescent="0.25">
      <c r="A47" s="60" t="s">
        <v>27</v>
      </c>
      <c r="B47" s="62">
        <v>28.5</v>
      </c>
      <c r="C47" s="62">
        <v>28.5</v>
      </c>
      <c r="D47" s="62">
        <v>28.5</v>
      </c>
      <c r="E47" s="62">
        <v>28.5</v>
      </c>
      <c r="F47" s="62">
        <v>28.5</v>
      </c>
      <c r="G47" s="62">
        <v>28.5</v>
      </c>
      <c r="H47" s="62">
        <v>28.5</v>
      </c>
      <c r="I47" s="62">
        <v>28.5</v>
      </c>
      <c r="J47" s="62">
        <v>28.5</v>
      </c>
      <c r="K47" s="62">
        <v>28.5</v>
      </c>
      <c r="L47" s="62">
        <v>28.5</v>
      </c>
      <c r="M47" s="62">
        <v>28.5</v>
      </c>
      <c r="N47" s="62">
        <v>28.5</v>
      </c>
      <c r="O47" s="62">
        <v>28.5</v>
      </c>
      <c r="P47" s="62">
        <v>28.5</v>
      </c>
      <c r="Q47" s="62">
        <v>28.6</v>
      </c>
      <c r="R47" s="62">
        <v>28.5</v>
      </c>
      <c r="S47" s="62">
        <v>28.5</v>
      </c>
      <c r="T47" s="62">
        <v>28.5</v>
      </c>
      <c r="U47" s="50"/>
      <c r="V47" s="48"/>
      <c r="W47" s="48">
        <v>28.5</v>
      </c>
      <c r="X47" s="48">
        <v>28.5</v>
      </c>
      <c r="Y47" s="48">
        <v>28.5</v>
      </c>
      <c r="Z47" s="48">
        <v>28.5</v>
      </c>
      <c r="AA47" s="48">
        <v>28.5</v>
      </c>
      <c r="AB47" s="62">
        <v>28.5</v>
      </c>
      <c r="AC47" s="62">
        <v>28.5</v>
      </c>
      <c r="AD47" s="62">
        <v>28.5</v>
      </c>
      <c r="AE47" s="62">
        <v>28.5</v>
      </c>
      <c r="AF47" s="62">
        <v>28.7</v>
      </c>
      <c r="AG47" s="136">
        <v>30</v>
      </c>
      <c r="AH47" s="54">
        <f t="shared" si="2"/>
        <v>28.7</v>
      </c>
      <c r="AI47" s="55">
        <f t="shared" si="3"/>
        <v>28.5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48">
        <v>0</v>
      </c>
      <c r="M48" s="48">
        <v>8</v>
      </c>
      <c r="N48" s="48">
        <v>8</v>
      </c>
      <c r="O48" s="48">
        <v>8</v>
      </c>
      <c r="P48" s="48">
        <v>8</v>
      </c>
      <c r="Q48" s="48">
        <v>8</v>
      </c>
      <c r="R48" s="48">
        <v>8</v>
      </c>
      <c r="S48" s="48">
        <v>8</v>
      </c>
      <c r="T48" s="48">
        <v>8</v>
      </c>
      <c r="U48" s="50"/>
      <c r="V48" s="50"/>
      <c r="W48" s="50">
        <v>8</v>
      </c>
      <c r="X48" s="50">
        <v>8</v>
      </c>
      <c r="Y48" s="50">
        <v>0</v>
      </c>
      <c r="Z48" s="50">
        <v>0</v>
      </c>
      <c r="AA48" s="50">
        <v>0</v>
      </c>
      <c r="AB48" s="50">
        <v>0</v>
      </c>
      <c r="AC48" s="48">
        <v>0</v>
      </c>
      <c r="AD48" s="48">
        <v>0</v>
      </c>
      <c r="AE48" s="48">
        <v>0</v>
      </c>
      <c r="AF48" s="48">
        <v>0</v>
      </c>
      <c r="AG48" s="136">
        <v>25</v>
      </c>
      <c r="AH48" s="54">
        <f t="shared" si="2"/>
        <v>8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13</v>
      </c>
      <c r="C49" s="48">
        <v>13</v>
      </c>
      <c r="D49" s="48">
        <v>13</v>
      </c>
      <c r="E49" s="48">
        <v>13</v>
      </c>
      <c r="F49" s="48">
        <v>13</v>
      </c>
      <c r="G49" s="48">
        <v>13</v>
      </c>
      <c r="H49" s="48">
        <v>13</v>
      </c>
      <c r="I49" s="48">
        <v>13</v>
      </c>
      <c r="J49" s="48">
        <v>13</v>
      </c>
      <c r="K49" s="48">
        <v>13</v>
      </c>
      <c r="L49" s="48">
        <v>13</v>
      </c>
      <c r="M49" s="48">
        <v>13</v>
      </c>
      <c r="N49" s="48">
        <v>13</v>
      </c>
      <c r="O49" s="48">
        <v>13</v>
      </c>
      <c r="P49" s="48">
        <v>13</v>
      </c>
      <c r="Q49" s="48">
        <v>15.8</v>
      </c>
      <c r="R49" s="48">
        <v>15.6</v>
      </c>
      <c r="S49" s="48">
        <v>15.6</v>
      </c>
      <c r="T49" s="48">
        <v>15.6</v>
      </c>
      <c r="U49" s="50"/>
      <c r="V49" s="50"/>
      <c r="W49" s="50">
        <v>15.6</v>
      </c>
      <c r="X49" s="50">
        <v>15.6</v>
      </c>
      <c r="Y49" s="50">
        <v>15.6</v>
      </c>
      <c r="Z49" s="50">
        <v>15.6</v>
      </c>
      <c r="AA49" s="50">
        <v>15.6</v>
      </c>
      <c r="AB49" s="50">
        <v>12.9</v>
      </c>
      <c r="AC49" s="48">
        <v>12.2</v>
      </c>
      <c r="AD49" s="48">
        <v>12.2</v>
      </c>
      <c r="AE49" s="48">
        <v>10.8</v>
      </c>
      <c r="AF49" s="48">
        <v>10.8</v>
      </c>
      <c r="AG49" s="136">
        <v>24</v>
      </c>
      <c r="AH49" s="54">
        <f t="shared" si="2"/>
        <v>15.8</v>
      </c>
      <c r="AI49" s="55">
        <f t="shared" si="3"/>
        <v>10.8</v>
      </c>
      <c r="AK49" s="56"/>
    </row>
    <row r="50" spans="1:41" x14ac:dyDescent="0.25">
      <c r="A50" s="60" t="s">
        <v>30</v>
      </c>
      <c r="B50" s="48">
        <v>3</v>
      </c>
      <c r="C50" s="48">
        <v>3</v>
      </c>
      <c r="D50" s="48">
        <v>3</v>
      </c>
      <c r="E50" s="48">
        <v>3</v>
      </c>
      <c r="F50" s="48">
        <v>3</v>
      </c>
      <c r="G50" s="48">
        <v>3</v>
      </c>
      <c r="H50" s="48">
        <v>3</v>
      </c>
      <c r="I50" s="48">
        <v>3</v>
      </c>
      <c r="J50" s="48">
        <v>3</v>
      </c>
      <c r="K50" s="48">
        <v>3</v>
      </c>
      <c r="L50" s="48">
        <v>3</v>
      </c>
      <c r="M50" s="48">
        <v>3</v>
      </c>
      <c r="N50" s="48">
        <v>3</v>
      </c>
      <c r="O50" s="48">
        <v>3</v>
      </c>
      <c r="P50" s="48">
        <v>0</v>
      </c>
      <c r="Q50" s="48">
        <v>0</v>
      </c>
      <c r="R50" s="48">
        <v>0</v>
      </c>
      <c r="S50" s="48">
        <v>0</v>
      </c>
      <c r="T50" s="48">
        <v>0</v>
      </c>
      <c r="U50" s="50"/>
      <c r="V50" s="50"/>
      <c r="W50" s="50">
        <v>0</v>
      </c>
      <c r="X50" s="50">
        <v>0</v>
      </c>
      <c r="Y50" s="50">
        <v>0</v>
      </c>
      <c r="Z50" s="50">
        <v>0</v>
      </c>
      <c r="AA50" s="50">
        <v>0</v>
      </c>
      <c r="AB50" s="50">
        <v>0</v>
      </c>
      <c r="AC50" s="48">
        <v>0</v>
      </c>
      <c r="AD50" s="48">
        <v>0</v>
      </c>
      <c r="AE50" s="48">
        <v>0</v>
      </c>
      <c r="AF50" s="48">
        <v>0</v>
      </c>
      <c r="AG50" s="136">
        <v>15</v>
      </c>
      <c r="AH50" s="54">
        <f t="shared" si="2"/>
        <v>3</v>
      </c>
      <c r="AI50" s="55">
        <f t="shared" si="3"/>
        <v>0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9</v>
      </c>
      <c r="C51" s="48">
        <v>9</v>
      </c>
      <c r="D51" s="48">
        <v>9</v>
      </c>
      <c r="E51" s="48">
        <v>9</v>
      </c>
      <c r="F51" s="48">
        <v>9</v>
      </c>
      <c r="G51" s="48">
        <v>9</v>
      </c>
      <c r="H51" s="48">
        <v>9</v>
      </c>
      <c r="I51" s="48">
        <v>9</v>
      </c>
      <c r="J51" s="48">
        <v>9</v>
      </c>
      <c r="K51" s="48">
        <v>9</v>
      </c>
      <c r="L51" s="48">
        <v>9</v>
      </c>
      <c r="M51" s="48">
        <v>9</v>
      </c>
      <c r="N51" s="48">
        <v>9</v>
      </c>
      <c r="O51" s="48">
        <v>9</v>
      </c>
      <c r="P51" s="48">
        <v>9</v>
      </c>
      <c r="Q51" s="48">
        <v>9.1999999999999993</v>
      </c>
      <c r="R51" s="48">
        <v>9.3000000000000007</v>
      </c>
      <c r="S51" s="48">
        <v>9.3000000000000007</v>
      </c>
      <c r="T51" s="48">
        <v>9.3000000000000007</v>
      </c>
      <c r="U51" s="50"/>
      <c r="V51" s="50"/>
      <c r="W51" s="50">
        <v>9.3000000000000007</v>
      </c>
      <c r="X51" s="50">
        <v>9.3000000000000007</v>
      </c>
      <c r="Y51" s="50">
        <v>9.3000000000000007</v>
      </c>
      <c r="Z51" s="50">
        <v>9.3000000000000007</v>
      </c>
      <c r="AA51" s="50">
        <v>9.3000000000000007</v>
      </c>
      <c r="AB51" s="50">
        <v>9.3000000000000007</v>
      </c>
      <c r="AC51" s="50">
        <v>9.1</v>
      </c>
      <c r="AD51" s="50">
        <v>9.1</v>
      </c>
      <c r="AE51" s="50">
        <v>9.1</v>
      </c>
      <c r="AF51" s="50">
        <v>9.1</v>
      </c>
      <c r="AG51" s="136">
        <v>14.1</v>
      </c>
      <c r="AH51" s="54">
        <f t="shared" si="2"/>
        <v>9.3000000000000007</v>
      </c>
      <c r="AI51" s="55">
        <f t="shared" si="3"/>
        <v>9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13.7</v>
      </c>
      <c r="C52" s="48">
        <v>2</v>
      </c>
      <c r="D52" s="48">
        <v>7</v>
      </c>
      <c r="E52" s="48">
        <v>7</v>
      </c>
      <c r="F52" s="48">
        <v>7</v>
      </c>
      <c r="G52" s="48">
        <v>7</v>
      </c>
      <c r="H52" s="48">
        <v>7</v>
      </c>
      <c r="I52" s="48">
        <v>7</v>
      </c>
      <c r="J52" s="48">
        <v>7</v>
      </c>
      <c r="K52" s="48">
        <v>7</v>
      </c>
      <c r="L52" s="48">
        <v>7</v>
      </c>
      <c r="M52" s="48">
        <v>14</v>
      </c>
      <c r="N52" s="48">
        <v>14</v>
      </c>
      <c r="O52" s="48">
        <v>14</v>
      </c>
      <c r="P52" s="48">
        <v>14</v>
      </c>
      <c r="Q52" s="48">
        <v>14</v>
      </c>
      <c r="R52" s="48">
        <v>13.9</v>
      </c>
      <c r="S52" s="48">
        <v>13.9</v>
      </c>
      <c r="T52" s="48">
        <v>13.9</v>
      </c>
      <c r="U52" s="50"/>
      <c r="V52" s="50"/>
      <c r="W52" s="50">
        <v>13.9</v>
      </c>
      <c r="X52" s="50">
        <v>13.9</v>
      </c>
      <c r="Y52" s="50">
        <v>13.9</v>
      </c>
      <c r="Z52" s="50">
        <v>13.9</v>
      </c>
      <c r="AA52" s="50">
        <v>13.9</v>
      </c>
      <c r="AB52" s="50">
        <v>13.9</v>
      </c>
      <c r="AC52" s="50">
        <v>13.9</v>
      </c>
      <c r="AD52" s="50">
        <v>13.9</v>
      </c>
      <c r="AE52" s="50">
        <v>13.9</v>
      </c>
      <c r="AF52" s="50">
        <v>13.9</v>
      </c>
      <c r="AG52" s="136">
        <v>14</v>
      </c>
      <c r="AH52" s="54">
        <f t="shared" si="2"/>
        <v>14</v>
      </c>
      <c r="AI52" s="55">
        <f t="shared" si="3"/>
        <v>2</v>
      </c>
      <c r="AK52" s="56"/>
    </row>
    <row r="53" spans="1:41" x14ac:dyDescent="0.25">
      <c r="A53" s="60" t="s">
        <v>33</v>
      </c>
      <c r="B53" s="48">
        <v>9.1</v>
      </c>
      <c r="C53" s="48">
        <v>9.1</v>
      </c>
      <c r="D53" s="48">
        <v>9.1</v>
      </c>
      <c r="E53" s="48">
        <v>9.1</v>
      </c>
      <c r="F53" s="48">
        <v>9.1</v>
      </c>
      <c r="G53" s="48">
        <v>9.1</v>
      </c>
      <c r="H53" s="48">
        <v>9.1</v>
      </c>
      <c r="I53" s="48">
        <v>9.1</v>
      </c>
      <c r="J53" s="48">
        <v>9.1</v>
      </c>
      <c r="K53" s="48">
        <v>9.1</v>
      </c>
      <c r="L53" s="48">
        <v>9.1</v>
      </c>
      <c r="M53" s="48">
        <v>9.1</v>
      </c>
      <c r="N53" s="48">
        <v>9.1</v>
      </c>
      <c r="O53" s="48">
        <v>9.1</v>
      </c>
      <c r="P53" s="48">
        <v>9.1</v>
      </c>
      <c r="Q53" s="48">
        <v>9.1</v>
      </c>
      <c r="R53" s="48">
        <v>9.1</v>
      </c>
      <c r="S53" s="48">
        <v>9.1</v>
      </c>
      <c r="T53" s="48">
        <v>9.1</v>
      </c>
      <c r="U53" s="50"/>
      <c r="V53" s="50"/>
      <c r="W53" s="50">
        <v>9.1</v>
      </c>
      <c r="X53" s="50">
        <v>9.1</v>
      </c>
      <c r="Y53" s="50">
        <v>9.1</v>
      </c>
      <c r="Z53" s="50">
        <v>9.1</v>
      </c>
      <c r="AA53" s="50">
        <v>9.1</v>
      </c>
      <c r="AB53" s="50">
        <v>9.1</v>
      </c>
      <c r="AC53" s="50">
        <v>9.1</v>
      </c>
      <c r="AD53" s="50">
        <v>9.1</v>
      </c>
      <c r="AE53" s="50">
        <v>9.1</v>
      </c>
      <c r="AF53" s="50">
        <v>9.1</v>
      </c>
      <c r="AG53" s="136">
        <v>10.050000000000001</v>
      </c>
      <c r="AH53" s="54">
        <f t="shared" si="2"/>
        <v>9.1</v>
      </c>
      <c r="AI53" s="55">
        <f t="shared" si="3"/>
        <v>9.1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48">
        <v>6.2</v>
      </c>
      <c r="N54" s="48">
        <v>6.2</v>
      </c>
      <c r="O54" s="48">
        <v>6.2</v>
      </c>
      <c r="P54" s="48">
        <v>6.2</v>
      </c>
      <c r="Q54" s="48">
        <v>6.2</v>
      </c>
      <c r="R54" s="48">
        <v>6.2</v>
      </c>
      <c r="S54" s="48">
        <v>6.2</v>
      </c>
      <c r="T54" s="48">
        <v>6.2</v>
      </c>
      <c r="U54" s="50"/>
      <c r="V54" s="50"/>
      <c r="W54" s="50">
        <v>6.2</v>
      </c>
      <c r="X54" s="50">
        <v>6.2</v>
      </c>
      <c r="Y54" s="50">
        <v>6.2</v>
      </c>
      <c r="Z54" s="50">
        <v>6.2</v>
      </c>
      <c r="AA54" s="50">
        <v>6.2</v>
      </c>
      <c r="AB54" s="50">
        <v>6.2</v>
      </c>
      <c r="AC54" s="50">
        <v>6.2</v>
      </c>
      <c r="AD54" s="50">
        <v>6.2</v>
      </c>
      <c r="AE54" s="50">
        <v>6.2</v>
      </c>
      <c r="AF54" s="50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8">AG220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>SUM(B43:B55)</f>
        <v>422.84000000000003</v>
      </c>
      <c r="C56" s="66">
        <f t="shared" ref="C56:AG56" si="9">SUM(C43:C55)</f>
        <v>411.14000000000004</v>
      </c>
      <c r="D56" s="66">
        <f t="shared" si="9"/>
        <v>416.14000000000004</v>
      </c>
      <c r="E56" s="66">
        <f t="shared" si="9"/>
        <v>416.94</v>
      </c>
      <c r="F56" s="66">
        <f t="shared" si="9"/>
        <v>416.94</v>
      </c>
      <c r="G56" s="66">
        <f t="shared" si="9"/>
        <v>416.94</v>
      </c>
      <c r="H56" s="66">
        <f t="shared" ref="H56:J56" si="10">SUM(H43:H55)</f>
        <v>416.94</v>
      </c>
      <c r="I56" s="66">
        <f t="shared" si="10"/>
        <v>416.94</v>
      </c>
      <c r="J56" s="66">
        <f t="shared" si="10"/>
        <v>416.94</v>
      </c>
      <c r="K56" s="66">
        <f t="shared" si="9"/>
        <v>413.74</v>
      </c>
      <c r="L56" s="66">
        <f t="shared" si="9"/>
        <v>413.74</v>
      </c>
      <c r="M56" s="66">
        <f t="shared" si="9"/>
        <v>429.34000000000003</v>
      </c>
      <c r="N56" s="66">
        <f t="shared" si="9"/>
        <v>429.34000000000003</v>
      </c>
      <c r="O56" s="66">
        <f t="shared" si="9"/>
        <v>429.34000000000003</v>
      </c>
      <c r="P56" s="66">
        <f t="shared" si="9"/>
        <v>366.14000000000004</v>
      </c>
      <c r="Q56" s="66">
        <f t="shared" si="9"/>
        <v>368.94000000000005</v>
      </c>
      <c r="R56" s="66">
        <f t="shared" si="9"/>
        <v>429.34000000000003</v>
      </c>
      <c r="S56" s="66">
        <f t="shared" si="9"/>
        <v>430.34000000000003</v>
      </c>
      <c r="T56" s="66">
        <f t="shared" si="9"/>
        <v>430.34000000000003</v>
      </c>
      <c r="U56" s="66">
        <f t="shared" si="9"/>
        <v>3.54</v>
      </c>
      <c r="V56" s="66">
        <f t="shared" si="9"/>
        <v>3.54</v>
      </c>
      <c r="W56" s="66">
        <f t="shared" si="9"/>
        <v>430.34000000000003</v>
      </c>
      <c r="X56" s="66">
        <f t="shared" si="9"/>
        <v>428.84000000000003</v>
      </c>
      <c r="Y56" s="66">
        <f t="shared" si="9"/>
        <v>420.84000000000003</v>
      </c>
      <c r="Z56" s="66">
        <f t="shared" si="9"/>
        <v>420.84000000000003</v>
      </c>
      <c r="AA56" s="66">
        <f t="shared" si="9"/>
        <v>420.84000000000003</v>
      </c>
      <c r="AB56" s="66">
        <f t="shared" si="9"/>
        <v>423.23999999999995</v>
      </c>
      <c r="AC56" s="66">
        <f t="shared" si="9"/>
        <v>420.74</v>
      </c>
      <c r="AD56" s="66">
        <f t="shared" si="9"/>
        <v>420.84</v>
      </c>
      <c r="AE56" s="66">
        <f t="shared" si="9"/>
        <v>419.04</v>
      </c>
      <c r="AF56" s="66">
        <f t="shared" si="9"/>
        <v>419.14</v>
      </c>
      <c r="AG56" s="143">
        <f t="shared" si="9"/>
        <v>489.91</v>
      </c>
      <c r="AH56" s="54">
        <f t="shared" si="2"/>
        <v>430.34000000000003</v>
      </c>
      <c r="AI56" s="55">
        <f t="shared" si="3"/>
        <v>3.54</v>
      </c>
      <c r="AK56" s="56"/>
    </row>
    <row r="57" spans="1:41" x14ac:dyDescent="0.25">
      <c r="A57" s="57" t="s">
        <v>37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20</v>
      </c>
      <c r="M57" s="50">
        <v>30.4</v>
      </c>
      <c r="N57" s="50">
        <v>0</v>
      </c>
      <c r="O57" s="50">
        <v>60</v>
      </c>
      <c r="P57" s="50">
        <v>0</v>
      </c>
      <c r="Q57" s="50">
        <v>9.6999999999999993</v>
      </c>
      <c r="R57" s="50">
        <v>0</v>
      </c>
      <c r="S57" s="50">
        <v>9.9</v>
      </c>
      <c r="T57" s="50">
        <v>0</v>
      </c>
      <c r="U57" s="50"/>
      <c r="V57" s="50"/>
      <c r="W57" s="50">
        <v>0</v>
      </c>
      <c r="X57" s="50">
        <v>0</v>
      </c>
      <c r="Y57" s="50">
        <v>0</v>
      </c>
      <c r="Z57" s="50">
        <v>20.2</v>
      </c>
      <c r="AA57" s="50">
        <v>45</v>
      </c>
      <c r="AB57" s="50">
        <v>60</v>
      </c>
      <c r="AC57" s="50">
        <v>60</v>
      </c>
      <c r="AD57" s="50">
        <v>59.2</v>
      </c>
      <c r="AE57" s="50">
        <v>30</v>
      </c>
      <c r="AF57" s="50">
        <v>0</v>
      </c>
      <c r="AG57" s="135">
        <v>60</v>
      </c>
      <c r="AH57" s="54">
        <f t="shared" si="2"/>
        <v>60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10</v>
      </c>
      <c r="M58" s="48">
        <v>16.100000000000001</v>
      </c>
      <c r="N58" s="48">
        <v>0</v>
      </c>
      <c r="O58" s="48">
        <v>23.3</v>
      </c>
      <c r="P58" s="48">
        <v>0</v>
      </c>
      <c r="Q58" s="48">
        <v>5.6</v>
      </c>
      <c r="R58" s="48">
        <v>0</v>
      </c>
      <c r="S58" s="48">
        <v>4.7</v>
      </c>
      <c r="T58" s="48">
        <v>0</v>
      </c>
      <c r="U58" s="48"/>
      <c r="V58" s="48"/>
      <c r="W58" s="48">
        <v>0</v>
      </c>
      <c r="X58" s="48">
        <v>0</v>
      </c>
      <c r="Y58" s="48">
        <v>0</v>
      </c>
      <c r="Z58" s="48">
        <v>4</v>
      </c>
      <c r="AA58" s="48">
        <v>14.2</v>
      </c>
      <c r="AB58" s="48">
        <v>28.6</v>
      </c>
      <c r="AC58" s="48">
        <v>28.6</v>
      </c>
      <c r="AD58" s="48">
        <v>28.8</v>
      </c>
      <c r="AE58" s="48">
        <v>20.5</v>
      </c>
      <c r="AF58" s="48">
        <v>4.5999999999999996</v>
      </c>
      <c r="AG58" s="136">
        <v>32</v>
      </c>
      <c r="AH58" s="54">
        <f t="shared" si="2"/>
        <v>28.8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3.7</v>
      </c>
      <c r="M59" s="70">
        <v>5.9</v>
      </c>
      <c r="N59" s="70">
        <v>0</v>
      </c>
      <c r="O59" s="70">
        <v>8.5</v>
      </c>
      <c r="P59" s="70">
        <v>0</v>
      </c>
      <c r="Q59" s="70">
        <v>2</v>
      </c>
      <c r="R59" s="70">
        <v>0</v>
      </c>
      <c r="S59" s="70">
        <v>1.7</v>
      </c>
      <c r="T59" s="70">
        <v>0</v>
      </c>
      <c r="U59" s="70"/>
      <c r="V59" s="70"/>
      <c r="W59" s="70">
        <v>0</v>
      </c>
      <c r="X59" s="70">
        <v>0</v>
      </c>
      <c r="Y59" s="70">
        <v>0</v>
      </c>
      <c r="Z59" s="70">
        <v>1.5</v>
      </c>
      <c r="AA59" s="70">
        <v>5.2</v>
      </c>
      <c r="AB59" s="70">
        <v>10.4</v>
      </c>
      <c r="AC59" s="70">
        <v>10.4</v>
      </c>
      <c r="AD59" s="70">
        <v>10.5</v>
      </c>
      <c r="AE59" s="70">
        <v>7.5</v>
      </c>
      <c r="AF59" s="70">
        <v>1.7</v>
      </c>
      <c r="AG59" s="137">
        <v>14</v>
      </c>
      <c r="AH59" s="54">
        <f t="shared" si="2"/>
        <v>10.5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>SUM(B57:B59)</f>
        <v>0</v>
      </c>
      <c r="C60" s="66">
        <f t="shared" ref="C60:AG60" si="11">SUM(C57:C59)</f>
        <v>0</v>
      </c>
      <c r="D60" s="66">
        <f t="shared" si="11"/>
        <v>0</v>
      </c>
      <c r="E60" s="66">
        <f t="shared" si="11"/>
        <v>0</v>
      </c>
      <c r="F60" s="66">
        <f t="shared" si="11"/>
        <v>0</v>
      </c>
      <c r="G60" s="66">
        <f t="shared" si="11"/>
        <v>0</v>
      </c>
      <c r="H60" s="66">
        <f t="shared" ref="H60:J60" si="12">SUM(H57:H59)</f>
        <v>0</v>
      </c>
      <c r="I60" s="66">
        <f t="shared" si="12"/>
        <v>0</v>
      </c>
      <c r="J60" s="66">
        <f t="shared" si="12"/>
        <v>0</v>
      </c>
      <c r="K60" s="66">
        <f t="shared" si="11"/>
        <v>0</v>
      </c>
      <c r="L60" s="66">
        <f t="shared" si="11"/>
        <v>33.700000000000003</v>
      </c>
      <c r="M60" s="66">
        <f t="shared" si="11"/>
        <v>52.4</v>
      </c>
      <c r="N60" s="66">
        <f t="shared" si="11"/>
        <v>0</v>
      </c>
      <c r="O60" s="66">
        <f t="shared" si="11"/>
        <v>91.8</v>
      </c>
      <c r="P60" s="66">
        <f t="shared" si="11"/>
        <v>0</v>
      </c>
      <c r="Q60" s="66">
        <f t="shared" si="11"/>
        <v>17.299999999999997</v>
      </c>
      <c r="R60" s="66">
        <f t="shared" si="11"/>
        <v>0</v>
      </c>
      <c r="S60" s="66">
        <f t="shared" si="11"/>
        <v>16.3</v>
      </c>
      <c r="T60" s="66">
        <f t="shared" si="11"/>
        <v>0</v>
      </c>
      <c r="U60" s="66">
        <f t="shared" si="11"/>
        <v>0</v>
      </c>
      <c r="V60" s="66">
        <f t="shared" si="11"/>
        <v>0</v>
      </c>
      <c r="W60" s="66">
        <f t="shared" si="11"/>
        <v>0</v>
      </c>
      <c r="X60" s="66">
        <f t="shared" si="11"/>
        <v>0</v>
      </c>
      <c r="Y60" s="66">
        <f t="shared" si="11"/>
        <v>0</v>
      </c>
      <c r="Z60" s="66">
        <f t="shared" si="11"/>
        <v>25.7</v>
      </c>
      <c r="AA60" s="66">
        <f t="shared" si="11"/>
        <v>64.400000000000006</v>
      </c>
      <c r="AB60" s="66">
        <f t="shared" si="11"/>
        <v>99</v>
      </c>
      <c r="AC60" s="66">
        <f t="shared" si="11"/>
        <v>99</v>
      </c>
      <c r="AD60" s="66">
        <f t="shared" si="11"/>
        <v>98.5</v>
      </c>
      <c r="AE60" s="66">
        <f t="shared" si="11"/>
        <v>58</v>
      </c>
      <c r="AF60" s="66">
        <f t="shared" si="11"/>
        <v>6.3</v>
      </c>
      <c r="AG60" s="143">
        <f t="shared" si="11"/>
        <v>106</v>
      </c>
      <c r="AH60" s="54">
        <f t="shared" si="2"/>
        <v>99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58</v>
      </c>
      <c r="C61" s="50">
        <v>22</v>
      </c>
      <c r="D61" s="50">
        <v>14.9</v>
      </c>
      <c r="E61" s="50">
        <v>14.9</v>
      </c>
      <c r="F61" s="50">
        <v>16.5</v>
      </c>
      <c r="G61" s="50">
        <v>16.100000000000001</v>
      </c>
      <c r="H61" s="50">
        <v>16.100000000000001</v>
      </c>
      <c r="I61" s="50">
        <v>17</v>
      </c>
      <c r="J61" s="50">
        <v>29</v>
      </c>
      <c r="K61" s="50">
        <v>20.3</v>
      </c>
      <c r="L61" s="50">
        <v>20.3</v>
      </c>
      <c r="M61" s="50">
        <v>23.4</v>
      </c>
      <c r="N61" s="50">
        <v>40.799999999999997</v>
      </c>
      <c r="O61" s="50">
        <v>45.6</v>
      </c>
      <c r="P61" s="50">
        <v>51.5</v>
      </c>
      <c r="Q61" s="50">
        <v>51.2</v>
      </c>
      <c r="R61" s="50">
        <v>62.4</v>
      </c>
      <c r="S61" s="50">
        <v>59</v>
      </c>
      <c r="T61" s="50">
        <v>60</v>
      </c>
      <c r="U61" s="50"/>
      <c r="V61" s="50"/>
      <c r="W61" s="50">
        <v>52</v>
      </c>
      <c r="X61" s="50">
        <v>52</v>
      </c>
      <c r="Y61" s="50">
        <v>50</v>
      </c>
      <c r="Z61" s="50">
        <v>46.4</v>
      </c>
      <c r="AA61" s="50">
        <v>58.9</v>
      </c>
      <c r="AB61" s="50">
        <v>67.900000000000006</v>
      </c>
      <c r="AC61" s="50">
        <v>70.099999999999994</v>
      </c>
      <c r="AD61" s="50">
        <v>70.099999999999994</v>
      </c>
      <c r="AE61" s="50">
        <v>67.7</v>
      </c>
      <c r="AF61" s="50">
        <v>67.099999999999994</v>
      </c>
      <c r="AG61" s="135"/>
      <c r="AH61" s="54">
        <f t="shared" si="2"/>
        <v>70.099999999999994</v>
      </c>
      <c r="AI61" s="55">
        <f t="shared" si="3"/>
        <v>14.9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/>
      <c r="V62" s="48"/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-363.3</v>
      </c>
      <c r="C63" s="48">
        <v>-373</v>
      </c>
      <c r="D63" s="48">
        <v>-368</v>
      </c>
      <c r="E63" s="48">
        <v>-365</v>
      </c>
      <c r="F63" s="48">
        <v>-376</v>
      </c>
      <c r="G63" s="48">
        <v>-388</v>
      </c>
      <c r="H63" s="48">
        <v>-390</v>
      </c>
      <c r="I63" s="48">
        <v>-388</v>
      </c>
      <c r="J63" s="48">
        <v>-380</v>
      </c>
      <c r="K63" s="48">
        <v>-370</v>
      </c>
      <c r="L63" s="48">
        <v>-365.5</v>
      </c>
      <c r="M63" s="48">
        <v>-372.9</v>
      </c>
      <c r="N63" s="48">
        <v>7.7</v>
      </c>
      <c r="O63" s="48">
        <v>7.7</v>
      </c>
      <c r="P63" s="48">
        <v>-166.4</v>
      </c>
      <c r="Q63" s="48">
        <v>-193</v>
      </c>
      <c r="R63" s="48">
        <v>-186.4</v>
      </c>
      <c r="S63" s="48">
        <v>-158</v>
      </c>
      <c r="T63" s="48">
        <v>-276</v>
      </c>
      <c r="U63" s="48"/>
      <c r="V63" s="48"/>
      <c r="W63" s="48">
        <v>-367.7</v>
      </c>
      <c r="X63" s="48">
        <v>-367.7</v>
      </c>
      <c r="Y63" s="48">
        <v>-122</v>
      </c>
      <c r="Z63" s="48">
        <v>-126.8</v>
      </c>
      <c r="AA63" s="48">
        <v>-57.8</v>
      </c>
      <c r="AB63" s="48">
        <v>-148.1</v>
      </c>
      <c r="AC63" s="48">
        <v>-191</v>
      </c>
      <c r="AD63" s="48">
        <v>-194.9</v>
      </c>
      <c r="AE63" s="48">
        <v>-260.5</v>
      </c>
      <c r="AF63" s="48">
        <v>-285</v>
      </c>
      <c r="AG63" s="140"/>
      <c r="AH63" s="54">
        <f t="shared" si="2"/>
        <v>7.7</v>
      </c>
      <c r="AI63" s="55">
        <f t="shared" si="3"/>
        <v>-390</v>
      </c>
      <c r="AK63" s="56"/>
    </row>
    <row r="64" spans="1:41" x14ac:dyDescent="0.25">
      <c r="A64" s="60" t="s">
        <v>44</v>
      </c>
      <c r="B64" s="71">
        <v>0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/>
      <c r="V64" s="71"/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140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/>
      <c r="V65" s="50"/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5</v>
      </c>
      <c r="C66" s="72">
        <v>5</v>
      </c>
      <c r="D66" s="72">
        <v>5</v>
      </c>
      <c r="E66" s="72">
        <v>5</v>
      </c>
      <c r="F66" s="72">
        <v>5</v>
      </c>
      <c r="G66" s="72">
        <v>5</v>
      </c>
      <c r="H66" s="72">
        <v>5</v>
      </c>
      <c r="I66" s="72">
        <v>5</v>
      </c>
      <c r="J66" s="72">
        <v>5</v>
      </c>
      <c r="K66" s="72">
        <v>5</v>
      </c>
      <c r="L66" s="72">
        <v>5</v>
      </c>
      <c r="M66" s="72">
        <v>5</v>
      </c>
      <c r="N66" s="72">
        <v>5</v>
      </c>
      <c r="O66" s="72">
        <v>5</v>
      </c>
      <c r="P66" s="72">
        <v>5</v>
      </c>
      <c r="Q66" s="72">
        <v>5</v>
      </c>
      <c r="R66" s="72">
        <v>5</v>
      </c>
      <c r="S66" s="72">
        <v>5</v>
      </c>
      <c r="T66" s="72">
        <v>5</v>
      </c>
      <c r="U66" s="72"/>
      <c r="V66" s="72"/>
      <c r="W66" s="72">
        <v>5</v>
      </c>
      <c r="X66" s="72">
        <v>5</v>
      </c>
      <c r="Y66" s="72">
        <v>5</v>
      </c>
      <c r="Z66" s="72">
        <v>5</v>
      </c>
      <c r="AA66" s="72">
        <v>5</v>
      </c>
      <c r="AB66" s="72">
        <v>5</v>
      </c>
      <c r="AC66" s="72">
        <v>5</v>
      </c>
      <c r="AD66" s="72">
        <v>5</v>
      </c>
      <c r="AE66" s="72">
        <v>5</v>
      </c>
      <c r="AF66" s="72">
        <v>5</v>
      </c>
      <c r="AG66" s="140"/>
      <c r="AH66" s="54">
        <f t="shared" si="2"/>
        <v>5</v>
      </c>
      <c r="AI66" s="55">
        <f t="shared" si="3"/>
        <v>5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/>
      <c r="V67" s="72"/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2">
        <v>0</v>
      </c>
      <c r="C68" s="72">
        <v>0</v>
      </c>
      <c r="D68" s="72">
        <v>0</v>
      </c>
      <c r="E68" s="72">
        <v>0</v>
      </c>
      <c r="F68" s="72">
        <v>0</v>
      </c>
      <c r="G68" s="72">
        <v>0</v>
      </c>
      <c r="H68" s="72">
        <v>0</v>
      </c>
      <c r="I68" s="72">
        <v>0</v>
      </c>
      <c r="J68" s="72">
        <v>0</v>
      </c>
      <c r="K68" s="72">
        <v>0</v>
      </c>
      <c r="L68" s="72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/>
      <c r="V68" s="71"/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2">
        <v>0</v>
      </c>
      <c r="C69" s="72">
        <v>0</v>
      </c>
      <c r="D69" s="72">
        <v>0</v>
      </c>
      <c r="E69" s="72">
        <v>0</v>
      </c>
      <c r="F69" s="72">
        <v>0</v>
      </c>
      <c r="G69" s="72">
        <v>0</v>
      </c>
      <c r="H69" s="72">
        <v>0</v>
      </c>
      <c r="I69" s="72">
        <v>0</v>
      </c>
      <c r="J69" s="72">
        <v>0</v>
      </c>
      <c r="K69" s="72">
        <v>0</v>
      </c>
      <c r="L69" s="72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/>
      <c r="V69" s="71"/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2">
        <v>0</v>
      </c>
      <c r="C70" s="72">
        <v>0</v>
      </c>
      <c r="D70" s="72">
        <v>0</v>
      </c>
      <c r="E70" s="72">
        <v>0</v>
      </c>
      <c r="F70" s="72">
        <v>0</v>
      </c>
      <c r="G70" s="72">
        <v>0</v>
      </c>
      <c r="H70" s="72">
        <v>0</v>
      </c>
      <c r="I70" s="72">
        <v>0</v>
      </c>
      <c r="J70" s="72">
        <v>0</v>
      </c>
      <c r="K70" s="72">
        <v>0</v>
      </c>
      <c r="L70" s="72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/>
      <c r="V70" s="74"/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2">
        <v>0</v>
      </c>
      <c r="C71" s="72">
        <v>0</v>
      </c>
      <c r="D71" s="72">
        <v>0</v>
      </c>
      <c r="E71" s="72">
        <v>0</v>
      </c>
      <c r="F71" s="72">
        <v>0</v>
      </c>
      <c r="G71" s="72">
        <v>0</v>
      </c>
      <c r="H71" s="72">
        <v>0</v>
      </c>
      <c r="I71" s="72">
        <v>0</v>
      </c>
      <c r="J71" s="72">
        <v>0</v>
      </c>
      <c r="K71" s="72">
        <v>0</v>
      </c>
      <c r="L71" s="72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/>
      <c r="V71" s="74"/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>SUMIF(B61:B71,"&gt;0")</f>
        <v>63</v>
      </c>
      <c r="C72" s="66">
        <f t="shared" ref="C72:L72" si="13">SUMIF(C61:C71,"&gt;0")</f>
        <v>27</v>
      </c>
      <c r="D72" s="66">
        <f t="shared" si="13"/>
        <v>19.899999999999999</v>
      </c>
      <c r="E72" s="66">
        <f t="shared" si="13"/>
        <v>19.899999999999999</v>
      </c>
      <c r="F72" s="66">
        <f t="shared" si="13"/>
        <v>21.5</v>
      </c>
      <c r="G72" s="66">
        <f t="shared" si="13"/>
        <v>21.1</v>
      </c>
      <c r="H72" s="66">
        <f t="shared" ref="H72:J72" si="14">SUMIF(H61:H71,"&gt;0")</f>
        <v>21.1</v>
      </c>
      <c r="I72" s="66">
        <f t="shared" si="14"/>
        <v>22</v>
      </c>
      <c r="J72" s="66">
        <f t="shared" si="14"/>
        <v>34</v>
      </c>
      <c r="K72" s="66">
        <f t="shared" si="13"/>
        <v>25.3</v>
      </c>
      <c r="L72" s="66">
        <f t="shared" si="13"/>
        <v>25.3</v>
      </c>
      <c r="M72" s="66">
        <f>SUMIF(M61:M71,"&gt;0")</f>
        <v>28.4</v>
      </c>
      <c r="N72" s="66">
        <f t="shared" ref="N72:AF72" si="15">SUMIF(N61:N71,"&gt;0")</f>
        <v>53.5</v>
      </c>
      <c r="O72" s="66">
        <f t="shared" si="15"/>
        <v>58.300000000000004</v>
      </c>
      <c r="P72" s="66">
        <f t="shared" si="15"/>
        <v>56.5</v>
      </c>
      <c r="Q72" s="66">
        <f t="shared" si="15"/>
        <v>56.2</v>
      </c>
      <c r="R72" s="66">
        <f t="shared" si="15"/>
        <v>67.400000000000006</v>
      </c>
      <c r="S72" s="66">
        <f t="shared" si="15"/>
        <v>64</v>
      </c>
      <c r="T72" s="66">
        <f t="shared" si="15"/>
        <v>65</v>
      </c>
      <c r="U72" s="66">
        <f t="shared" si="15"/>
        <v>0</v>
      </c>
      <c r="V72" s="66">
        <f t="shared" si="15"/>
        <v>0</v>
      </c>
      <c r="W72" s="66">
        <f t="shared" si="15"/>
        <v>57</v>
      </c>
      <c r="X72" s="66">
        <f t="shared" si="15"/>
        <v>57</v>
      </c>
      <c r="Y72" s="66">
        <f t="shared" si="15"/>
        <v>55</v>
      </c>
      <c r="Z72" s="66">
        <f t="shared" si="15"/>
        <v>51.4</v>
      </c>
      <c r="AA72" s="66">
        <f t="shared" si="15"/>
        <v>63.9</v>
      </c>
      <c r="AB72" s="66">
        <f t="shared" si="15"/>
        <v>72.900000000000006</v>
      </c>
      <c r="AC72" s="66">
        <f t="shared" si="15"/>
        <v>75.099999999999994</v>
      </c>
      <c r="AD72" s="66">
        <f t="shared" si="15"/>
        <v>75.099999999999994</v>
      </c>
      <c r="AE72" s="66">
        <f t="shared" si="15"/>
        <v>72.7</v>
      </c>
      <c r="AF72" s="66">
        <f t="shared" si="15"/>
        <v>72.099999999999994</v>
      </c>
      <c r="AG72" s="138">
        <f>SUM(AG61:AG71)</f>
        <v>0</v>
      </c>
      <c r="AH72" s="54">
        <f t="shared" si="2"/>
        <v>75.099999999999994</v>
      </c>
      <c r="AI72" s="55">
        <f t="shared" si="3"/>
        <v>0</v>
      </c>
      <c r="AK72" s="56"/>
    </row>
    <row r="73" spans="1:88" x14ac:dyDescent="0.25">
      <c r="A73" s="57" t="s">
        <v>53</v>
      </c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/>
      <c r="V73" s="71"/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/>
      <c r="V74" s="72"/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/>
      <c r="V75" s="74"/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1</v>
      </c>
      <c r="I76" s="66">
        <v>2</v>
      </c>
      <c r="J76" s="66">
        <v>3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3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>B38+B42+B60+B56+B72+B76</f>
        <v>1816.94</v>
      </c>
      <c r="C77" s="75">
        <f t="shared" ref="C77:AF77" si="16">C38+C42+C60+C56+C72+C76</f>
        <v>1769.24</v>
      </c>
      <c r="D77" s="75">
        <f t="shared" si="16"/>
        <v>1767.14</v>
      </c>
      <c r="E77" s="75">
        <f t="shared" si="16"/>
        <v>1767.94</v>
      </c>
      <c r="F77" s="75">
        <f t="shared" si="16"/>
        <v>1748.24</v>
      </c>
      <c r="G77" s="75">
        <f t="shared" si="16"/>
        <v>1725.54</v>
      </c>
      <c r="H77" s="75">
        <f t="shared" ref="H77:J77" si="17">H38+H42+H60+H56+H72+H76</f>
        <v>1726.54</v>
      </c>
      <c r="I77" s="75">
        <f t="shared" si="17"/>
        <v>1728.44</v>
      </c>
      <c r="J77" s="75">
        <f t="shared" si="17"/>
        <v>1741.44</v>
      </c>
      <c r="K77" s="75">
        <f t="shared" si="16"/>
        <v>1755.84</v>
      </c>
      <c r="L77" s="75">
        <f t="shared" si="16"/>
        <v>1789.54</v>
      </c>
      <c r="M77" s="75">
        <f t="shared" si="16"/>
        <v>1884.2400000000002</v>
      </c>
      <c r="N77" s="75">
        <f t="shared" si="16"/>
        <v>1400.94</v>
      </c>
      <c r="O77" s="75">
        <f t="shared" si="16"/>
        <v>1497.54</v>
      </c>
      <c r="P77" s="75">
        <f t="shared" si="16"/>
        <v>1640.74</v>
      </c>
      <c r="Q77" s="75">
        <f t="shared" si="16"/>
        <v>1682.24</v>
      </c>
      <c r="R77" s="75">
        <f t="shared" si="16"/>
        <v>1750.54</v>
      </c>
      <c r="S77" s="75">
        <f t="shared" si="16"/>
        <v>1720.44</v>
      </c>
      <c r="T77" s="75">
        <f t="shared" si="16"/>
        <v>1785.1399999999999</v>
      </c>
      <c r="U77" s="75">
        <f t="shared" si="16"/>
        <v>3.54</v>
      </c>
      <c r="V77" s="75">
        <f t="shared" si="16"/>
        <v>3.54</v>
      </c>
      <c r="W77" s="75">
        <f t="shared" si="16"/>
        <v>1853.1399999999999</v>
      </c>
      <c r="X77" s="75">
        <f t="shared" si="16"/>
        <v>1841.6399999999999</v>
      </c>
      <c r="Y77" s="75">
        <f t="shared" si="16"/>
        <v>1572.6399999999999</v>
      </c>
      <c r="Z77" s="75">
        <f t="shared" si="16"/>
        <v>1705.2400000000002</v>
      </c>
      <c r="AA77" s="75">
        <f t="shared" si="16"/>
        <v>1727.94</v>
      </c>
      <c r="AB77" s="75">
        <f t="shared" si="16"/>
        <v>1794.94</v>
      </c>
      <c r="AC77" s="75">
        <f t="shared" si="16"/>
        <v>1808.04</v>
      </c>
      <c r="AD77" s="75">
        <f t="shared" si="16"/>
        <v>1804.7399999999998</v>
      </c>
      <c r="AE77" s="75">
        <f t="shared" si="16"/>
        <v>1814.4399999999998</v>
      </c>
      <c r="AF77" s="75">
        <f t="shared" si="16"/>
        <v>1753.2399999999998</v>
      </c>
      <c r="AG77" s="143">
        <f>AG38+AG42+AG60+AG56+AG72+AG76</f>
        <v>1855.1900000000003</v>
      </c>
      <c r="AH77" s="54">
        <f t="shared" si="2"/>
        <v>1884.2400000000002</v>
      </c>
      <c r="AI77" s="55">
        <f t="shared" si="3"/>
        <v>3.54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>
        <v>32</v>
      </c>
      <c r="L78" s="77"/>
      <c r="M78" s="77"/>
      <c r="N78" s="77">
        <v>100</v>
      </c>
      <c r="O78" s="77">
        <v>40</v>
      </c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100</v>
      </c>
      <c r="AI78" s="55">
        <f t="shared" si="3"/>
        <v>32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>B77+B78</f>
        <v>1816.94</v>
      </c>
      <c r="C79" s="75">
        <f t="shared" ref="C79:AF79" si="18">C77+C78</f>
        <v>1769.24</v>
      </c>
      <c r="D79" s="75">
        <f t="shared" si="18"/>
        <v>1767.14</v>
      </c>
      <c r="E79" s="75">
        <f t="shared" si="18"/>
        <v>1767.94</v>
      </c>
      <c r="F79" s="75">
        <f t="shared" si="18"/>
        <v>1748.24</v>
      </c>
      <c r="G79" s="75">
        <f t="shared" si="18"/>
        <v>1725.54</v>
      </c>
      <c r="H79" s="75">
        <f t="shared" ref="H79:J79" si="19">H77+H78</f>
        <v>1726.54</v>
      </c>
      <c r="I79" s="75">
        <f t="shared" si="19"/>
        <v>1728.44</v>
      </c>
      <c r="J79" s="75">
        <f t="shared" si="19"/>
        <v>1741.44</v>
      </c>
      <c r="K79" s="75">
        <f t="shared" si="18"/>
        <v>1787.84</v>
      </c>
      <c r="L79" s="75">
        <f t="shared" si="18"/>
        <v>1789.54</v>
      </c>
      <c r="M79" s="75">
        <f t="shared" si="18"/>
        <v>1884.2400000000002</v>
      </c>
      <c r="N79" s="75">
        <f t="shared" si="18"/>
        <v>1500.94</v>
      </c>
      <c r="O79" s="75">
        <f t="shared" si="18"/>
        <v>1537.54</v>
      </c>
      <c r="P79" s="75">
        <f t="shared" si="18"/>
        <v>1640.74</v>
      </c>
      <c r="Q79" s="75">
        <f t="shared" si="18"/>
        <v>1682.24</v>
      </c>
      <c r="R79" s="75">
        <f t="shared" si="18"/>
        <v>1750.54</v>
      </c>
      <c r="S79" s="75">
        <f t="shared" si="18"/>
        <v>1720.44</v>
      </c>
      <c r="T79" s="75">
        <f t="shared" si="18"/>
        <v>1785.1399999999999</v>
      </c>
      <c r="U79" s="75">
        <f t="shared" si="18"/>
        <v>3.54</v>
      </c>
      <c r="V79" s="75">
        <f t="shared" si="18"/>
        <v>3.54</v>
      </c>
      <c r="W79" s="75">
        <f t="shared" si="18"/>
        <v>1853.1399999999999</v>
      </c>
      <c r="X79" s="75">
        <f t="shared" si="18"/>
        <v>1841.6399999999999</v>
      </c>
      <c r="Y79" s="75">
        <f t="shared" si="18"/>
        <v>1572.6399999999999</v>
      </c>
      <c r="Z79" s="75">
        <f t="shared" si="18"/>
        <v>1705.2400000000002</v>
      </c>
      <c r="AA79" s="75">
        <f t="shared" si="18"/>
        <v>1727.94</v>
      </c>
      <c r="AB79" s="75">
        <f t="shared" si="18"/>
        <v>1794.94</v>
      </c>
      <c r="AC79" s="75">
        <f t="shared" si="18"/>
        <v>1808.04</v>
      </c>
      <c r="AD79" s="75">
        <f t="shared" si="18"/>
        <v>1804.7399999999998</v>
      </c>
      <c r="AE79" s="75">
        <f t="shared" si="18"/>
        <v>1814.4399999999998</v>
      </c>
      <c r="AF79" s="75">
        <f t="shared" si="18"/>
        <v>1753.2399999999998</v>
      </c>
      <c r="AG79" s="138">
        <f>AG76+AG72+AG60+AG56+AG38+AG78</f>
        <v>1317.0900000000001</v>
      </c>
      <c r="AH79" s="54">
        <f t="shared" si="2"/>
        <v>1884.2400000000002</v>
      </c>
      <c r="AI79" s="55">
        <f t="shared" si="3"/>
        <v>3.54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:AF80" si="20">B79-B87</f>
        <v>1453.64</v>
      </c>
      <c r="C80" s="75">
        <f t="shared" si="20"/>
        <v>1396.24</v>
      </c>
      <c r="D80" s="75">
        <f t="shared" si="20"/>
        <v>1399.14</v>
      </c>
      <c r="E80" s="75">
        <f t="shared" si="20"/>
        <v>1402.94</v>
      </c>
      <c r="F80" s="75">
        <f t="shared" si="20"/>
        <v>1372.24</v>
      </c>
      <c r="G80" s="75">
        <f t="shared" si="20"/>
        <v>1337.54</v>
      </c>
      <c r="H80" s="75">
        <f t="shared" ref="H80:J80" si="21">H79-H87</f>
        <v>1336.54</v>
      </c>
      <c r="I80" s="75">
        <f t="shared" si="21"/>
        <v>1340.44</v>
      </c>
      <c r="J80" s="75">
        <f t="shared" si="21"/>
        <v>1361.44</v>
      </c>
      <c r="K80" s="75">
        <f t="shared" si="20"/>
        <v>1417.84</v>
      </c>
      <c r="L80" s="75">
        <f t="shared" si="20"/>
        <v>1424.04</v>
      </c>
      <c r="M80" s="75">
        <f t="shared" si="20"/>
        <v>1511.3400000000001</v>
      </c>
      <c r="N80" s="75">
        <f t="shared" si="20"/>
        <v>1500.94</v>
      </c>
      <c r="O80" s="75">
        <f t="shared" si="20"/>
        <v>1537.54</v>
      </c>
      <c r="P80" s="75">
        <f t="shared" si="20"/>
        <v>1474.34</v>
      </c>
      <c r="Q80" s="75">
        <f t="shared" si="20"/>
        <v>1489.24</v>
      </c>
      <c r="R80" s="75">
        <f t="shared" si="20"/>
        <v>1564.1399999999999</v>
      </c>
      <c r="S80" s="75">
        <f t="shared" si="20"/>
        <v>1562.44</v>
      </c>
      <c r="T80" s="75">
        <f t="shared" si="20"/>
        <v>1509.1399999999999</v>
      </c>
      <c r="U80" s="75">
        <f t="shared" si="20"/>
        <v>3.54</v>
      </c>
      <c r="V80" s="75">
        <f t="shared" si="20"/>
        <v>3.54</v>
      </c>
      <c r="W80" s="75">
        <f t="shared" si="20"/>
        <v>1485.4399999999998</v>
      </c>
      <c r="X80" s="75">
        <f t="shared" si="20"/>
        <v>1473.9399999999998</v>
      </c>
      <c r="Y80" s="75">
        <f t="shared" si="20"/>
        <v>1450.6399999999999</v>
      </c>
      <c r="Z80" s="75">
        <f t="shared" si="20"/>
        <v>1578.4400000000003</v>
      </c>
      <c r="AA80" s="75">
        <f t="shared" si="20"/>
        <v>1670.14</v>
      </c>
      <c r="AB80" s="75">
        <f t="shared" si="20"/>
        <v>1646.8400000000001</v>
      </c>
      <c r="AC80" s="75">
        <f t="shared" si="20"/>
        <v>1617.04</v>
      </c>
      <c r="AD80" s="75">
        <f t="shared" si="20"/>
        <v>1609.8399999999997</v>
      </c>
      <c r="AE80" s="75">
        <f t="shared" si="20"/>
        <v>1553.9399999999998</v>
      </c>
      <c r="AF80" s="75">
        <f t="shared" si="20"/>
        <v>1468.2399999999998</v>
      </c>
      <c r="AG80" s="138"/>
      <c r="AH80" s="54">
        <f t="shared" ref="AH80:AH97" si="22">MAX(B80:AF80)</f>
        <v>1670.14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>IF(B64&lt;0,B64*-1,0)</f>
        <v>0</v>
      </c>
      <c r="C81" s="71">
        <f t="shared" ref="C81:AF81" si="23">IF(C64&lt;0,C64*-1,0)</f>
        <v>0</v>
      </c>
      <c r="D81" s="71">
        <f t="shared" si="23"/>
        <v>0</v>
      </c>
      <c r="E81" s="71">
        <f t="shared" si="23"/>
        <v>0</v>
      </c>
      <c r="F81" s="71">
        <f t="shared" si="23"/>
        <v>0</v>
      </c>
      <c r="G81" s="71">
        <f t="shared" si="23"/>
        <v>0</v>
      </c>
      <c r="H81" s="71">
        <f t="shared" ref="H81:J81" si="24">IF(H64&lt;0,H64*-1,0)</f>
        <v>0</v>
      </c>
      <c r="I81" s="71">
        <f t="shared" si="24"/>
        <v>0</v>
      </c>
      <c r="J81" s="71">
        <f t="shared" si="24"/>
        <v>0</v>
      </c>
      <c r="K81" s="71">
        <f t="shared" si="23"/>
        <v>0</v>
      </c>
      <c r="L81" s="71">
        <f t="shared" si="23"/>
        <v>0</v>
      </c>
      <c r="M81" s="71">
        <f t="shared" si="23"/>
        <v>0</v>
      </c>
      <c r="N81" s="71">
        <f t="shared" si="23"/>
        <v>0</v>
      </c>
      <c r="O81" s="71">
        <f t="shared" si="23"/>
        <v>0</v>
      </c>
      <c r="P81" s="71">
        <f t="shared" si="23"/>
        <v>0</v>
      </c>
      <c r="Q81" s="71">
        <f t="shared" si="23"/>
        <v>0</v>
      </c>
      <c r="R81" s="71">
        <f t="shared" si="23"/>
        <v>0</v>
      </c>
      <c r="S81" s="71">
        <f t="shared" si="23"/>
        <v>0</v>
      </c>
      <c r="T81" s="71">
        <f t="shared" si="23"/>
        <v>0</v>
      </c>
      <c r="U81" s="71">
        <f t="shared" si="23"/>
        <v>0</v>
      </c>
      <c r="V81" s="71">
        <f t="shared" si="23"/>
        <v>0</v>
      </c>
      <c r="W81" s="71">
        <f t="shared" si="23"/>
        <v>0</v>
      </c>
      <c r="X81" s="71">
        <f t="shared" si="23"/>
        <v>0</v>
      </c>
      <c r="Y81" s="71">
        <f t="shared" si="23"/>
        <v>0</v>
      </c>
      <c r="Z81" s="71">
        <f t="shared" si="23"/>
        <v>0</v>
      </c>
      <c r="AA81" s="71">
        <f t="shared" si="23"/>
        <v>0</v>
      </c>
      <c r="AB81" s="71">
        <f t="shared" si="23"/>
        <v>0</v>
      </c>
      <c r="AC81" s="71">
        <f t="shared" si="23"/>
        <v>0</v>
      </c>
      <c r="AD81" s="71">
        <f t="shared" si="23"/>
        <v>0</v>
      </c>
      <c r="AE81" s="71">
        <f t="shared" si="23"/>
        <v>0</v>
      </c>
      <c r="AF81" s="71">
        <f t="shared" si="23"/>
        <v>0</v>
      </c>
      <c r="AG81" s="135"/>
      <c r="AH81" s="54">
        <f t="shared" si="22"/>
        <v>0</v>
      </c>
      <c r="AI81" s="55">
        <f t="shared" ref="AI81:AI97" si="25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>IF(B62&lt;0,B62*-1,0)</f>
        <v>0</v>
      </c>
      <c r="C82" s="71">
        <f t="shared" ref="C82:AF82" si="26">IF(C62&lt;0,C62*-1,0)</f>
        <v>0</v>
      </c>
      <c r="D82" s="71">
        <f t="shared" si="26"/>
        <v>0</v>
      </c>
      <c r="E82" s="71">
        <f t="shared" si="26"/>
        <v>0</v>
      </c>
      <c r="F82" s="71">
        <f t="shared" si="26"/>
        <v>0</v>
      </c>
      <c r="G82" s="71">
        <f t="shared" si="26"/>
        <v>0</v>
      </c>
      <c r="H82" s="71">
        <f t="shared" ref="H82:J82" si="27">IF(H62&lt;0,H62*-1,0)</f>
        <v>0</v>
      </c>
      <c r="I82" s="71">
        <f t="shared" si="27"/>
        <v>0</v>
      </c>
      <c r="J82" s="71">
        <f t="shared" si="27"/>
        <v>0</v>
      </c>
      <c r="K82" s="71">
        <f t="shared" si="26"/>
        <v>0</v>
      </c>
      <c r="L82" s="71">
        <f t="shared" si="26"/>
        <v>0</v>
      </c>
      <c r="M82" s="71">
        <f t="shared" si="26"/>
        <v>0</v>
      </c>
      <c r="N82" s="71">
        <f t="shared" si="26"/>
        <v>0</v>
      </c>
      <c r="O82" s="71">
        <f t="shared" si="26"/>
        <v>0</v>
      </c>
      <c r="P82" s="71">
        <f t="shared" si="26"/>
        <v>0</v>
      </c>
      <c r="Q82" s="71">
        <f t="shared" si="26"/>
        <v>0</v>
      </c>
      <c r="R82" s="71">
        <f t="shared" si="26"/>
        <v>0</v>
      </c>
      <c r="S82" s="71">
        <f t="shared" si="26"/>
        <v>0</v>
      </c>
      <c r="T82" s="71">
        <f t="shared" si="26"/>
        <v>0</v>
      </c>
      <c r="U82" s="71">
        <f t="shared" si="26"/>
        <v>0</v>
      </c>
      <c r="V82" s="71">
        <f t="shared" si="26"/>
        <v>0</v>
      </c>
      <c r="W82" s="71">
        <f t="shared" si="26"/>
        <v>0</v>
      </c>
      <c r="X82" s="71">
        <f t="shared" si="26"/>
        <v>0</v>
      </c>
      <c r="Y82" s="71">
        <f t="shared" si="26"/>
        <v>0</v>
      </c>
      <c r="Z82" s="71">
        <f t="shared" si="26"/>
        <v>0</v>
      </c>
      <c r="AA82" s="71">
        <f t="shared" si="26"/>
        <v>0</v>
      </c>
      <c r="AB82" s="71">
        <f t="shared" si="26"/>
        <v>0</v>
      </c>
      <c r="AC82" s="71">
        <f t="shared" si="26"/>
        <v>0</v>
      </c>
      <c r="AD82" s="71">
        <f t="shared" si="26"/>
        <v>0</v>
      </c>
      <c r="AE82" s="71">
        <f t="shared" si="26"/>
        <v>0</v>
      </c>
      <c r="AF82" s="71">
        <f t="shared" si="26"/>
        <v>0</v>
      </c>
      <c r="AG82" s="136"/>
      <c r="AH82" s="54">
        <f t="shared" si="22"/>
        <v>0</v>
      </c>
      <c r="AI82" s="55">
        <f t="shared" si="25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>IF(B65&lt;0,B65*-1,0)</f>
        <v>0</v>
      </c>
      <c r="C83" s="71">
        <f t="shared" ref="C83:AF83" si="28">IF(C65&lt;0,C65*-1,0)</f>
        <v>0</v>
      </c>
      <c r="D83" s="71">
        <f t="shared" si="28"/>
        <v>0</v>
      </c>
      <c r="E83" s="71">
        <f t="shared" si="28"/>
        <v>0</v>
      </c>
      <c r="F83" s="71">
        <f t="shared" si="28"/>
        <v>0</v>
      </c>
      <c r="G83" s="71">
        <f t="shared" si="28"/>
        <v>0</v>
      </c>
      <c r="H83" s="71">
        <f t="shared" ref="H83:J83" si="29">IF(H65&lt;0,H65*-1,0)</f>
        <v>0</v>
      </c>
      <c r="I83" s="71">
        <f t="shared" si="29"/>
        <v>0</v>
      </c>
      <c r="J83" s="71">
        <f t="shared" si="29"/>
        <v>0</v>
      </c>
      <c r="K83" s="71">
        <f t="shared" si="28"/>
        <v>0</v>
      </c>
      <c r="L83" s="71">
        <f t="shared" si="28"/>
        <v>0</v>
      </c>
      <c r="M83" s="71">
        <f t="shared" si="28"/>
        <v>0</v>
      </c>
      <c r="N83" s="71">
        <f t="shared" si="28"/>
        <v>0</v>
      </c>
      <c r="O83" s="71">
        <f t="shared" si="28"/>
        <v>0</v>
      </c>
      <c r="P83" s="71">
        <f t="shared" si="28"/>
        <v>0</v>
      </c>
      <c r="Q83" s="71">
        <f t="shared" si="28"/>
        <v>0</v>
      </c>
      <c r="R83" s="71">
        <f t="shared" si="28"/>
        <v>0</v>
      </c>
      <c r="S83" s="71">
        <f t="shared" si="28"/>
        <v>0</v>
      </c>
      <c r="T83" s="71">
        <f t="shared" si="28"/>
        <v>0</v>
      </c>
      <c r="U83" s="71">
        <f t="shared" si="28"/>
        <v>0</v>
      </c>
      <c r="V83" s="71">
        <f t="shared" si="28"/>
        <v>0</v>
      </c>
      <c r="W83" s="71">
        <f t="shared" si="28"/>
        <v>0</v>
      </c>
      <c r="X83" s="71">
        <f t="shared" si="28"/>
        <v>0</v>
      </c>
      <c r="Y83" s="71">
        <f t="shared" si="28"/>
        <v>0</v>
      </c>
      <c r="Z83" s="71">
        <f t="shared" si="28"/>
        <v>0</v>
      </c>
      <c r="AA83" s="71">
        <f t="shared" si="28"/>
        <v>0</v>
      </c>
      <c r="AB83" s="71">
        <f t="shared" si="28"/>
        <v>0</v>
      </c>
      <c r="AC83" s="71">
        <f t="shared" si="28"/>
        <v>0</v>
      </c>
      <c r="AD83" s="71">
        <f t="shared" si="28"/>
        <v>0</v>
      </c>
      <c r="AE83" s="71">
        <f t="shared" si="28"/>
        <v>0</v>
      </c>
      <c r="AF83" s="71">
        <f t="shared" si="28"/>
        <v>0</v>
      </c>
      <c r="AG83" s="144"/>
      <c r="AH83" s="54">
        <f t="shared" si="22"/>
        <v>0</v>
      </c>
      <c r="AI83" s="55">
        <f t="shared" si="25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>IF(B63&lt;0,B63*-1,0)</f>
        <v>363.3</v>
      </c>
      <c r="C84" s="71">
        <f t="shared" ref="C84:AF84" si="30">IF(C63&lt;0,C63*-1,0)</f>
        <v>373</v>
      </c>
      <c r="D84" s="71">
        <f t="shared" si="30"/>
        <v>368</v>
      </c>
      <c r="E84" s="71">
        <f t="shared" si="30"/>
        <v>365</v>
      </c>
      <c r="F84" s="71">
        <f t="shared" si="30"/>
        <v>376</v>
      </c>
      <c r="G84" s="71">
        <f t="shared" si="30"/>
        <v>388</v>
      </c>
      <c r="H84" s="71">
        <f t="shared" ref="H84:J84" si="31">IF(H63&lt;0,H63*-1,0)</f>
        <v>390</v>
      </c>
      <c r="I84" s="71">
        <f t="shared" si="31"/>
        <v>388</v>
      </c>
      <c r="J84" s="71">
        <f t="shared" si="31"/>
        <v>380</v>
      </c>
      <c r="K84" s="71">
        <f t="shared" si="30"/>
        <v>370</v>
      </c>
      <c r="L84" s="71">
        <f t="shared" si="30"/>
        <v>365.5</v>
      </c>
      <c r="M84" s="71">
        <f t="shared" si="30"/>
        <v>372.9</v>
      </c>
      <c r="N84" s="71">
        <f t="shared" si="30"/>
        <v>0</v>
      </c>
      <c r="O84" s="71">
        <f t="shared" si="30"/>
        <v>0</v>
      </c>
      <c r="P84" s="71">
        <f t="shared" si="30"/>
        <v>166.4</v>
      </c>
      <c r="Q84" s="71">
        <f t="shared" si="30"/>
        <v>193</v>
      </c>
      <c r="R84" s="71">
        <f t="shared" si="30"/>
        <v>186.4</v>
      </c>
      <c r="S84" s="71">
        <f t="shared" si="30"/>
        <v>158</v>
      </c>
      <c r="T84" s="71">
        <f t="shared" si="30"/>
        <v>276</v>
      </c>
      <c r="U84" s="71">
        <f t="shared" si="30"/>
        <v>0</v>
      </c>
      <c r="V84" s="71">
        <f t="shared" si="30"/>
        <v>0</v>
      </c>
      <c r="W84" s="71">
        <f t="shared" si="30"/>
        <v>367.7</v>
      </c>
      <c r="X84" s="71">
        <f t="shared" si="30"/>
        <v>367.7</v>
      </c>
      <c r="Y84" s="71">
        <f t="shared" si="30"/>
        <v>122</v>
      </c>
      <c r="Z84" s="71">
        <f t="shared" si="30"/>
        <v>126.8</v>
      </c>
      <c r="AA84" s="71">
        <f t="shared" si="30"/>
        <v>57.8</v>
      </c>
      <c r="AB84" s="71">
        <f t="shared" si="30"/>
        <v>148.1</v>
      </c>
      <c r="AC84" s="71">
        <f t="shared" si="30"/>
        <v>191</v>
      </c>
      <c r="AD84" s="71">
        <f t="shared" si="30"/>
        <v>194.9</v>
      </c>
      <c r="AE84" s="71">
        <f t="shared" si="30"/>
        <v>260.5</v>
      </c>
      <c r="AF84" s="71">
        <f t="shared" si="30"/>
        <v>285</v>
      </c>
      <c r="AG84" s="144"/>
      <c r="AH84" s="54">
        <f t="shared" si="22"/>
        <v>390</v>
      </c>
      <c r="AI84" s="55">
        <f t="shared" si="25"/>
        <v>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>IF(B61&lt;0,B61*-1,0)</f>
        <v>0</v>
      </c>
      <c r="C85" s="71">
        <f t="shared" ref="C85:AF85" si="32">IF(C61&lt;0,C61*-1,0)</f>
        <v>0</v>
      </c>
      <c r="D85" s="71">
        <f t="shared" si="32"/>
        <v>0</v>
      </c>
      <c r="E85" s="71">
        <f t="shared" si="32"/>
        <v>0</v>
      </c>
      <c r="F85" s="71">
        <f t="shared" si="32"/>
        <v>0</v>
      </c>
      <c r="G85" s="71">
        <f t="shared" si="32"/>
        <v>0</v>
      </c>
      <c r="H85" s="71">
        <f t="shared" ref="H85:J85" si="33">IF(H61&lt;0,H61*-1,0)</f>
        <v>0</v>
      </c>
      <c r="I85" s="71">
        <f t="shared" si="33"/>
        <v>0</v>
      </c>
      <c r="J85" s="71">
        <f t="shared" si="33"/>
        <v>0</v>
      </c>
      <c r="K85" s="71">
        <f t="shared" si="32"/>
        <v>0</v>
      </c>
      <c r="L85" s="71">
        <f t="shared" si="32"/>
        <v>0</v>
      </c>
      <c r="M85" s="71">
        <f t="shared" si="32"/>
        <v>0</v>
      </c>
      <c r="N85" s="71">
        <f t="shared" si="32"/>
        <v>0</v>
      </c>
      <c r="O85" s="71">
        <f t="shared" si="32"/>
        <v>0</v>
      </c>
      <c r="P85" s="71">
        <f t="shared" si="32"/>
        <v>0</v>
      </c>
      <c r="Q85" s="71">
        <f t="shared" si="32"/>
        <v>0</v>
      </c>
      <c r="R85" s="71">
        <f t="shared" si="32"/>
        <v>0</v>
      </c>
      <c r="S85" s="71">
        <f t="shared" si="32"/>
        <v>0</v>
      </c>
      <c r="T85" s="71">
        <f t="shared" si="32"/>
        <v>0</v>
      </c>
      <c r="U85" s="71">
        <f t="shared" si="32"/>
        <v>0</v>
      </c>
      <c r="V85" s="71">
        <f t="shared" si="32"/>
        <v>0</v>
      </c>
      <c r="W85" s="71">
        <f t="shared" si="32"/>
        <v>0</v>
      </c>
      <c r="X85" s="71">
        <f t="shared" si="32"/>
        <v>0</v>
      </c>
      <c r="Y85" s="71">
        <f t="shared" si="32"/>
        <v>0</v>
      </c>
      <c r="Z85" s="71">
        <f t="shared" si="32"/>
        <v>0</v>
      </c>
      <c r="AA85" s="71">
        <f t="shared" si="32"/>
        <v>0</v>
      </c>
      <c r="AB85" s="71">
        <f t="shared" si="32"/>
        <v>0</v>
      </c>
      <c r="AC85" s="71">
        <f t="shared" si="32"/>
        <v>0</v>
      </c>
      <c r="AD85" s="71">
        <f t="shared" si="32"/>
        <v>0</v>
      </c>
      <c r="AE85" s="71">
        <f t="shared" si="32"/>
        <v>0</v>
      </c>
      <c r="AF85" s="71">
        <f t="shared" si="32"/>
        <v>0</v>
      </c>
      <c r="AG85" s="144"/>
      <c r="AH85" s="54">
        <f t="shared" si="22"/>
        <v>0</v>
      </c>
      <c r="AI85" s="55">
        <f t="shared" si="25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/>
      <c r="AD86" s="74"/>
      <c r="AE86" s="74"/>
      <c r="AF86" s="74"/>
      <c r="AG86" s="141"/>
      <c r="AH86" s="54">
        <f t="shared" si="22"/>
        <v>0</v>
      </c>
      <c r="AI86" s="55">
        <f t="shared" si="25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>SUM(B81:B86)</f>
        <v>363.3</v>
      </c>
      <c r="C87" s="66">
        <f t="shared" ref="C87:AF87" si="34">SUM(C81:C86)</f>
        <v>373</v>
      </c>
      <c r="D87" s="66">
        <f t="shared" si="34"/>
        <v>368</v>
      </c>
      <c r="E87" s="66">
        <f t="shared" si="34"/>
        <v>365</v>
      </c>
      <c r="F87" s="66">
        <f t="shared" si="34"/>
        <v>376</v>
      </c>
      <c r="G87" s="66">
        <f t="shared" si="34"/>
        <v>388</v>
      </c>
      <c r="H87" s="66">
        <f t="shared" ref="H87:J87" si="35">SUM(H81:H86)</f>
        <v>390</v>
      </c>
      <c r="I87" s="66">
        <f t="shared" si="35"/>
        <v>388</v>
      </c>
      <c r="J87" s="66">
        <f t="shared" si="35"/>
        <v>380</v>
      </c>
      <c r="K87" s="66">
        <f t="shared" si="34"/>
        <v>370</v>
      </c>
      <c r="L87" s="66">
        <f t="shared" si="34"/>
        <v>365.5</v>
      </c>
      <c r="M87" s="66">
        <f t="shared" si="34"/>
        <v>372.9</v>
      </c>
      <c r="N87" s="66">
        <f t="shared" si="34"/>
        <v>0</v>
      </c>
      <c r="O87" s="66">
        <f t="shared" si="34"/>
        <v>0</v>
      </c>
      <c r="P87" s="66">
        <f t="shared" si="34"/>
        <v>166.4</v>
      </c>
      <c r="Q87" s="66">
        <f t="shared" si="34"/>
        <v>193</v>
      </c>
      <c r="R87" s="66">
        <f t="shared" si="34"/>
        <v>186.4</v>
      </c>
      <c r="S87" s="66">
        <f t="shared" si="34"/>
        <v>158</v>
      </c>
      <c r="T87" s="66">
        <f t="shared" si="34"/>
        <v>276</v>
      </c>
      <c r="U87" s="66">
        <f t="shared" si="34"/>
        <v>0</v>
      </c>
      <c r="V87" s="66">
        <f t="shared" si="34"/>
        <v>0</v>
      </c>
      <c r="W87" s="66">
        <f t="shared" si="34"/>
        <v>367.7</v>
      </c>
      <c r="X87" s="66">
        <f t="shared" si="34"/>
        <v>367.7</v>
      </c>
      <c r="Y87" s="66">
        <f t="shared" si="34"/>
        <v>122</v>
      </c>
      <c r="Z87" s="66">
        <f t="shared" si="34"/>
        <v>126.8</v>
      </c>
      <c r="AA87" s="66">
        <f t="shared" si="34"/>
        <v>57.8</v>
      </c>
      <c r="AB87" s="66">
        <f t="shared" si="34"/>
        <v>148.1</v>
      </c>
      <c r="AC87" s="66">
        <f t="shared" si="34"/>
        <v>191</v>
      </c>
      <c r="AD87" s="66">
        <f t="shared" si="34"/>
        <v>194.9</v>
      </c>
      <c r="AE87" s="66">
        <f t="shared" si="34"/>
        <v>260.5</v>
      </c>
      <c r="AF87" s="66">
        <f t="shared" si="34"/>
        <v>285</v>
      </c>
      <c r="AG87" s="138"/>
      <c r="AH87" s="54">
        <f t="shared" si="22"/>
        <v>390</v>
      </c>
      <c r="AI87" s="55">
        <f t="shared" si="25"/>
        <v>0</v>
      </c>
      <c r="AK87" s="56"/>
    </row>
    <row r="88" spans="1:88" s="1" customFormat="1" ht="15.75" thickBot="1" x14ac:dyDescent="0.3">
      <c r="A88" s="65" t="s">
        <v>64</v>
      </c>
      <c r="B88" s="66">
        <f>B72-B87</f>
        <v>-300.3</v>
      </c>
      <c r="C88" s="66">
        <f t="shared" ref="C88:AF88" si="36">C72-C87</f>
        <v>-346</v>
      </c>
      <c r="D88" s="66">
        <f t="shared" si="36"/>
        <v>-348.1</v>
      </c>
      <c r="E88" s="66">
        <f t="shared" si="36"/>
        <v>-345.1</v>
      </c>
      <c r="F88" s="66">
        <f t="shared" si="36"/>
        <v>-354.5</v>
      </c>
      <c r="G88" s="66">
        <f t="shared" si="36"/>
        <v>-366.9</v>
      </c>
      <c r="H88" s="66">
        <f t="shared" ref="H88:J88" si="37">H72-H87</f>
        <v>-368.9</v>
      </c>
      <c r="I88" s="66">
        <f t="shared" si="37"/>
        <v>-366</v>
      </c>
      <c r="J88" s="66">
        <f t="shared" si="37"/>
        <v>-346</v>
      </c>
      <c r="K88" s="66">
        <f t="shared" si="36"/>
        <v>-344.7</v>
      </c>
      <c r="L88" s="66">
        <f t="shared" si="36"/>
        <v>-340.2</v>
      </c>
      <c r="M88" s="66">
        <f t="shared" si="36"/>
        <v>-344.5</v>
      </c>
      <c r="N88" s="66">
        <f t="shared" si="36"/>
        <v>53.5</v>
      </c>
      <c r="O88" s="66">
        <f t="shared" si="36"/>
        <v>58.300000000000004</v>
      </c>
      <c r="P88" s="66">
        <f t="shared" si="36"/>
        <v>-109.9</v>
      </c>
      <c r="Q88" s="66">
        <f t="shared" si="36"/>
        <v>-136.80000000000001</v>
      </c>
      <c r="R88" s="66">
        <f t="shared" si="36"/>
        <v>-119</v>
      </c>
      <c r="S88" s="66">
        <f t="shared" si="36"/>
        <v>-94</v>
      </c>
      <c r="T88" s="66">
        <f t="shared" si="36"/>
        <v>-211</v>
      </c>
      <c r="U88" s="66">
        <f t="shared" si="36"/>
        <v>0</v>
      </c>
      <c r="V88" s="66">
        <f t="shared" si="36"/>
        <v>0</v>
      </c>
      <c r="W88" s="66">
        <f t="shared" si="36"/>
        <v>-310.7</v>
      </c>
      <c r="X88" s="66">
        <f t="shared" si="36"/>
        <v>-310.7</v>
      </c>
      <c r="Y88" s="66">
        <f t="shared" si="36"/>
        <v>-67</v>
      </c>
      <c r="Z88" s="66">
        <f t="shared" si="36"/>
        <v>-75.400000000000006</v>
      </c>
      <c r="AA88" s="66">
        <f t="shared" si="36"/>
        <v>6.1000000000000014</v>
      </c>
      <c r="AB88" s="66">
        <f t="shared" si="36"/>
        <v>-75.199999999999989</v>
      </c>
      <c r="AC88" s="66">
        <f t="shared" si="36"/>
        <v>-115.9</v>
      </c>
      <c r="AD88" s="66">
        <f t="shared" si="36"/>
        <v>-119.80000000000001</v>
      </c>
      <c r="AE88" s="66">
        <f t="shared" si="36"/>
        <v>-187.8</v>
      </c>
      <c r="AF88" s="66">
        <f t="shared" si="36"/>
        <v>-212.9</v>
      </c>
      <c r="AG88" s="138"/>
      <c r="AH88" s="54">
        <f t="shared" si="22"/>
        <v>58.300000000000004</v>
      </c>
      <c r="AI88" s="55">
        <f t="shared" si="25"/>
        <v>-368.9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50</v>
      </c>
      <c r="C89" s="80">
        <v>50.024999999999999</v>
      </c>
      <c r="D89" s="80">
        <v>50.027999999999999</v>
      </c>
      <c r="E89" s="80">
        <v>50.04</v>
      </c>
      <c r="F89" s="80">
        <v>49.96</v>
      </c>
      <c r="G89" s="80">
        <v>50.01</v>
      </c>
      <c r="H89" s="80">
        <v>50.01</v>
      </c>
      <c r="I89" s="80">
        <v>50.01</v>
      </c>
      <c r="J89" s="80">
        <v>49.96</v>
      </c>
      <c r="K89" s="80">
        <v>49.94</v>
      </c>
      <c r="L89" s="80">
        <v>50.02</v>
      </c>
      <c r="M89" s="80">
        <v>50.040999999999997</v>
      </c>
      <c r="N89" s="80">
        <v>50.1</v>
      </c>
      <c r="O89" s="80">
        <v>50.183999999999997</v>
      </c>
      <c r="P89" s="80">
        <v>50.127000000000002</v>
      </c>
      <c r="Q89" s="80">
        <v>49.962000000000003</v>
      </c>
      <c r="R89" s="80">
        <v>49.966000000000001</v>
      </c>
      <c r="S89" s="80">
        <v>49.966000000000001</v>
      </c>
      <c r="T89" s="80">
        <v>50.05</v>
      </c>
      <c r="U89" s="80"/>
      <c r="V89" s="80"/>
      <c r="W89" s="80">
        <v>50.05</v>
      </c>
      <c r="X89" s="80">
        <v>50.05</v>
      </c>
      <c r="Y89" s="80">
        <v>50.04</v>
      </c>
      <c r="Z89" s="80">
        <v>50.03</v>
      </c>
      <c r="AA89" s="80">
        <v>49.942999999999998</v>
      </c>
      <c r="AB89" s="80">
        <v>49.963000000000001</v>
      </c>
      <c r="AC89" s="80">
        <v>50.042000000000002</v>
      </c>
      <c r="AD89" s="80">
        <v>50.012999999999998</v>
      </c>
      <c r="AE89" s="80">
        <v>50.064999999999998</v>
      </c>
      <c r="AF89" s="80">
        <v>50.02</v>
      </c>
      <c r="AG89" s="145"/>
      <c r="AH89" s="54">
        <f t="shared" si="22"/>
        <v>50.183999999999997</v>
      </c>
      <c r="AI89" s="55">
        <f t="shared" si="25"/>
        <v>49.94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122</v>
      </c>
      <c r="C90" s="48">
        <v>124.6</v>
      </c>
      <c r="D90" s="48">
        <v>124.6</v>
      </c>
      <c r="E90" s="48">
        <v>124.7</v>
      </c>
      <c r="F90" s="48">
        <v>125.3</v>
      </c>
      <c r="G90" s="48">
        <v>125.1</v>
      </c>
      <c r="H90" s="48">
        <v>125.1</v>
      </c>
      <c r="I90" s="48">
        <v>125.1</v>
      </c>
      <c r="J90" s="48">
        <v>124.8</v>
      </c>
      <c r="K90" s="48">
        <v>123.6</v>
      </c>
      <c r="L90" s="48">
        <v>123.5</v>
      </c>
      <c r="M90" s="48">
        <v>123.2</v>
      </c>
      <c r="N90" s="48">
        <v>124.5</v>
      </c>
      <c r="O90" s="48">
        <v>124.5</v>
      </c>
      <c r="P90" s="48">
        <v>122.3</v>
      </c>
      <c r="Q90" s="48">
        <v>120.4</v>
      </c>
      <c r="R90" s="48">
        <v>121.3</v>
      </c>
      <c r="S90" s="48">
        <v>121.3</v>
      </c>
      <c r="T90" s="48">
        <v>121.3</v>
      </c>
      <c r="U90" s="48"/>
      <c r="V90" s="48"/>
      <c r="W90" s="48">
        <v>124.2</v>
      </c>
      <c r="X90" s="48">
        <v>124.2</v>
      </c>
      <c r="Y90" s="48">
        <v>125</v>
      </c>
      <c r="Z90" s="48">
        <v>125.1</v>
      </c>
      <c r="AA90" s="48">
        <v>123.3</v>
      </c>
      <c r="AB90" s="48">
        <v>125.5</v>
      </c>
      <c r="AC90" s="48">
        <v>124.9</v>
      </c>
      <c r="AD90" s="48">
        <v>124.7</v>
      </c>
      <c r="AE90" s="48">
        <v>123.3</v>
      </c>
      <c r="AF90" s="48">
        <v>122.5</v>
      </c>
      <c r="AG90" s="146"/>
      <c r="AH90" s="54">
        <f t="shared" si="22"/>
        <v>125.5</v>
      </c>
      <c r="AI90" s="55">
        <f t="shared" si="25"/>
        <v>120.4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128.5</v>
      </c>
      <c r="C91" s="48">
        <v>129.5</v>
      </c>
      <c r="D91" s="48">
        <v>129.5</v>
      </c>
      <c r="E91" s="48">
        <v>129.69999999999999</v>
      </c>
      <c r="F91" s="48">
        <v>129.4</v>
      </c>
      <c r="G91" s="48">
        <v>129.5</v>
      </c>
      <c r="H91" s="48">
        <v>129.5</v>
      </c>
      <c r="I91" s="48">
        <v>129.5</v>
      </c>
      <c r="J91" s="48">
        <v>128</v>
      </c>
      <c r="K91" s="48">
        <v>127.7</v>
      </c>
      <c r="L91" s="48">
        <v>127.5</v>
      </c>
      <c r="M91" s="48">
        <v>127</v>
      </c>
      <c r="N91" s="48">
        <v>128.1</v>
      </c>
      <c r="O91" s="48">
        <v>128.1</v>
      </c>
      <c r="P91" s="48">
        <v>125.2</v>
      </c>
      <c r="Q91" s="48">
        <v>123.8</v>
      </c>
      <c r="R91" s="48">
        <v>125</v>
      </c>
      <c r="S91" s="48">
        <v>125</v>
      </c>
      <c r="T91" s="48">
        <v>125.4</v>
      </c>
      <c r="U91" s="48"/>
      <c r="V91" s="48"/>
      <c r="W91" s="48">
        <v>128.6</v>
      </c>
      <c r="X91" s="48">
        <v>128.6</v>
      </c>
      <c r="Y91" s="48">
        <v>128.80000000000001</v>
      </c>
      <c r="Z91" s="48">
        <v>129</v>
      </c>
      <c r="AA91" s="48">
        <v>127.9</v>
      </c>
      <c r="AB91" s="48">
        <v>129.6</v>
      </c>
      <c r="AC91" s="48">
        <v>128.6</v>
      </c>
      <c r="AD91" s="48">
        <v>128.5</v>
      </c>
      <c r="AE91" s="48">
        <v>128.5</v>
      </c>
      <c r="AF91" s="48">
        <v>127.8</v>
      </c>
      <c r="AG91" s="146"/>
      <c r="AH91" s="54">
        <f t="shared" si="22"/>
        <v>129.69999999999999</v>
      </c>
      <c r="AI91" s="55">
        <f t="shared" si="25"/>
        <v>123.8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129.69999999999999</v>
      </c>
      <c r="C92" s="48">
        <v>128.5</v>
      </c>
      <c r="D92" s="48">
        <v>128.5</v>
      </c>
      <c r="E92" s="48">
        <v>130.4</v>
      </c>
      <c r="F92" s="48">
        <v>129.6</v>
      </c>
      <c r="G92" s="48">
        <v>130.30000000000001</v>
      </c>
      <c r="H92" s="48">
        <v>130.30000000000001</v>
      </c>
      <c r="I92" s="48">
        <v>130.30000000000001</v>
      </c>
      <c r="J92" s="48">
        <v>130.30000000000001</v>
      </c>
      <c r="K92" s="48">
        <v>130.9</v>
      </c>
      <c r="L92" s="48">
        <v>128.5</v>
      </c>
      <c r="M92" s="48">
        <v>129</v>
      </c>
      <c r="N92" s="48">
        <v>129.5</v>
      </c>
      <c r="O92" s="48">
        <v>129.5</v>
      </c>
      <c r="P92" s="48">
        <v>129.4</v>
      </c>
      <c r="Q92" s="48">
        <v>128.69999999999999</v>
      </c>
      <c r="R92" s="48">
        <v>130.69999999999999</v>
      </c>
      <c r="S92" s="48">
        <v>130.69999999999999</v>
      </c>
      <c r="T92" s="48">
        <v>131.69999999999999</v>
      </c>
      <c r="U92" s="48"/>
      <c r="V92" s="48"/>
      <c r="W92" s="48">
        <v>131.19999999999999</v>
      </c>
      <c r="X92" s="48">
        <v>131.19999999999999</v>
      </c>
      <c r="Y92" s="48">
        <v>129</v>
      </c>
      <c r="Z92" s="48">
        <v>129.9</v>
      </c>
      <c r="AA92" s="48">
        <v>127.3</v>
      </c>
      <c r="AB92" s="48">
        <v>128.5</v>
      </c>
      <c r="AC92" s="48">
        <v>131.30000000000001</v>
      </c>
      <c r="AD92" s="48">
        <v>128.9</v>
      </c>
      <c r="AE92" s="48">
        <v>127.4</v>
      </c>
      <c r="AF92" s="48">
        <v>127.7</v>
      </c>
      <c r="AG92" s="146"/>
      <c r="AH92" s="54">
        <f t="shared" si="22"/>
        <v>131.69999999999999</v>
      </c>
      <c r="AI92" s="55">
        <f t="shared" si="25"/>
        <v>127.3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146"/>
      <c r="AH93" s="54">
        <f t="shared" si="22"/>
        <v>0</v>
      </c>
      <c r="AI93" s="55">
        <f t="shared" si="25"/>
        <v>0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129.5</v>
      </c>
      <c r="C94" s="82">
        <v>130.69999999999999</v>
      </c>
      <c r="D94" s="82">
        <v>130.69999999999999</v>
      </c>
      <c r="E94" s="82">
        <v>132.80000000000001</v>
      </c>
      <c r="F94" s="82">
        <v>132.80000000000001</v>
      </c>
      <c r="G94" s="82">
        <v>134</v>
      </c>
      <c r="H94" s="82">
        <v>135</v>
      </c>
      <c r="I94" s="82">
        <v>133.4</v>
      </c>
      <c r="J94" s="82">
        <v>134</v>
      </c>
      <c r="K94" s="82">
        <v>132.9</v>
      </c>
      <c r="L94" s="82">
        <v>138.5</v>
      </c>
      <c r="M94" s="82">
        <v>129.19999999999999</v>
      </c>
      <c r="N94" s="82">
        <v>132.80000000000001</v>
      </c>
      <c r="O94" s="82">
        <v>132.80000000000001</v>
      </c>
      <c r="P94" s="82">
        <v>133.6</v>
      </c>
      <c r="Q94" s="82">
        <v>129.80000000000001</v>
      </c>
      <c r="R94" s="82">
        <v>131</v>
      </c>
      <c r="S94" s="82">
        <v>131</v>
      </c>
      <c r="T94" s="82">
        <v>130</v>
      </c>
      <c r="U94" s="82"/>
      <c r="V94" s="82"/>
      <c r="W94" s="82">
        <v>134</v>
      </c>
      <c r="X94" s="82">
        <v>134</v>
      </c>
      <c r="Y94" s="82">
        <v>131.1</v>
      </c>
      <c r="Z94" s="82">
        <v>131.69999999999999</v>
      </c>
      <c r="AA94" s="82">
        <v>129.69999999999999</v>
      </c>
      <c r="AB94" s="82">
        <v>133.1</v>
      </c>
      <c r="AC94" s="82">
        <v>134.19999999999999</v>
      </c>
      <c r="AD94" s="82">
        <v>131.6</v>
      </c>
      <c r="AE94" s="82">
        <v>132.1</v>
      </c>
      <c r="AF94" s="82">
        <v>131.19999999999999</v>
      </c>
      <c r="AG94" s="147"/>
      <c r="AH94" s="54">
        <f t="shared" si="22"/>
        <v>138.5</v>
      </c>
      <c r="AI94" s="55">
        <f t="shared" si="25"/>
        <v>129.19999999999999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126</v>
      </c>
      <c r="C95" s="48">
        <v>127</v>
      </c>
      <c r="D95" s="48">
        <v>127</v>
      </c>
      <c r="E95" s="48">
        <v>130.6</v>
      </c>
      <c r="F95" s="48">
        <v>130.6</v>
      </c>
      <c r="G95" s="48">
        <v>132.5</v>
      </c>
      <c r="H95" s="48">
        <v>132.5</v>
      </c>
      <c r="I95" s="48">
        <v>130.80000000000001</v>
      </c>
      <c r="J95" s="48">
        <v>129</v>
      </c>
      <c r="K95" s="48">
        <v>127</v>
      </c>
      <c r="L95" s="48">
        <v>131.5</v>
      </c>
      <c r="M95" s="48">
        <v>121.4</v>
      </c>
      <c r="N95" s="48">
        <v>127.2</v>
      </c>
      <c r="O95" s="48">
        <v>127.2</v>
      </c>
      <c r="P95" s="48">
        <v>122.6</v>
      </c>
      <c r="Q95" s="48">
        <v>124.4</v>
      </c>
      <c r="R95" s="48">
        <v>126.8</v>
      </c>
      <c r="S95" s="48">
        <v>126.8</v>
      </c>
      <c r="T95" s="48">
        <v>128.6</v>
      </c>
      <c r="U95" s="48"/>
      <c r="V95" s="48"/>
      <c r="W95" s="48">
        <v>135.30000000000001</v>
      </c>
      <c r="X95" s="48">
        <v>135.30000000000001</v>
      </c>
      <c r="Y95" s="48">
        <v>128.80000000000001</v>
      </c>
      <c r="Z95" s="48">
        <v>129</v>
      </c>
      <c r="AA95" s="48">
        <v>123.6</v>
      </c>
      <c r="AB95" s="48">
        <v>127.3</v>
      </c>
      <c r="AC95" s="48">
        <v>125.4</v>
      </c>
      <c r="AD95" s="48">
        <v>127</v>
      </c>
      <c r="AE95" s="48">
        <v>125</v>
      </c>
      <c r="AF95" s="48">
        <v>127.2</v>
      </c>
      <c r="AG95" s="146"/>
      <c r="AH95" s="54">
        <f t="shared" si="22"/>
        <v>135.30000000000001</v>
      </c>
      <c r="AI95" s="55">
        <f t="shared" si="25"/>
        <v>121.4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65</v>
      </c>
      <c r="C96" s="83">
        <v>65.5</v>
      </c>
      <c r="D96" s="83">
        <v>65.5</v>
      </c>
      <c r="E96" s="83">
        <v>65.599999999999994</v>
      </c>
      <c r="F96" s="83">
        <v>65.599999999999994</v>
      </c>
      <c r="G96" s="83">
        <v>65.400000000000006</v>
      </c>
      <c r="H96" s="83">
        <v>65.400000000000006</v>
      </c>
      <c r="I96" s="83">
        <v>65.400000000000006</v>
      </c>
      <c r="J96" s="83">
        <v>65.400000000000006</v>
      </c>
      <c r="K96" s="83">
        <v>64.099999999999994</v>
      </c>
      <c r="L96" s="83">
        <v>64.3</v>
      </c>
      <c r="M96" s="83">
        <v>63.9</v>
      </c>
      <c r="N96" s="83">
        <v>64.400000000000006</v>
      </c>
      <c r="O96" s="83">
        <v>64.400000000000006</v>
      </c>
      <c r="P96" s="83">
        <v>62.8</v>
      </c>
      <c r="Q96" s="83">
        <v>62.4</v>
      </c>
      <c r="R96" s="83">
        <v>62.5</v>
      </c>
      <c r="S96" s="83">
        <v>62.5</v>
      </c>
      <c r="T96" s="83">
        <v>62.9</v>
      </c>
      <c r="U96" s="83"/>
      <c r="V96" s="83"/>
      <c r="W96" s="83">
        <v>62.9</v>
      </c>
      <c r="X96" s="83">
        <v>62.9</v>
      </c>
      <c r="Y96" s="83">
        <v>65.2</v>
      </c>
      <c r="Z96" s="83">
        <v>65.099999999999994</v>
      </c>
      <c r="AA96" s="83">
        <v>64.7</v>
      </c>
      <c r="AB96" s="83">
        <v>65.2</v>
      </c>
      <c r="AC96" s="83">
        <v>65</v>
      </c>
      <c r="AD96" s="83">
        <v>65</v>
      </c>
      <c r="AE96" s="83">
        <v>65.3</v>
      </c>
      <c r="AF96" s="83">
        <v>64.599999999999994</v>
      </c>
      <c r="AG96" s="148"/>
      <c r="AH96" s="54">
        <f t="shared" si="22"/>
        <v>65.599999999999994</v>
      </c>
      <c r="AI96" s="55">
        <f t="shared" si="25"/>
        <v>62.4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22"/>
        <v>0</v>
      </c>
      <c r="AI97" s="55">
        <f t="shared" si="25"/>
        <v>0</v>
      </c>
    </row>
    <row r="98" spans="1:37" ht="15.75" thickBot="1" x14ac:dyDescent="0.3">
      <c r="A98" s="85" t="s">
        <v>73</v>
      </c>
      <c r="B98" s="86">
        <f t="shared" ref="B98:AF98" si="38">SUM(B15,B18,B21:B22,B46,B48:B49,B51,B53,B99:B102,B123,B129,B135,B144,B146,B158,B165,B168:B169,B176,B178,B180,B184:B186,B188:B190,B195,B201:B202,B204:B206,B214,B219)</f>
        <v>59.699999999999989</v>
      </c>
      <c r="C98" s="86">
        <f t="shared" si="38"/>
        <v>65.239999999999981</v>
      </c>
      <c r="D98" s="86">
        <f t="shared" si="38"/>
        <v>63.139999999999986</v>
      </c>
      <c r="E98" s="86">
        <f t="shared" si="38"/>
        <v>62.04</v>
      </c>
      <c r="F98" s="86">
        <f t="shared" si="38"/>
        <v>56.440000000000005</v>
      </c>
      <c r="G98" s="86">
        <f t="shared" si="38"/>
        <v>60.239999999999981</v>
      </c>
      <c r="H98" s="86">
        <f t="shared" si="38"/>
        <v>61.239999999999981</v>
      </c>
      <c r="I98" s="86">
        <f t="shared" ref="I98" si="39">SUM(I15,I18,I21:I22,I46,I48:I49,I51,I53,I99:I102,I123,I129,I135,I144,I146,I158,I165,I168:I169,I176,I178,I180,I184:I186,I188:I190,I195,I201:I202,I204:I206,I214,I219)</f>
        <v>62.239999999999981</v>
      </c>
      <c r="J98" s="86">
        <f t="shared" ref="J98" si="40">SUM(J15,J18,J21:J22,J46,J48:J49,J51,J53,J99:J102,J123,J129,J135,J144,J146,J158,J165,J168:J169,J176,J178,J180,J184:J186,J188:J190,J195,J201:J202,J204:J206,J214,J219)</f>
        <v>63.239999999999981</v>
      </c>
      <c r="K98" s="86">
        <f t="shared" si="38"/>
        <v>110.43999999999998</v>
      </c>
      <c r="L98" s="86">
        <f t="shared" si="38"/>
        <v>110.33999999999999</v>
      </c>
      <c r="M98" s="86">
        <f t="shared" si="38"/>
        <v>191.03999999999996</v>
      </c>
      <c r="N98" s="86">
        <f t="shared" si="38"/>
        <v>170.44</v>
      </c>
      <c r="O98" s="86">
        <f t="shared" si="38"/>
        <v>169.74</v>
      </c>
      <c r="P98" s="86">
        <f t="shared" si="38"/>
        <v>189.44</v>
      </c>
      <c r="Q98" s="86">
        <f t="shared" si="38"/>
        <v>195.79999999999998</v>
      </c>
      <c r="R98" s="86">
        <f t="shared" si="38"/>
        <v>207.70000000000002</v>
      </c>
      <c r="S98" s="86">
        <f t="shared" si="38"/>
        <v>209.9</v>
      </c>
      <c r="T98" s="86">
        <f t="shared" si="38"/>
        <v>220.9</v>
      </c>
      <c r="U98" s="86">
        <f t="shared" si="38"/>
        <v>0</v>
      </c>
      <c r="V98" s="86">
        <f t="shared" si="38"/>
        <v>0</v>
      </c>
      <c r="W98" s="86">
        <f t="shared" si="38"/>
        <v>204.79999999999998</v>
      </c>
      <c r="X98" s="86">
        <f t="shared" si="38"/>
        <v>195.79999999999998</v>
      </c>
      <c r="Y98" s="86">
        <f t="shared" si="38"/>
        <v>221.59999999999997</v>
      </c>
      <c r="Z98" s="86">
        <f t="shared" si="38"/>
        <v>244.39999999999998</v>
      </c>
      <c r="AA98" s="86">
        <f t="shared" si="38"/>
        <v>257.5</v>
      </c>
      <c r="AB98" s="86">
        <f t="shared" si="38"/>
        <v>218.2</v>
      </c>
      <c r="AC98" s="86">
        <f t="shared" si="38"/>
        <v>208.4</v>
      </c>
      <c r="AD98" s="86">
        <f t="shared" si="38"/>
        <v>163.29999999999998</v>
      </c>
      <c r="AE98" s="86">
        <f t="shared" si="38"/>
        <v>103.7</v>
      </c>
      <c r="AF98" s="86">
        <f t="shared" si="38"/>
        <v>60.999999999999986</v>
      </c>
      <c r="AG98" s="150"/>
      <c r="AH98" s="54">
        <f>MAX(C98:AF98)</f>
        <v>257.5</v>
      </c>
      <c r="AI98" s="55">
        <f>MIN(C98:AF98)</f>
        <v>0</v>
      </c>
    </row>
    <row r="99" spans="1:37" x14ac:dyDescent="0.25">
      <c r="A99" s="170" t="s">
        <v>74</v>
      </c>
      <c r="B99" s="87">
        <v>29.4</v>
      </c>
      <c r="C99" s="87">
        <v>21</v>
      </c>
      <c r="D99" s="87">
        <v>19.399999999999999</v>
      </c>
      <c r="E99" s="87">
        <v>22.4</v>
      </c>
      <c r="F99" s="87">
        <v>25.8</v>
      </c>
      <c r="G99" s="87">
        <v>24.6</v>
      </c>
      <c r="H99" s="87">
        <v>25.6</v>
      </c>
      <c r="I99" s="87">
        <v>26.6</v>
      </c>
      <c r="J99" s="87">
        <v>27.6</v>
      </c>
      <c r="K99" s="87">
        <v>30.6</v>
      </c>
      <c r="L99" s="87">
        <v>26.3</v>
      </c>
      <c r="M99" s="87">
        <v>27.7</v>
      </c>
      <c r="N99" s="87">
        <v>36.1</v>
      </c>
      <c r="O99" s="87">
        <v>41.2</v>
      </c>
      <c r="P99" s="87">
        <v>39.5</v>
      </c>
      <c r="Q99" s="87">
        <v>34.299999999999997</v>
      </c>
      <c r="R99" s="87">
        <v>27.4</v>
      </c>
      <c r="S99" s="87">
        <v>23</v>
      </c>
      <c r="T99" s="87">
        <v>39</v>
      </c>
      <c r="U99" s="87"/>
      <c r="V99" s="87"/>
      <c r="W99" s="87">
        <v>36.5</v>
      </c>
      <c r="X99" s="87">
        <v>37.5</v>
      </c>
      <c r="Y99" s="87">
        <v>39.299999999999997</v>
      </c>
      <c r="Z99" s="87">
        <v>39.1</v>
      </c>
      <c r="AA99" s="87">
        <v>29.4</v>
      </c>
      <c r="AB99" s="87">
        <v>29.5</v>
      </c>
      <c r="AC99" s="87">
        <v>29.8</v>
      </c>
      <c r="AD99" s="87">
        <v>30.6</v>
      </c>
      <c r="AE99" s="87">
        <v>33</v>
      </c>
      <c r="AF99" s="87">
        <v>32.1</v>
      </c>
      <c r="AG99" s="151">
        <v>75</v>
      </c>
      <c r="AH99" s="54">
        <f t="shared" ref="AH99:AH105" si="41">IF(ABS(MAX(C99:AF99))&gt;ABS(MIN(C99:AF99)),MAX(C99:AF99),MIN(C99:AF99))</f>
        <v>41.2</v>
      </c>
      <c r="AI99" s="89">
        <f t="shared" ref="AI99:AI105" si="42">INDEX($C$9:$AF$9,1,MATCH(AH99,C99:AF99,0))</f>
        <v>0.41666666666666702</v>
      </c>
    </row>
    <row r="100" spans="1:37" x14ac:dyDescent="0.25">
      <c r="A100" s="163" t="s">
        <v>75</v>
      </c>
      <c r="B100" s="90">
        <v>-127</v>
      </c>
      <c r="C100" s="90">
        <v>-114</v>
      </c>
      <c r="D100" s="90">
        <v>-114.8</v>
      </c>
      <c r="E100" s="90">
        <f>-56.3-59.9</f>
        <v>-116.19999999999999</v>
      </c>
      <c r="F100" s="90">
        <f>-56.8-60.9</f>
        <v>-117.69999999999999</v>
      </c>
      <c r="G100" s="90">
        <f>-50.3-53.8</f>
        <v>-104.1</v>
      </c>
      <c r="H100" s="90">
        <f>-50.3-53.8</f>
        <v>-104.1</v>
      </c>
      <c r="I100" s="90">
        <f t="shared" ref="I100:J100" si="43">-50.3-53.8</f>
        <v>-104.1</v>
      </c>
      <c r="J100" s="90">
        <f t="shared" si="43"/>
        <v>-104.1</v>
      </c>
      <c r="K100" s="90">
        <f>-43.9-43.3</f>
        <v>-87.199999999999989</v>
      </c>
      <c r="L100" s="90">
        <f>-51-46.5</f>
        <v>-97.5</v>
      </c>
      <c r="M100" s="90">
        <v>-107</v>
      </c>
      <c r="N100" s="90">
        <v>-102</v>
      </c>
      <c r="O100" s="90">
        <v>-110</v>
      </c>
      <c r="P100" s="90">
        <v>-64</v>
      </c>
      <c r="Q100" s="90">
        <v>-67</v>
      </c>
      <c r="R100" s="90">
        <v>-79</v>
      </c>
      <c r="S100" s="90">
        <v>-88</v>
      </c>
      <c r="T100" s="90">
        <v>-85</v>
      </c>
      <c r="U100" s="90"/>
      <c r="V100" s="90"/>
      <c r="W100" s="90">
        <f>-36-33.7</f>
        <v>-69.7</v>
      </c>
      <c r="X100" s="90">
        <f>-36-33.7</f>
        <v>-69.7</v>
      </c>
      <c r="Y100" s="90">
        <f>-30.3-29.5+4+1.5</f>
        <v>-54.3</v>
      </c>
      <c r="Z100" s="90">
        <f>-25.2-28.9</f>
        <v>-54.099999999999994</v>
      </c>
      <c r="AA100" s="90">
        <f>-18.8-25.4</f>
        <v>-44.2</v>
      </c>
      <c r="AB100" s="90">
        <v>-80.2</v>
      </c>
      <c r="AC100" s="90">
        <v>-83.6</v>
      </c>
      <c r="AD100" s="90">
        <v>-95</v>
      </c>
      <c r="AE100" s="90">
        <v>-132.5</v>
      </c>
      <c r="AF100" s="90">
        <v>-152.80000000000001</v>
      </c>
      <c r="AG100" s="151">
        <v>240</v>
      </c>
      <c r="AH100" s="54">
        <f t="shared" si="41"/>
        <v>-152.80000000000001</v>
      </c>
      <c r="AI100" s="89">
        <f t="shared" si="42"/>
        <v>0.95833333333333304</v>
      </c>
    </row>
    <row r="101" spans="1:37" x14ac:dyDescent="0.25">
      <c r="A101" s="163" t="s">
        <v>76</v>
      </c>
      <c r="B101" s="90">
        <v>-2</v>
      </c>
      <c r="C101" s="90">
        <v>-2</v>
      </c>
      <c r="D101" s="90">
        <v>-1.7</v>
      </c>
      <c r="E101" s="90">
        <v>-4.4000000000000004</v>
      </c>
      <c r="F101" s="90">
        <v>-1.9</v>
      </c>
      <c r="G101" s="90">
        <v>-0.5</v>
      </c>
      <c r="H101" s="90">
        <v>-0.5</v>
      </c>
      <c r="I101" s="90">
        <v>-0.5</v>
      </c>
      <c r="J101" s="90">
        <v>-0.5</v>
      </c>
      <c r="K101" s="90">
        <v>6.8</v>
      </c>
      <c r="L101" s="90">
        <v>21.3</v>
      </c>
      <c r="M101" s="90">
        <v>24.4</v>
      </c>
      <c r="N101" s="90">
        <v>26.3</v>
      </c>
      <c r="O101" s="90">
        <v>45.3</v>
      </c>
      <c r="P101" s="90">
        <v>12.4</v>
      </c>
      <c r="Q101" s="90">
        <v>20.7</v>
      </c>
      <c r="R101" s="90">
        <v>-2.8</v>
      </c>
      <c r="S101" s="90">
        <v>17</v>
      </c>
      <c r="T101" s="90">
        <v>14</v>
      </c>
      <c r="U101" s="90"/>
      <c r="V101" s="90"/>
      <c r="W101" s="90">
        <v>13.5</v>
      </c>
      <c r="X101" s="90">
        <v>13.5</v>
      </c>
      <c r="Y101" s="90">
        <v>28.7</v>
      </c>
      <c r="Z101" s="90">
        <v>28.2</v>
      </c>
      <c r="AA101" s="90">
        <v>42.5</v>
      </c>
      <c r="AB101" s="90">
        <v>47.4</v>
      </c>
      <c r="AC101" s="90">
        <v>45.3</v>
      </c>
      <c r="AD101" s="90">
        <v>42.9</v>
      </c>
      <c r="AE101" s="90">
        <v>19.8</v>
      </c>
      <c r="AF101" s="90">
        <v>-1.7</v>
      </c>
      <c r="AG101" s="151">
        <v>60</v>
      </c>
      <c r="AH101" s="54">
        <f t="shared" si="41"/>
        <v>47.4</v>
      </c>
      <c r="AI101" s="89">
        <f t="shared" si="42"/>
        <v>0.83333333333333337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0</v>
      </c>
      <c r="M102" s="91">
        <v>52.7</v>
      </c>
      <c r="N102" s="91">
        <v>16.8</v>
      </c>
      <c r="O102" s="91">
        <v>0</v>
      </c>
      <c r="P102" s="91">
        <v>68.5</v>
      </c>
      <c r="Q102" s="91">
        <v>72.7</v>
      </c>
      <c r="R102" s="91">
        <v>82.2</v>
      </c>
      <c r="S102" s="91">
        <v>62</v>
      </c>
      <c r="T102" s="91">
        <v>57</v>
      </c>
      <c r="U102" s="91"/>
      <c r="V102" s="91"/>
      <c r="W102" s="91">
        <v>28.6</v>
      </c>
      <c r="X102" s="91">
        <v>28.6</v>
      </c>
      <c r="Y102" s="91">
        <v>30</v>
      </c>
      <c r="Z102" s="91">
        <v>43.3</v>
      </c>
      <c r="AA102" s="91">
        <v>41.9</v>
      </c>
      <c r="AB102" s="91">
        <v>35.799999999999997</v>
      </c>
      <c r="AC102" s="91">
        <v>32.1</v>
      </c>
      <c r="AD102" s="91">
        <v>0</v>
      </c>
      <c r="AE102" s="91">
        <v>0</v>
      </c>
      <c r="AF102" s="91">
        <v>0</v>
      </c>
      <c r="AG102" s="152">
        <v>120</v>
      </c>
      <c r="AH102" s="54">
        <f t="shared" si="41"/>
        <v>82.2</v>
      </c>
      <c r="AI102" s="89">
        <f t="shared" si="42"/>
        <v>0.54166666666666696</v>
      </c>
    </row>
    <row r="103" spans="1:37" x14ac:dyDescent="0.25">
      <c r="A103" s="164" t="s">
        <v>78</v>
      </c>
      <c r="B103" s="91">
        <v>44.8</v>
      </c>
      <c r="C103" s="91">
        <v>48</v>
      </c>
      <c r="D103" s="91">
        <v>58.6</v>
      </c>
      <c r="E103" s="91">
        <v>53.6</v>
      </c>
      <c r="F103" s="91">
        <v>40.799999999999997</v>
      </c>
      <c r="G103" s="91">
        <v>52.3</v>
      </c>
      <c r="H103" s="91">
        <v>52.3</v>
      </c>
      <c r="I103" s="91">
        <v>52.3</v>
      </c>
      <c r="J103" s="91">
        <v>52.3</v>
      </c>
      <c r="K103" s="91">
        <v>42.3</v>
      </c>
      <c r="L103" s="91">
        <v>39.1</v>
      </c>
      <c r="M103" s="91">
        <v>43.8</v>
      </c>
      <c r="N103" s="91">
        <v>39.6</v>
      </c>
      <c r="O103" s="91">
        <v>2</v>
      </c>
      <c r="P103" s="91">
        <v>71</v>
      </c>
      <c r="Q103" s="91">
        <v>74.2</v>
      </c>
      <c r="R103" s="91">
        <v>79.5</v>
      </c>
      <c r="S103" s="91">
        <v>66</v>
      </c>
      <c r="T103" s="91">
        <v>56</v>
      </c>
      <c r="U103" s="91"/>
      <c r="V103" s="91"/>
      <c r="W103" s="91">
        <v>54.6</v>
      </c>
      <c r="X103" s="91">
        <v>54.6</v>
      </c>
      <c r="Y103" s="91">
        <v>50</v>
      </c>
      <c r="Z103" s="91">
        <v>64.8</v>
      </c>
      <c r="AA103" s="91">
        <v>81.2</v>
      </c>
      <c r="AB103" s="91">
        <v>46</v>
      </c>
      <c r="AC103" s="91">
        <v>41.7</v>
      </c>
      <c r="AD103" s="91">
        <v>32.200000000000003</v>
      </c>
      <c r="AE103" s="91">
        <v>32.9</v>
      </c>
      <c r="AF103" s="91">
        <v>15.6</v>
      </c>
      <c r="AG103" s="152"/>
      <c r="AH103" s="54">
        <f t="shared" si="41"/>
        <v>81.2</v>
      </c>
      <c r="AI103" s="89">
        <f t="shared" si="42"/>
        <v>0.8125</v>
      </c>
    </row>
    <row r="104" spans="1:37" x14ac:dyDescent="0.25">
      <c r="A104" s="164" t="s">
        <v>105</v>
      </c>
      <c r="B104" s="91">
        <v>11.9</v>
      </c>
      <c r="C104" s="91">
        <v>48.9</v>
      </c>
      <c r="D104" s="91">
        <v>49.3</v>
      </c>
      <c r="E104" s="91">
        <v>42.3</v>
      </c>
      <c r="F104" s="91">
        <v>10.199999999999999</v>
      </c>
      <c r="G104" s="91">
        <v>16.899999999999999</v>
      </c>
      <c r="H104" s="91">
        <v>16.899999999999999</v>
      </c>
      <c r="I104" s="91">
        <v>16.899999999999999</v>
      </c>
      <c r="J104" s="91">
        <v>16.899999999999999</v>
      </c>
      <c r="K104" s="91">
        <v>23.8</v>
      </c>
      <c r="L104" s="91">
        <v>29.1</v>
      </c>
      <c r="M104" s="91">
        <v>23.9</v>
      </c>
      <c r="N104" s="91">
        <v>-8.5</v>
      </c>
      <c r="O104" s="91">
        <v>-26.1</v>
      </c>
      <c r="P104" s="91">
        <v>-8.3000000000000007</v>
      </c>
      <c r="Q104" s="91">
        <v>-4.5</v>
      </c>
      <c r="R104" s="91">
        <v>25.8</v>
      </c>
      <c r="S104" s="91">
        <v>23</v>
      </c>
      <c r="T104" s="91">
        <v>23</v>
      </c>
      <c r="U104" s="91"/>
      <c r="V104" s="91"/>
      <c r="W104" s="91">
        <v>24.8</v>
      </c>
      <c r="X104" s="91">
        <v>24.8</v>
      </c>
      <c r="Y104" s="91">
        <v>-20</v>
      </c>
      <c r="Z104" s="91">
        <v>-11.3</v>
      </c>
      <c r="AA104" s="91">
        <v>20.8</v>
      </c>
      <c r="AB104" s="91">
        <v>17.2</v>
      </c>
      <c r="AC104" s="91">
        <v>13.1</v>
      </c>
      <c r="AD104" s="91">
        <v>7.2</v>
      </c>
      <c r="AE104" s="91">
        <v>-0.5</v>
      </c>
      <c r="AF104" s="91">
        <v>0</v>
      </c>
      <c r="AG104" s="153"/>
      <c r="AH104" s="54">
        <f t="shared" si="41"/>
        <v>49.3</v>
      </c>
      <c r="AI104" s="89">
        <f t="shared" si="42"/>
        <v>8.3333333333333301E-2</v>
      </c>
    </row>
    <row r="105" spans="1:37" ht="15.75" thickBot="1" x14ac:dyDescent="0.3">
      <c r="A105" s="171" t="s">
        <v>106</v>
      </c>
      <c r="B105" s="82">
        <v>97.5</v>
      </c>
      <c r="C105" s="82">
        <v>107</v>
      </c>
      <c r="D105" s="82">
        <v>109</v>
      </c>
      <c r="E105" s="82">
        <v>109.6</v>
      </c>
      <c r="F105" s="82">
        <v>111.8</v>
      </c>
      <c r="G105" s="82">
        <v>116.7</v>
      </c>
      <c r="H105" s="82">
        <v>116.7</v>
      </c>
      <c r="I105" s="82">
        <v>116.7</v>
      </c>
      <c r="J105" s="82">
        <v>116.7</v>
      </c>
      <c r="K105" s="82">
        <v>107.9</v>
      </c>
      <c r="L105" s="82">
        <v>102.7</v>
      </c>
      <c r="M105" s="82">
        <v>101.4</v>
      </c>
      <c r="N105" s="82">
        <v>105.6</v>
      </c>
      <c r="O105" s="82">
        <v>101.3</v>
      </c>
      <c r="P105" s="82">
        <v>102</v>
      </c>
      <c r="Q105" s="82">
        <v>111.9</v>
      </c>
      <c r="R105" s="82">
        <v>98.8</v>
      </c>
      <c r="S105" s="82">
        <v>98</v>
      </c>
      <c r="T105" s="82">
        <v>98</v>
      </c>
      <c r="U105" s="82"/>
      <c r="V105" s="82"/>
      <c r="W105" s="82">
        <v>92.1</v>
      </c>
      <c r="X105" s="82">
        <v>92.1</v>
      </c>
      <c r="Y105" s="82">
        <v>90</v>
      </c>
      <c r="Z105" s="82">
        <v>82.8</v>
      </c>
      <c r="AA105" s="82">
        <v>77.400000000000006</v>
      </c>
      <c r="AB105" s="82">
        <v>82.6</v>
      </c>
      <c r="AC105" s="82">
        <v>90.3</v>
      </c>
      <c r="AD105" s="82">
        <v>81.8</v>
      </c>
      <c r="AE105" s="82">
        <v>88.6</v>
      </c>
      <c r="AF105" s="82">
        <v>92.7</v>
      </c>
      <c r="AG105" s="153"/>
      <c r="AH105" s="54">
        <f t="shared" si="41"/>
        <v>116.7</v>
      </c>
      <c r="AI105" s="89">
        <f t="shared" si="42"/>
        <v>0.20833333333333301</v>
      </c>
    </row>
    <row r="106" spans="1:37" ht="15.75" thickBot="1" x14ac:dyDescent="0.3">
      <c r="A106" s="92" t="s">
        <v>79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154"/>
      <c r="AH106" s="94"/>
      <c r="AI106" s="55"/>
      <c r="AK106" s="56"/>
    </row>
    <row r="107" spans="1:37" x14ac:dyDescent="0.25">
      <c r="A107" s="162" t="s">
        <v>133</v>
      </c>
      <c r="B107" s="95"/>
      <c r="C107" s="53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6">
        <v>9.94</v>
      </c>
      <c r="AH107" s="54"/>
      <c r="AI107" s="55"/>
      <c r="AK107" s="56"/>
    </row>
    <row r="108" spans="1:37" x14ac:dyDescent="0.25">
      <c r="A108" s="163" t="s">
        <v>134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/>
      <c r="AH108" s="54"/>
      <c r="AI108" s="55"/>
      <c r="AK108" s="56"/>
    </row>
    <row r="109" spans="1:37" x14ac:dyDescent="0.25">
      <c r="A109" s="163" t="s">
        <v>135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136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137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138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139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140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141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142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143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144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145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146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147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148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149</v>
      </c>
      <c r="B123" s="97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9">
        <v>9.9</v>
      </c>
      <c r="AH123" s="54"/>
      <c r="AI123" s="55"/>
      <c r="AK123" s="56"/>
    </row>
    <row r="124" spans="1:37" x14ac:dyDescent="0.25">
      <c r="A124" s="164" t="s">
        <v>80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100">
        <v>9.6579999999999995</v>
      </c>
      <c r="AH124" s="54"/>
      <c r="AI124" s="55"/>
      <c r="AK124" s="56"/>
    </row>
    <row r="125" spans="1:37" x14ac:dyDescent="0.25">
      <c r="A125" s="164" t="s">
        <v>150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</v>
      </c>
      <c r="AH125" s="54"/>
      <c r="AI125" s="55"/>
      <c r="AK125" s="56"/>
    </row>
    <row r="126" spans="1:37" x14ac:dyDescent="0.25">
      <c r="A126" s="164" t="s">
        <v>151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9.51</v>
      </c>
      <c r="AH126" s="54"/>
      <c r="AI126" s="55"/>
      <c r="AK126" s="56"/>
    </row>
    <row r="127" spans="1:37" x14ac:dyDescent="0.25">
      <c r="A127" s="164" t="s">
        <v>152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9.4</v>
      </c>
      <c r="AH127" s="54"/>
      <c r="AI127" s="55"/>
      <c r="AK127" s="56"/>
    </row>
    <row r="128" spans="1:37" x14ac:dyDescent="0.25">
      <c r="A128" s="164" t="s">
        <v>153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8.8000000000000007</v>
      </c>
      <c r="AH128" s="54"/>
      <c r="AI128" s="55"/>
      <c r="AK128" s="56"/>
    </row>
    <row r="129" spans="1:37" x14ac:dyDescent="0.25">
      <c r="A129" s="164" t="s">
        <v>154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8.5</v>
      </c>
      <c r="AH129" s="54"/>
      <c r="AI129" s="55"/>
      <c r="AK129" s="56"/>
    </row>
    <row r="130" spans="1:37" x14ac:dyDescent="0.25">
      <c r="A130" s="164" t="s">
        <v>155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156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8.4</v>
      </c>
      <c r="AH131" s="54"/>
      <c r="AI131" s="55"/>
      <c r="AK131" s="56"/>
    </row>
    <row r="132" spans="1:37" ht="13.5" customHeight="1" x14ac:dyDescent="0.25">
      <c r="A132" s="164" t="s">
        <v>157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</v>
      </c>
      <c r="AH132" s="54"/>
      <c r="AI132" s="55"/>
      <c r="AK132" s="56"/>
    </row>
    <row r="133" spans="1:37" x14ac:dyDescent="0.25">
      <c r="A133" s="164" t="s">
        <v>158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159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160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7.8</v>
      </c>
      <c r="AH135" s="54"/>
      <c r="AI135" s="55"/>
      <c r="AK135" s="56"/>
    </row>
    <row r="136" spans="1:37" x14ac:dyDescent="0.25">
      <c r="A136" s="164" t="s">
        <v>161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7.6</v>
      </c>
      <c r="AH136" s="54"/>
      <c r="AI136" s="55"/>
      <c r="AK136" s="56"/>
    </row>
    <row r="137" spans="1:37" x14ac:dyDescent="0.25">
      <c r="A137" s="164" t="s">
        <v>162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7.5</v>
      </c>
      <c r="AH137" s="54"/>
      <c r="AI137" s="55"/>
      <c r="AK137" s="56"/>
    </row>
    <row r="138" spans="1:37" x14ac:dyDescent="0.25">
      <c r="A138" s="164" t="s">
        <v>163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164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</v>
      </c>
      <c r="AH139" s="54"/>
      <c r="AI139" s="55"/>
      <c r="AK139" s="56"/>
    </row>
    <row r="140" spans="1:37" x14ac:dyDescent="0.25">
      <c r="A140" s="164" t="s">
        <v>165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166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167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168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6.6</v>
      </c>
      <c r="AH143" s="54"/>
      <c r="AI143" s="55"/>
      <c r="AK143" s="56"/>
    </row>
    <row r="144" spans="1:37" x14ac:dyDescent="0.25">
      <c r="A144" s="164" t="s">
        <v>169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170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6.4</v>
      </c>
      <c r="AH145" s="54"/>
      <c r="AI145" s="55"/>
      <c r="AK145" s="56"/>
    </row>
    <row r="146" spans="1:37" x14ac:dyDescent="0.25">
      <c r="A146" s="164" t="s">
        <v>171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</v>
      </c>
      <c r="AH146" s="54"/>
      <c r="AI146" s="55"/>
      <c r="AK146" s="56"/>
    </row>
    <row r="147" spans="1:37" x14ac:dyDescent="0.25">
      <c r="A147" s="164" t="s">
        <v>172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5.0999999999999996</v>
      </c>
      <c r="AH147" s="54"/>
      <c r="AI147" s="55"/>
      <c r="AK147" s="56"/>
    </row>
    <row r="148" spans="1:37" x14ac:dyDescent="0.25">
      <c r="A148" s="164" t="s">
        <v>173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</v>
      </c>
      <c r="AH148" s="54"/>
      <c r="AI148" s="55"/>
      <c r="AK148" s="56"/>
    </row>
    <row r="149" spans="1:37" x14ac:dyDescent="0.25">
      <c r="A149" s="163" t="s">
        <v>174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9">
        <v>5</v>
      </c>
      <c r="AH149" s="54"/>
      <c r="AI149" s="55"/>
      <c r="AK149" s="56"/>
    </row>
    <row r="150" spans="1:37" x14ac:dyDescent="0.25">
      <c r="A150" s="164" t="s">
        <v>175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100">
        <v>5</v>
      </c>
      <c r="AH150" s="54"/>
      <c r="AI150" s="55"/>
      <c r="AK150" s="56"/>
    </row>
    <row r="151" spans="1:37" x14ac:dyDescent="0.25">
      <c r="A151" s="164" t="s">
        <v>176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177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178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179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180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4.9930000000000003</v>
      </c>
      <c r="AH155" s="54"/>
      <c r="AI155" s="55"/>
      <c r="AK155" s="56"/>
    </row>
    <row r="156" spans="1:37" x14ac:dyDescent="0.25">
      <c r="A156" s="164" t="s">
        <v>181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4.9800000000000004</v>
      </c>
      <c r="AH156" s="54"/>
      <c r="AI156" s="55"/>
      <c r="AK156" s="56"/>
    </row>
    <row r="157" spans="1:37" x14ac:dyDescent="0.25">
      <c r="A157" s="164" t="s">
        <v>182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4.95</v>
      </c>
      <c r="AH157" s="54"/>
      <c r="AI157" s="55"/>
      <c r="AK157" s="56"/>
    </row>
    <row r="158" spans="1:37" x14ac:dyDescent="0.25">
      <c r="A158" s="164" t="s">
        <v>81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183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4.8</v>
      </c>
      <c r="AH159" s="54"/>
      <c r="AI159" s="55"/>
      <c r="AK159" s="56"/>
    </row>
    <row r="160" spans="1:37" x14ac:dyDescent="0.25">
      <c r="A160" s="164" t="s">
        <v>184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185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186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4.5</v>
      </c>
      <c r="AH162" s="54"/>
      <c r="AI162" s="55"/>
      <c r="AK162" s="56"/>
    </row>
    <row r="163" spans="1:37" x14ac:dyDescent="0.25">
      <c r="A163" s="164" t="s">
        <v>187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188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4.4550000000000001</v>
      </c>
      <c r="AH164" s="54"/>
      <c r="AI164" s="55"/>
      <c r="AK164" s="56"/>
    </row>
    <row r="165" spans="1:37" x14ac:dyDescent="0.25">
      <c r="A165" s="164" t="s">
        <v>189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4.41</v>
      </c>
      <c r="AH165" s="54"/>
      <c r="AI165" s="55"/>
      <c r="AK165" s="56"/>
    </row>
    <row r="166" spans="1:37" x14ac:dyDescent="0.25">
      <c r="A166" s="164" t="s">
        <v>190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4.4000000000000004</v>
      </c>
      <c r="AH166" s="54"/>
      <c r="AI166" s="55"/>
      <c r="AK166" s="56"/>
    </row>
    <row r="167" spans="1:37" x14ac:dyDescent="0.25">
      <c r="A167" s="164" t="s">
        <v>191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4.3600000000000003</v>
      </c>
      <c r="AH167" s="54"/>
      <c r="AI167" s="55"/>
      <c r="AK167" s="56"/>
    </row>
    <row r="168" spans="1:37" x14ac:dyDescent="0.25">
      <c r="A168" s="164" t="s">
        <v>192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4.2</v>
      </c>
      <c r="AH168" s="54"/>
      <c r="AI168" s="55"/>
      <c r="AK168" s="56"/>
    </row>
    <row r="169" spans="1:37" x14ac:dyDescent="0.25">
      <c r="A169" s="164" t="s">
        <v>193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</v>
      </c>
      <c r="AH169" s="54"/>
      <c r="AI169" s="55"/>
      <c r="AK169" s="56"/>
    </row>
    <row r="170" spans="1:37" x14ac:dyDescent="0.25">
      <c r="A170" s="164" t="s">
        <v>194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195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196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197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198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199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200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201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3.75</v>
      </c>
      <c r="AH177" s="54"/>
      <c r="AI177" s="55"/>
      <c r="AK177" s="56"/>
    </row>
    <row r="178" spans="1:37" x14ac:dyDescent="0.25">
      <c r="A178" s="164" t="s">
        <v>202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3.52</v>
      </c>
      <c r="AH178" s="54"/>
      <c r="AI178" s="55"/>
      <c r="AK178" s="56"/>
    </row>
    <row r="179" spans="1:37" x14ac:dyDescent="0.25">
      <c r="A179" s="164" t="s">
        <v>203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3.33</v>
      </c>
      <c r="AH179" s="54"/>
      <c r="AI179" s="55"/>
      <c r="AK179" s="56"/>
    </row>
    <row r="180" spans="1:37" x14ac:dyDescent="0.25">
      <c r="A180" s="164" t="s">
        <v>204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3.2</v>
      </c>
      <c r="AH180" s="54"/>
      <c r="AI180" s="55"/>
      <c r="AK180" s="56"/>
    </row>
    <row r="181" spans="1:37" x14ac:dyDescent="0.25">
      <c r="A181" s="164" t="s">
        <v>205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</v>
      </c>
      <c r="AH181" s="54"/>
      <c r="AI181" s="55"/>
      <c r="AK181" s="56"/>
    </row>
    <row r="182" spans="1:37" x14ac:dyDescent="0.25">
      <c r="A182" s="164" t="s">
        <v>206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207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208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209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210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211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212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213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2.83</v>
      </c>
      <c r="AH189" s="54"/>
      <c r="AI189" s="55"/>
      <c r="AK189" s="56"/>
    </row>
    <row r="190" spans="1:37" x14ac:dyDescent="0.25">
      <c r="A190" s="164" t="s">
        <v>214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2.5</v>
      </c>
      <c r="AH190" s="54"/>
      <c r="AI190" s="55"/>
      <c r="AK190" s="56"/>
    </row>
    <row r="191" spans="1:37" x14ac:dyDescent="0.25">
      <c r="A191" s="164" t="s">
        <v>215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216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2.4</v>
      </c>
      <c r="AH192" s="54"/>
      <c r="AI192" s="55"/>
      <c r="AK192" s="56"/>
    </row>
    <row r="193" spans="1:37" x14ac:dyDescent="0.25">
      <c r="A193" s="164" t="s">
        <v>217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218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2.2000000000000002</v>
      </c>
      <c r="AH194" s="54"/>
      <c r="AI194" s="55"/>
      <c r="AK194" s="56"/>
    </row>
    <row r="195" spans="1:37" x14ac:dyDescent="0.25">
      <c r="A195" s="164" t="s">
        <v>219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</v>
      </c>
      <c r="AH195" s="54"/>
      <c r="AI195" s="55"/>
      <c r="AK195" s="56"/>
    </row>
    <row r="196" spans="1:37" x14ac:dyDescent="0.25">
      <c r="A196" s="164" t="s">
        <v>220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221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222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1.8</v>
      </c>
      <c r="AH198" s="54"/>
      <c r="AI198" s="55"/>
      <c r="AK198" s="56"/>
    </row>
    <row r="199" spans="1:37" x14ac:dyDescent="0.25">
      <c r="A199" s="164" t="s">
        <v>223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224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1.65</v>
      </c>
      <c r="AH200" s="54"/>
      <c r="AI200" s="55"/>
      <c r="AK200" s="56"/>
    </row>
    <row r="201" spans="1:37" x14ac:dyDescent="0.25">
      <c r="A201" s="164" t="s">
        <v>225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1.5</v>
      </c>
      <c r="AH201" s="54"/>
      <c r="AI201" s="55"/>
      <c r="AK201" s="56"/>
    </row>
    <row r="202" spans="1:37" x14ac:dyDescent="0.25">
      <c r="A202" s="164" t="s">
        <v>226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0.998</v>
      </c>
      <c r="AH202" s="54"/>
      <c r="AI202" s="55"/>
      <c r="AK202" s="56"/>
    </row>
    <row r="203" spans="1:37" x14ac:dyDescent="0.25">
      <c r="A203" s="164" t="s">
        <v>227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0.997</v>
      </c>
      <c r="AH203" s="54"/>
      <c r="AI203" s="55"/>
      <c r="AK203" s="56"/>
    </row>
    <row r="204" spans="1:37" x14ac:dyDescent="0.25">
      <c r="A204" s="164" t="s">
        <v>228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229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0.996</v>
      </c>
      <c r="AH205" s="54"/>
      <c r="AI205" s="55"/>
      <c r="AK205" s="56"/>
    </row>
    <row r="206" spans="1:37" x14ac:dyDescent="0.25">
      <c r="A206" s="164" t="s">
        <v>230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231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232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0.995</v>
      </c>
      <c r="AH208" s="54"/>
      <c r="AI208" s="55"/>
      <c r="AK208" s="56"/>
    </row>
    <row r="209" spans="1:37" x14ac:dyDescent="0.25">
      <c r="A209" s="164" t="s">
        <v>233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0.99299999999999999</v>
      </c>
      <c r="AH209" s="54"/>
      <c r="AI209" s="55"/>
      <c r="AK209" s="56"/>
    </row>
    <row r="210" spans="1:37" x14ac:dyDescent="0.25">
      <c r="A210" s="164" t="s">
        <v>234</v>
      </c>
      <c r="B210" s="97"/>
      <c r="C210" s="53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</v>
      </c>
      <c r="AH210" s="54"/>
      <c r="AI210" s="55"/>
      <c r="AK210" s="56"/>
    </row>
    <row r="211" spans="1:37" ht="15.75" thickBot="1" x14ac:dyDescent="0.3">
      <c r="A211" s="164" t="s">
        <v>235</v>
      </c>
      <c r="B211" s="102"/>
      <c r="C211" s="166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0">
        <v>0.97899999999999998</v>
      </c>
      <c r="AH211" s="54"/>
      <c r="AI211" s="55"/>
      <c r="AK211" s="56"/>
    </row>
    <row r="212" spans="1:37" ht="15.75" thickBot="1" x14ac:dyDescent="0.3">
      <c r="A212" s="165" t="s">
        <v>82</v>
      </c>
      <c r="B212" s="167">
        <f>SUM(B107:B211)</f>
        <v>0</v>
      </c>
      <c r="C212" s="103">
        <f t="shared" ref="C212:AG212" si="44">SUM(C107:C211)</f>
        <v>0</v>
      </c>
      <c r="D212" s="103">
        <f t="shared" si="44"/>
        <v>0</v>
      </c>
      <c r="E212" s="103">
        <f t="shared" si="44"/>
        <v>0</v>
      </c>
      <c r="F212" s="103">
        <f t="shared" si="44"/>
        <v>0</v>
      </c>
      <c r="G212" s="103">
        <f t="shared" si="44"/>
        <v>0</v>
      </c>
      <c r="H212" s="103">
        <f t="shared" si="44"/>
        <v>0</v>
      </c>
      <c r="I212" s="103">
        <f t="shared" si="44"/>
        <v>0</v>
      </c>
      <c r="J212" s="103">
        <f t="shared" si="44"/>
        <v>0</v>
      </c>
      <c r="K212" s="103">
        <f t="shared" si="44"/>
        <v>0</v>
      </c>
      <c r="L212" s="103">
        <f t="shared" si="44"/>
        <v>0</v>
      </c>
      <c r="M212" s="103">
        <f t="shared" si="44"/>
        <v>0</v>
      </c>
      <c r="N212" s="103">
        <f t="shared" si="44"/>
        <v>0</v>
      </c>
      <c r="O212" s="103">
        <f t="shared" si="44"/>
        <v>0</v>
      </c>
      <c r="P212" s="103">
        <f t="shared" si="44"/>
        <v>0</v>
      </c>
      <c r="Q212" s="103">
        <f t="shared" si="44"/>
        <v>0</v>
      </c>
      <c r="R212" s="103">
        <f t="shared" si="44"/>
        <v>0</v>
      </c>
      <c r="S212" s="103">
        <f t="shared" si="44"/>
        <v>0</v>
      </c>
      <c r="T212" s="103">
        <f t="shared" si="44"/>
        <v>0</v>
      </c>
      <c r="U212" s="103">
        <f t="shared" si="44"/>
        <v>0</v>
      </c>
      <c r="V212" s="103">
        <f t="shared" si="44"/>
        <v>0</v>
      </c>
      <c r="W212" s="103">
        <f t="shared" si="44"/>
        <v>0</v>
      </c>
      <c r="X212" s="103">
        <f t="shared" si="44"/>
        <v>0</v>
      </c>
      <c r="Y212" s="103">
        <f t="shared" si="44"/>
        <v>0</v>
      </c>
      <c r="Z212" s="103">
        <f t="shared" si="44"/>
        <v>0</v>
      </c>
      <c r="AA212" s="103">
        <f t="shared" si="44"/>
        <v>0</v>
      </c>
      <c r="AB212" s="103">
        <f t="shared" si="44"/>
        <v>0</v>
      </c>
      <c r="AC212" s="103">
        <f t="shared" si="44"/>
        <v>0</v>
      </c>
      <c r="AD212" s="103">
        <f t="shared" si="44"/>
        <v>0</v>
      </c>
      <c r="AE212" s="103">
        <f t="shared" si="44"/>
        <v>0</v>
      </c>
      <c r="AF212" s="168">
        <f t="shared" si="44"/>
        <v>0</v>
      </c>
      <c r="AG212" s="169">
        <f t="shared" si="44"/>
        <v>412.72299999999984</v>
      </c>
      <c r="AH212" s="54"/>
      <c r="AI212" s="55"/>
      <c r="AK212" s="56"/>
    </row>
    <row r="213" spans="1:37" ht="15.75" thickBot="1" x14ac:dyDescent="0.3">
      <c r="A213" s="28" t="s">
        <v>35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149"/>
      <c r="AH213" s="54"/>
      <c r="AI213" s="55"/>
      <c r="AK213" s="56"/>
    </row>
    <row r="214" spans="1:37" x14ac:dyDescent="0.25">
      <c r="A214" s="170" t="s">
        <v>83</v>
      </c>
      <c r="B214" s="101">
        <f t="shared" ref="B214:B219" si="45">AF214</f>
        <v>0</v>
      </c>
      <c r="C214" s="101">
        <v>0.3</v>
      </c>
      <c r="D214" s="101">
        <f t="shared" ref="D214:P219" si="46">C214</f>
        <v>0.3</v>
      </c>
      <c r="E214" s="101">
        <f t="shared" si="46"/>
        <v>0.3</v>
      </c>
      <c r="F214" s="101">
        <f t="shared" si="46"/>
        <v>0.3</v>
      </c>
      <c r="G214" s="101">
        <f t="shared" si="46"/>
        <v>0.3</v>
      </c>
      <c r="H214" s="101">
        <f t="shared" si="46"/>
        <v>0.3</v>
      </c>
      <c r="I214" s="101">
        <f t="shared" si="46"/>
        <v>0.3</v>
      </c>
      <c r="J214" s="101">
        <f t="shared" si="46"/>
        <v>0.3</v>
      </c>
      <c r="K214" s="101">
        <f t="shared" si="46"/>
        <v>0.3</v>
      </c>
      <c r="L214" s="101">
        <f t="shared" si="46"/>
        <v>0.3</v>
      </c>
      <c r="M214" s="101">
        <f t="shared" si="46"/>
        <v>0.3</v>
      </c>
      <c r="N214" s="101">
        <f t="shared" si="46"/>
        <v>0.3</v>
      </c>
      <c r="O214" s="101">
        <f t="shared" si="46"/>
        <v>0.3</v>
      </c>
      <c r="P214" s="101">
        <f t="shared" si="46"/>
        <v>0.3</v>
      </c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55">
        <v>2.4</v>
      </c>
      <c r="AH214" s="54"/>
      <c r="AI214" s="55"/>
      <c r="AK214" s="56"/>
    </row>
    <row r="215" spans="1:37" x14ac:dyDescent="0.25">
      <c r="A215" s="163" t="s">
        <v>84</v>
      </c>
      <c r="B215" s="97">
        <f t="shared" si="45"/>
        <v>0</v>
      </c>
      <c r="C215" s="97">
        <v>0.4</v>
      </c>
      <c r="D215" s="97">
        <f t="shared" si="46"/>
        <v>0.4</v>
      </c>
      <c r="E215" s="97">
        <f t="shared" si="46"/>
        <v>0.4</v>
      </c>
      <c r="F215" s="97">
        <f t="shared" si="46"/>
        <v>0.4</v>
      </c>
      <c r="G215" s="97">
        <f t="shared" si="46"/>
        <v>0.4</v>
      </c>
      <c r="H215" s="97">
        <f t="shared" si="46"/>
        <v>0.4</v>
      </c>
      <c r="I215" s="97">
        <f t="shared" si="46"/>
        <v>0.4</v>
      </c>
      <c r="J215" s="97">
        <f t="shared" si="46"/>
        <v>0.4</v>
      </c>
      <c r="K215" s="97">
        <f t="shared" si="46"/>
        <v>0.4</v>
      </c>
      <c r="L215" s="97">
        <f t="shared" si="46"/>
        <v>0.4</v>
      </c>
      <c r="M215" s="97">
        <f t="shared" si="46"/>
        <v>0.4</v>
      </c>
      <c r="N215" s="97">
        <f t="shared" si="46"/>
        <v>0.4</v>
      </c>
      <c r="O215" s="97">
        <f t="shared" si="46"/>
        <v>0.4</v>
      </c>
      <c r="P215" s="97">
        <f t="shared" si="46"/>
        <v>0.4</v>
      </c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56">
        <v>2</v>
      </c>
      <c r="AH215" s="54"/>
      <c r="AI215" s="55"/>
      <c r="AK215" s="56"/>
    </row>
    <row r="216" spans="1:37" x14ac:dyDescent="0.25">
      <c r="A216" s="163" t="s">
        <v>85</v>
      </c>
      <c r="B216" s="97">
        <f t="shared" si="45"/>
        <v>0</v>
      </c>
      <c r="C216" s="97">
        <v>1.5</v>
      </c>
      <c r="D216" s="97">
        <f t="shared" si="46"/>
        <v>1.5</v>
      </c>
      <c r="E216" s="97">
        <f t="shared" si="46"/>
        <v>1.5</v>
      </c>
      <c r="F216" s="97">
        <f t="shared" si="46"/>
        <v>1.5</v>
      </c>
      <c r="G216" s="97">
        <f t="shared" si="46"/>
        <v>1.5</v>
      </c>
      <c r="H216" s="97">
        <f t="shared" si="46"/>
        <v>1.5</v>
      </c>
      <c r="I216" s="97">
        <f t="shared" si="46"/>
        <v>1.5</v>
      </c>
      <c r="J216" s="97">
        <f t="shared" si="46"/>
        <v>1.5</v>
      </c>
      <c r="K216" s="97">
        <f t="shared" si="46"/>
        <v>1.5</v>
      </c>
      <c r="L216" s="97">
        <f t="shared" si="46"/>
        <v>1.5</v>
      </c>
      <c r="M216" s="97">
        <f t="shared" si="46"/>
        <v>1.5</v>
      </c>
      <c r="N216" s="97">
        <f t="shared" si="46"/>
        <v>1.5</v>
      </c>
      <c r="O216" s="97">
        <f t="shared" si="46"/>
        <v>1.5</v>
      </c>
      <c r="P216" s="97">
        <f t="shared" si="46"/>
        <v>1.5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1.5</v>
      </c>
      <c r="AH216" s="54"/>
      <c r="AI216" s="55"/>
      <c r="AK216" s="56"/>
    </row>
    <row r="217" spans="1:37" x14ac:dyDescent="0.25">
      <c r="A217" s="163" t="s">
        <v>86</v>
      </c>
      <c r="B217" s="97">
        <f t="shared" si="45"/>
        <v>0</v>
      </c>
      <c r="C217" s="97">
        <v>0.3</v>
      </c>
      <c r="D217" s="97">
        <f t="shared" si="46"/>
        <v>0.3</v>
      </c>
      <c r="E217" s="97">
        <f t="shared" si="46"/>
        <v>0.3</v>
      </c>
      <c r="F217" s="97">
        <f t="shared" si="46"/>
        <v>0.3</v>
      </c>
      <c r="G217" s="97">
        <f t="shared" si="46"/>
        <v>0.3</v>
      </c>
      <c r="H217" s="97">
        <f t="shared" si="46"/>
        <v>0.3</v>
      </c>
      <c r="I217" s="97">
        <f t="shared" si="46"/>
        <v>0.3</v>
      </c>
      <c r="J217" s="97">
        <f t="shared" si="46"/>
        <v>0.3</v>
      </c>
      <c r="K217" s="97">
        <f t="shared" si="46"/>
        <v>0.3</v>
      </c>
      <c r="L217" s="97">
        <f t="shared" si="46"/>
        <v>0.3</v>
      </c>
      <c r="M217" s="97">
        <f t="shared" si="46"/>
        <v>0.3</v>
      </c>
      <c r="N217" s="97">
        <f t="shared" si="46"/>
        <v>0.3</v>
      </c>
      <c r="O217" s="97">
        <f t="shared" si="46"/>
        <v>0.3</v>
      </c>
      <c r="P217" s="97">
        <f t="shared" si="46"/>
        <v>0.3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</v>
      </c>
      <c r="AH217" s="54"/>
      <c r="AI217" s="55"/>
      <c r="AK217" s="56"/>
    </row>
    <row r="218" spans="1:37" x14ac:dyDescent="0.25">
      <c r="A218" s="163" t="s">
        <v>87</v>
      </c>
      <c r="B218" s="97">
        <f t="shared" si="45"/>
        <v>0</v>
      </c>
      <c r="C218" s="97">
        <v>0.4</v>
      </c>
      <c r="D218" s="97">
        <f t="shared" si="46"/>
        <v>0.4</v>
      </c>
      <c r="E218" s="97">
        <f t="shared" si="46"/>
        <v>0.4</v>
      </c>
      <c r="F218" s="97">
        <f t="shared" si="46"/>
        <v>0.4</v>
      </c>
      <c r="G218" s="97">
        <f t="shared" si="46"/>
        <v>0.4</v>
      </c>
      <c r="H218" s="97">
        <f t="shared" si="46"/>
        <v>0.4</v>
      </c>
      <c r="I218" s="97">
        <f t="shared" si="46"/>
        <v>0.4</v>
      </c>
      <c r="J218" s="97">
        <f t="shared" si="46"/>
        <v>0.4</v>
      </c>
      <c r="K218" s="97">
        <f t="shared" si="46"/>
        <v>0.4</v>
      </c>
      <c r="L218" s="97">
        <f t="shared" si="46"/>
        <v>0.4</v>
      </c>
      <c r="M218" s="97">
        <f t="shared" si="46"/>
        <v>0.4</v>
      </c>
      <c r="N218" s="97">
        <f t="shared" si="46"/>
        <v>0.4</v>
      </c>
      <c r="O218" s="97">
        <f t="shared" si="46"/>
        <v>0.4</v>
      </c>
      <c r="P218" s="97">
        <f t="shared" si="46"/>
        <v>0.4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ht="15.75" thickBot="1" x14ac:dyDescent="0.3">
      <c r="A219" s="164" t="s">
        <v>88</v>
      </c>
      <c r="B219" s="102">
        <f t="shared" si="45"/>
        <v>0</v>
      </c>
      <c r="C219" s="102">
        <v>0.64</v>
      </c>
      <c r="D219" s="102">
        <f t="shared" si="46"/>
        <v>0.64</v>
      </c>
      <c r="E219" s="102">
        <f t="shared" si="46"/>
        <v>0.64</v>
      </c>
      <c r="F219" s="102">
        <f t="shared" si="46"/>
        <v>0.64</v>
      </c>
      <c r="G219" s="102">
        <f t="shared" si="46"/>
        <v>0.64</v>
      </c>
      <c r="H219" s="102">
        <f t="shared" si="46"/>
        <v>0.64</v>
      </c>
      <c r="I219" s="102">
        <f t="shared" si="46"/>
        <v>0.64</v>
      </c>
      <c r="J219" s="102">
        <f t="shared" si="46"/>
        <v>0.64</v>
      </c>
      <c r="K219" s="102">
        <f t="shared" si="46"/>
        <v>0.64</v>
      </c>
      <c r="L219" s="102">
        <f t="shared" si="46"/>
        <v>0.64</v>
      </c>
      <c r="M219" s="102">
        <f t="shared" si="46"/>
        <v>0.64</v>
      </c>
      <c r="N219" s="102">
        <f t="shared" si="46"/>
        <v>0.64</v>
      </c>
      <c r="O219" s="102">
        <f t="shared" si="46"/>
        <v>0.64</v>
      </c>
      <c r="P219" s="102">
        <f t="shared" si="46"/>
        <v>0.64</v>
      </c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57">
        <v>0.66</v>
      </c>
      <c r="AH219" s="54"/>
      <c r="AI219" s="55"/>
    </row>
    <row r="220" spans="1:37" ht="15.75" thickBot="1" x14ac:dyDescent="0.3">
      <c r="A220" s="173" t="s">
        <v>35</v>
      </c>
      <c r="B220" s="103">
        <f>SUM(B214:B219)</f>
        <v>0</v>
      </c>
      <c r="C220" s="103">
        <f>SUM(C214:C219)</f>
        <v>3.54</v>
      </c>
      <c r="D220" s="103">
        <f t="shared" ref="D220:L220" si="47">SUM(D214:D219)</f>
        <v>3.54</v>
      </c>
      <c r="E220" s="103">
        <f t="shared" si="47"/>
        <v>3.54</v>
      </c>
      <c r="F220" s="103">
        <f t="shared" si="47"/>
        <v>3.54</v>
      </c>
      <c r="G220" s="103">
        <f t="shared" si="47"/>
        <v>3.54</v>
      </c>
      <c r="H220" s="103">
        <f t="shared" si="47"/>
        <v>3.54</v>
      </c>
      <c r="I220" s="103">
        <f t="shared" si="47"/>
        <v>3.54</v>
      </c>
      <c r="J220" s="103">
        <f t="shared" si="47"/>
        <v>3.54</v>
      </c>
      <c r="K220" s="103">
        <f t="shared" si="47"/>
        <v>3.54</v>
      </c>
      <c r="L220" s="103">
        <f t="shared" si="47"/>
        <v>3.54</v>
      </c>
      <c r="M220" s="103">
        <f>SUM(M214:M219)</f>
        <v>3.54</v>
      </c>
      <c r="N220" s="103">
        <f t="shared" ref="N220:S220" si="48">SUM(N214:N219)</f>
        <v>3.54</v>
      </c>
      <c r="O220" s="103">
        <f t="shared" si="48"/>
        <v>3.54</v>
      </c>
      <c r="P220" s="103">
        <f t="shared" si="48"/>
        <v>3.54</v>
      </c>
      <c r="Q220" s="103">
        <f t="shared" si="48"/>
        <v>0</v>
      </c>
      <c r="R220" s="103">
        <f t="shared" si="48"/>
        <v>0</v>
      </c>
      <c r="S220" s="103">
        <f t="shared" si="48"/>
        <v>0</v>
      </c>
      <c r="T220" s="103">
        <f>SUM(T214:T219)</f>
        <v>0</v>
      </c>
      <c r="U220" s="103">
        <f t="shared" ref="U220:AG220" si="49">SUM(U214:U219)</f>
        <v>0</v>
      </c>
      <c r="V220" s="103">
        <f t="shared" si="49"/>
        <v>0</v>
      </c>
      <c r="W220" s="103">
        <f t="shared" si="49"/>
        <v>0</v>
      </c>
      <c r="X220" s="103">
        <f t="shared" si="49"/>
        <v>0</v>
      </c>
      <c r="Y220" s="103">
        <f t="shared" si="49"/>
        <v>0</v>
      </c>
      <c r="Z220" s="103">
        <f t="shared" si="49"/>
        <v>0</v>
      </c>
      <c r="AA220" s="103">
        <f t="shared" si="49"/>
        <v>0</v>
      </c>
      <c r="AB220" s="103">
        <f t="shared" si="49"/>
        <v>0</v>
      </c>
      <c r="AC220" s="103">
        <f t="shared" si="49"/>
        <v>0</v>
      </c>
      <c r="AD220" s="103">
        <f t="shared" si="49"/>
        <v>0</v>
      </c>
      <c r="AE220" s="103">
        <f t="shared" si="49"/>
        <v>0</v>
      </c>
      <c r="AF220" s="103">
        <f t="shared" si="49"/>
        <v>0</v>
      </c>
      <c r="AG220" s="158">
        <f t="shared" si="49"/>
        <v>8.56</v>
      </c>
      <c r="AH220" s="54"/>
      <c r="AI220" s="55"/>
    </row>
    <row r="221" spans="1:37" ht="15.75" thickBot="1" x14ac:dyDescent="0.3"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  <c r="AC221" s="179"/>
      <c r="AD221" s="179"/>
      <c r="AE221" s="179"/>
      <c r="AF221" s="179"/>
      <c r="AG221" s="84"/>
      <c r="AH221" s="179"/>
    </row>
    <row r="222" spans="1:37" x14ac:dyDescent="0.25">
      <c r="A222" s="79" t="s">
        <v>89</v>
      </c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5"/>
      <c r="AG222" s="179"/>
      <c r="AH222" s="54"/>
      <c r="AI222" s="55"/>
    </row>
    <row r="223" spans="1:37" x14ac:dyDescent="0.25">
      <c r="A223" s="106" t="s">
        <v>90</v>
      </c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8"/>
      <c r="AG223" s="109"/>
      <c r="AH223" s="54"/>
      <c r="AI223" s="55"/>
    </row>
    <row r="224" spans="1:37" x14ac:dyDescent="0.25">
      <c r="A224" s="81" t="s">
        <v>91</v>
      </c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1"/>
      <c r="AG224" s="109"/>
      <c r="AH224" s="54"/>
      <c r="AI224" s="55"/>
    </row>
    <row r="225" spans="1:50" x14ac:dyDescent="0.25">
      <c r="A225" s="81" t="s">
        <v>92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ht="15.75" thickBot="1" x14ac:dyDescent="0.3">
      <c r="A226" s="112" t="s">
        <v>93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4"/>
      <c r="AG226" s="109"/>
      <c r="AH226" s="54"/>
      <c r="AI226" s="55"/>
    </row>
    <row r="227" spans="1:50" x14ac:dyDescent="0.25"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  <c r="AC227" s="179"/>
      <c r="AD227" s="179"/>
      <c r="AE227" s="179"/>
      <c r="AF227" s="179"/>
      <c r="AG227" s="179"/>
      <c r="AH227" s="179"/>
    </row>
    <row r="228" spans="1:50" x14ac:dyDescent="0.25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  <c r="AC228" s="179"/>
      <c r="AD228" s="179"/>
      <c r="AE228" s="179"/>
      <c r="AF228" s="179"/>
      <c r="AG228" s="179"/>
      <c r="AH228" s="179"/>
    </row>
    <row r="229" spans="1:50" x14ac:dyDescent="0.25">
      <c r="A229" s="115" t="s">
        <v>94</v>
      </c>
      <c r="B229" s="116">
        <f>MAX(G79:N79)</f>
        <v>1884.2400000000002</v>
      </c>
      <c r="C229" s="117">
        <f>INDEX(G9:N9,1,MATCH(MAX(G79:N79),G79:N79,0))</f>
        <v>0.33333333333333331</v>
      </c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  <c r="AC229" s="179"/>
      <c r="AD229" s="179"/>
      <c r="AE229" s="179"/>
      <c r="AF229" s="179"/>
      <c r="AG229" s="179"/>
      <c r="AH229" s="179"/>
    </row>
    <row r="230" spans="1:50" x14ac:dyDescent="0.25"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18" t="str">
        <f ca="1">MID(CELL("filename",C7),FIND("]",CELL("filename",C7))+1,600)</f>
        <v>26</v>
      </c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79"/>
      <c r="AH230" s="179"/>
    </row>
    <row r="231" spans="1:50" x14ac:dyDescent="0.25">
      <c r="A231" s="208" t="s">
        <v>95</v>
      </c>
      <c r="B231" s="208"/>
      <c r="C231" s="179"/>
      <c r="D231" s="118" t="str">
        <f ca="1">"Pie Chart of Daily Peak Demand(Inclusive of Export) of Nepal ("&amp;A4&amp;" "&amp;B4&amp;")"</f>
        <v>Pie Chart of Daily Peak Demand(Inclusive of Export) of Nepal (Nepali Date: 2079/02/26)</v>
      </c>
      <c r="E231" s="179"/>
      <c r="F231" s="179"/>
      <c r="G231" s="118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18" t="str">
        <f ca="1">"Daily Load Curve(Excluding of Export) of Nepal ("&amp;A4&amp;" "&amp;B4&amp;")"</f>
        <v>Daily Load Curve(Excluding of Export) of Nepal (Nepali Date: 2079/02/26)</v>
      </c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  <c r="AE231" s="179"/>
      <c r="AF231" s="179"/>
      <c r="AG231" s="179"/>
      <c r="AH231" s="179"/>
    </row>
    <row r="232" spans="1:50" ht="12.75" customHeight="1" thickBot="1" x14ac:dyDescent="0.3">
      <c r="A232" s="119" t="s">
        <v>7</v>
      </c>
      <c r="B232" s="120"/>
      <c r="C232" s="179"/>
      <c r="D232" s="121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  <c r="AC232" s="179"/>
      <c r="AD232" s="179"/>
      <c r="AE232" s="179"/>
      <c r="AF232" s="179"/>
      <c r="AG232" s="179"/>
      <c r="AH232" s="179"/>
    </row>
    <row r="233" spans="1:50" ht="15.75" thickTop="1" x14ac:dyDescent="0.25">
      <c r="A233" s="119" t="s">
        <v>96</v>
      </c>
      <c r="B233" s="120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22" t="s">
        <v>97</v>
      </c>
      <c r="T233" s="123">
        <v>0</v>
      </c>
      <c r="U233" s="124">
        <v>4.1666666666666664E-2</v>
      </c>
      <c r="V233" s="125">
        <v>8.3333333333333301E-2</v>
      </c>
      <c r="W233" s="125">
        <v>0.125</v>
      </c>
      <c r="X233" s="125">
        <v>0.16666666666666699</v>
      </c>
      <c r="Y233" s="125">
        <v>0.20833333333333301</v>
      </c>
      <c r="Z233" s="125">
        <v>0.22916666666666666</v>
      </c>
      <c r="AA233" s="125">
        <v>0.25</v>
      </c>
      <c r="AB233" s="125">
        <v>0.27083333333333331</v>
      </c>
      <c r="AC233" s="125">
        <v>0.29166666666666669</v>
      </c>
      <c r="AD233" s="125">
        <v>0.3125</v>
      </c>
      <c r="AE233" s="126">
        <v>0.33333333333333331</v>
      </c>
      <c r="AF233" s="126">
        <v>0.375</v>
      </c>
      <c r="AG233" s="126">
        <v>0.41666666666666702</v>
      </c>
      <c r="AH233" s="126">
        <v>0.45833333333333298</v>
      </c>
      <c r="AI233" s="126">
        <v>0.5</v>
      </c>
      <c r="AJ233" s="126">
        <v>0.54166666666666696</v>
      </c>
      <c r="AK233" s="126">
        <v>0.58333333333333304</v>
      </c>
      <c r="AL233" s="126">
        <v>0.625</v>
      </c>
      <c r="AM233" s="126">
        <v>0.66666666666666696</v>
      </c>
      <c r="AN233" s="126">
        <v>0.70833333333333304</v>
      </c>
      <c r="AO233" s="126">
        <v>0.72916666666666663</v>
      </c>
      <c r="AP233" s="126">
        <v>0.75</v>
      </c>
      <c r="AQ233" s="126">
        <v>0.77083333333333337</v>
      </c>
      <c r="AR233" s="126">
        <v>0.79166666666666663</v>
      </c>
      <c r="AS233" s="126">
        <v>0.8125</v>
      </c>
      <c r="AT233" s="125">
        <v>0.83333333333333337</v>
      </c>
      <c r="AU233" s="125">
        <v>0.85416666666666663</v>
      </c>
      <c r="AV233" s="125">
        <v>0.875</v>
      </c>
      <c r="AW233" s="125">
        <v>0.91666666666666696</v>
      </c>
      <c r="AX233" s="125">
        <v>0.95833333333333304</v>
      </c>
    </row>
    <row r="234" spans="1:50" x14ac:dyDescent="0.25">
      <c r="A234" s="119" t="s">
        <v>98</v>
      </c>
      <c r="B234" s="120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 t="s">
        <v>99</v>
      </c>
      <c r="T234" s="127">
        <f t="shared" ref="T234:AX234" si="50">B79</f>
        <v>1816.94</v>
      </c>
      <c r="U234" s="127">
        <f t="shared" si="50"/>
        <v>1769.24</v>
      </c>
      <c r="V234" s="127">
        <f t="shared" si="50"/>
        <v>1767.14</v>
      </c>
      <c r="W234" s="127">
        <f t="shared" si="50"/>
        <v>1767.94</v>
      </c>
      <c r="X234" s="127">
        <f t="shared" si="50"/>
        <v>1748.24</v>
      </c>
      <c r="Y234" s="127">
        <f t="shared" si="50"/>
        <v>1725.54</v>
      </c>
      <c r="Z234" s="127">
        <f t="shared" si="50"/>
        <v>1726.54</v>
      </c>
      <c r="AA234" s="127">
        <f t="shared" si="50"/>
        <v>1728.44</v>
      </c>
      <c r="AB234" s="127">
        <f t="shared" si="50"/>
        <v>1741.44</v>
      </c>
      <c r="AC234" s="127">
        <f t="shared" si="50"/>
        <v>1787.84</v>
      </c>
      <c r="AD234" s="127">
        <f t="shared" si="50"/>
        <v>1789.54</v>
      </c>
      <c r="AE234" s="127">
        <f t="shared" si="50"/>
        <v>1884.2400000000002</v>
      </c>
      <c r="AF234" s="127">
        <f t="shared" si="50"/>
        <v>1500.94</v>
      </c>
      <c r="AG234" s="127">
        <f t="shared" si="50"/>
        <v>1537.54</v>
      </c>
      <c r="AH234" s="127">
        <f t="shared" si="50"/>
        <v>1640.74</v>
      </c>
      <c r="AI234" s="127">
        <f t="shared" si="50"/>
        <v>1682.24</v>
      </c>
      <c r="AJ234" s="127">
        <f t="shared" si="50"/>
        <v>1750.54</v>
      </c>
      <c r="AK234" s="127">
        <f t="shared" si="50"/>
        <v>1720.44</v>
      </c>
      <c r="AL234" s="127">
        <f t="shared" si="50"/>
        <v>1785.1399999999999</v>
      </c>
      <c r="AM234" s="127">
        <f t="shared" si="50"/>
        <v>3.54</v>
      </c>
      <c r="AN234" s="127">
        <f t="shared" si="50"/>
        <v>3.54</v>
      </c>
      <c r="AO234" s="127">
        <f t="shared" si="50"/>
        <v>1853.1399999999999</v>
      </c>
      <c r="AP234" s="127">
        <f t="shared" si="50"/>
        <v>1841.6399999999999</v>
      </c>
      <c r="AQ234" s="127">
        <f t="shared" si="50"/>
        <v>1572.6399999999999</v>
      </c>
      <c r="AR234" s="127">
        <f t="shared" si="50"/>
        <v>1705.2400000000002</v>
      </c>
      <c r="AS234" s="127">
        <f t="shared" si="50"/>
        <v>1727.94</v>
      </c>
      <c r="AT234" s="127">
        <f t="shared" si="50"/>
        <v>1794.94</v>
      </c>
      <c r="AU234" s="127">
        <f t="shared" si="50"/>
        <v>1808.04</v>
      </c>
      <c r="AV234" s="127">
        <f t="shared" si="50"/>
        <v>1804.7399999999998</v>
      </c>
      <c r="AW234" s="127">
        <f t="shared" si="50"/>
        <v>1814.4399999999998</v>
      </c>
      <c r="AX234" s="127">
        <f t="shared" si="50"/>
        <v>1753.2399999999998</v>
      </c>
    </row>
    <row r="235" spans="1:50" x14ac:dyDescent="0.25">
      <c r="A235" s="119" t="s">
        <v>100</v>
      </c>
      <c r="B235" s="120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  <c r="AC235" s="179"/>
      <c r="AD235" s="179"/>
      <c r="AE235" s="179"/>
      <c r="AF235" s="179"/>
      <c r="AG235" s="179"/>
      <c r="AH235" s="179"/>
    </row>
    <row r="236" spans="1:50" x14ac:dyDescent="0.25">
      <c r="A236" s="119" t="s">
        <v>101</v>
      </c>
      <c r="B236" s="120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79"/>
      <c r="AE236" s="179"/>
      <c r="AF236" s="179"/>
      <c r="AG236" s="179"/>
      <c r="AH236" s="179"/>
    </row>
    <row r="237" spans="1:50" x14ac:dyDescent="0.25">
      <c r="A237" s="119" t="s">
        <v>102</v>
      </c>
      <c r="B237" s="120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  <c r="AE237" s="179"/>
      <c r="AF237" s="179"/>
      <c r="AG237" s="179"/>
      <c r="AH237" s="179"/>
    </row>
    <row r="238" spans="1:50" x14ac:dyDescent="0.25">
      <c r="A238" s="119" t="s">
        <v>103</v>
      </c>
      <c r="B238" s="128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  <c r="AE238" s="179"/>
      <c r="AF238" s="179"/>
      <c r="AG238" s="179"/>
      <c r="AH238" s="179"/>
    </row>
    <row r="239" spans="1:50" x14ac:dyDescent="0.25">
      <c r="A239" s="119" t="s">
        <v>104</v>
      </c>
      <c r="B239" s="120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</row>
    <row r="240" spans="1:50" x14ac:dyDescent="0.25"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  <c r="AD240" s="179"/>
      <c r="AE240" s="179"/>
      <c r="AF240" s="179"/>
      <c r="AG240" s="179"/>
      <c r="AH240" s="179"/>
    </row>
    <row r="241" spans="1:36" x14ac:dyDescent="0.25"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  <c r="AC241" s="179"/>
      <c r="AD241" s="179"/>
      <c r="AE241" s="179"/>
      <c r="AF241" s="179"/>
      <c r="AG241" s="179"/>
      <c r="AH241" s="179"/>
    </row>
    <row r="242" spans="1:36" x14ac:dyDescent="0.25"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  <c r="AC242" s="179"/>
      <c r="AD242" s="179"/>
      <c r="AE242" s="179"/>
      <c r="AF242" s="179"/>
      <c r="AG242" s="179"/>
      <c r="AH242" s="179"/>
    </row>
    <row r="243" spans="1:36" x14ac:dyDescent="0.25"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  <c r="AC243" s="179"/>
      <c r="AD243" s="179"/>
      <c r="AE243" s="179"/>
      <c r="AF243" s="179"/>
      <c r="AG243" s="179"/>
      <c r="AH243" s="179"/>
    </row>
    <row r="244" spans="1:36" x14ac:dyDescent="0.25"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  <c r="AC244" s="179"/>
      <c r="AD244" s="179"/>
      <c r="AE244" s="179"/>
      <c r="AF244" s="179"/>
      <c r="AG244" s="179"/>
      <c r="AH244" s="179"/>
    </row>
    <row r="245" spans="1:36" x14ac:dyDescent="0.25"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  <c r="AG245" s="179"/>
      <c r="AH245" s="179"/>
    </row>
    <row r="246" spans="1:36" x14ac:dyDescent="0.25"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  <c r="AC246" s="179"/>
      <c r="AD246" s="179"/>
      <c r="AE246" s="179"/>
      <c r="AF246" s="179"/>
      <c r="AG246" s="179"/>
      <c r="AH246" s="179"/>
      <c r="AJ246"/>
    </row>
    <row r="247" spans="1:36" x14ac:dyDescent="0.25"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  <c r="AC247" s="179"/>
      <c r="AD247" s="179"/>
      <c r="AE247" s="179"/>
      <c r="AF247" s="179"/>
      <c r="AG247" s="179"/>
      <c r="AH247" s="179"/>
      <c r="AJ247"/>
    </row>
    <row r="248" spans="1:36" x14ac:dyDescent="0.25"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  <c r="AC248" s="179"/>
      <c r="AD248" s="179"/>
      <c r="AE248" s="179"/>
      <c r="AF248" s="179"/>
      <c r="AG248" s="179"/>
      <c r="AH248" s="179"/>
      <c r="AJ248"/>
    </row>
    <row r="249" spans="1:36" x14ac:dyDescent="0.25"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  <c r="AC249" s="179"/>
      <c r="AD249" s="179"/>
      <c r="AE249" s="179"/>
      <c r="AF249" s="179"/>
      <c r="AG249" s="179"/>
      <c r="AH249" s="179"/>
      <c r="AJ249"/>
    </row>
    <row r="250" spans="1:36" x14ac:dyDescent="0.25"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  <c r="AC250" s="179"/>
      <c r="AD250" s="179"/>
      <c r="AE250" s="179"/>
      <c r="AF250" s="179"/>
      <c r="AG250" s="179"/>
      <c r="AH250" s="179"/>
      <c r="AJ250"/>
    </row>
    <row r="251" spans="1:36" x14ac:dyDescent="0.25"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  <c r="AE251" s="179"/>
      <c r="AF251" s="179"/>
      <c r="AG251" s="179"/>
      <c r="AH251" s="179"/>
      <c r="AJ251"/>
    </row>
    <row r="252" spans="1:36" x14ac:dyDescent="0.25"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  <c r="AC252" s="179"/>
      <c r="AD252" s="179"/>
      <c r="AE252" s="179"/>
      <c r="AF252" s="179"/>
      <c r="AG252" s="179"/>
      <c r="AH252" s="179"/>
      <c r="AJ252"/>
    </row>
    <row r="253" spans="1:36" x14ac:dyDescent="0.25"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J253"/>
    </row>
    <row r="254" spans="1:36" x14ac:dyDescent="0.25"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  <c r="AE254" s="179"/>
      <c r="AF254" s="179"/>
      <c r="AG254" s="179"/>
      <c r="AH254" s="179"/>
      <c r="AJ254"/>
    </row>
    <row r="255" spans="1:36" x14ac:dyDescent="0.25">
      <c r="A255" s="129" t="s">
        <v>89</v>
      </c>
      <c r="B255" s="130">
        <f t="shared" ref="B255:AE255" si="51">C219</f>
        <v>0.64</v>
      </c>
      <c r="C255" s="130">
        <f t="shared" si="51"/>
        <v>0.64</v>
      </c>
      <c r="D255" s="130">
        <f t="shared" si="51"/>
        <v>0.64</v>
      </c>
      <c r="E255" s="130">
        <f t="shared" si="51"/>
        <v>0.64</v>
      </c>
      <c r="F255" s="130">
        <f t="shared" si="51"/>
        <v>0.64</v>
      </c>
      <c r="G255" s="130">
        <f t="shared" si="51"/>
        <v>0.64</v>
      </c>
      <c r="H255" s="130">
        <f t="shared" si="51"/>
        <v>0.64</v>
      </c>
      <c r="I255" s="130">
        <f t="shared" si="51"/>
        <v>0.64</v>
      </c>
      <c r="J255" s="130">
        <f t="shared" si="51"/>
        <v>0.64</v>
      </c>
      <c r="K255" s="130">
        <f t="shared" si="51"/>
        <v>0.64</v>
      </c>
      <c r="L255" s="130">
        <f t="shared" si="51"/>
        <v>0.64</v>
      </c>
      <c r="M255" s="130">
        <f t="shared" si="51"/>
        <v>0.64</v>
      </c>
      <c r="N255" s="130">
        <f t="shared" si="51"/>
        <v>0.64</v>
      </c>
      <c r="O255" s="130">
        <f t="shared" si="51"/>
        <v>0.64</v>
      </c>
      <c r="P255" s="130">
        <f t="shared" si="51"/>
        <v>0</v>
      </c>
      <c r="Q255" s="130">
        <f t="shared" si="51"/>
        <v>0</v>
      </c>
      <c r="R255" s="130">
        <f t="shared" si="51"/>
        <v>0</v>
      </c>
      <c r="S255" s="130">
        <f t="shared" si="51"/>
        <v>0</v>
      </c>
      <c r="T255" s="130">
        <f t="shared" si="51"/>
        <v>0</v>
      </c>
      <c r="U255" s="130">
        <f t="shared" si="51"/>
        <v>0</v>
      </c>
      <c r="V255" s="130">
        <f t="shared" si="51"/>
        <v>0</v>
      </c>
      <c r="W255" s="130">
        <f t="shared" si="51"/>
        <v>0</v>
      </c>
      <c r="X255" s="130">
        <f t="shared" si="51"/>
        <v>0</v>
      </c>
      <c r="Y255" s="130">
        <f t="shared" si="51"/>
        <v>0</v>
      </c>
      <c r="Z255" s="130">
        <f t="shared" si="51"/>
        <v>0</v>
      </c>
      <c r="AA255" s="130">
        <f t="shared" si="51"/>
        <v>0</v>
      </c>
      <c r="AB255" s="130">
        <f t="shared" si="51"/>
        <v>0</v>
      </c>
      <c r="AC255" s="130">
        <f t="shared" si="51"/>
        <v>0</v>
      </c>
      <c r="AD255" s="130">
        <f t="shared" si="51"/>
        <v>0</v>
      </c>
      <c r="AE255" s="130">
        <f t="shared" si="51"/>
        <v>0</v>
      </c>
      <c r="AF255" s="130">
        <f>B219</f>
        <v>0</v>
      </c>
      <c r="AG255" s="179"/>
      <c r="AH255" s="179"/>
      <c r="AJ255"/>
    </row>
    <row r="256" spans="1:36" x14ac:dyDescent="0.25">
      <c r="A256" s="88" t="str">
        <f>A223</f>
        <v>KGA</v>
      </c>
      <c r="B256" s="88" t="str">
        <f>IF(B223&lt;100,"",B223-520)</f>
        <v/>
      </c>
      <c r="C256" s="88" t="str">
        <f t="shared" ref="C256:AF256" si="52">IF(C223&lt;100,"",C223-520)</f>
        <v/>
      </c>
      <c r="D256" s="88" t="str">
        <f t="shared" si="52"/>
        <v/>
      </c>
      <c r="E256" s="88" t="str">
        <f t="shared" si="52"/>
        <v/>
      </c>
      <c r="F256" s="88" t="str">
        <f t="shared" si="52"/>
        <v/>
      </c>
      <c r="G256" s="88" t="str">
        <f t="shared" si="52"/>
        <v/>
      </c>
      <c r="H256" s="88" t="str">
        <f t="shared" si="52"/>
        <v/>
      </c>
      <c r="I256" s="88" t="str">
        <f t="shared" si="52"/>
        <v/>
      </c>
      <c r="J256" s="88" t="str">
        <f t="shared" si="52"/>
        <v/>
      </c>
      <c r="K256" s="88" t="str">
        <f t="shared" si="52"/>
        <v/>
      </c>
      <c r="L256" s="88" t="str">
        <f t="shared" si="52"/>
        <v/>
      </c>
      <c r="M256" s="88" t="str">
        <f t="shared" si="52"/>
        <v/>
      </c>
      <c r="N256" s="88" t="str">
        <f t="shared" si="52"/>
        <v/>
      </c>
      <c r="O256" s="88" t="str">
        <f t="shared" si="52"/>
        <v/>
      </c>
      <c r="P256" s="88" t="str">
        <f t="shared" si="52"/>
        <v/>
      </c>
      <c r="Q256" s="88" t="str">
        <f t="shared" si="52"/>
        <v/>
      </c>
      <c r="R256" s="88" t="str">
        <f t="shared" si="52"/>
        <v/>
      </c>
      <c r="S256" s="88" t="str">
        <f t="shared" si="52"/>
        <v/>
      </c>
      <c r="T256" s="88" t="str">
        <f t="shared" si="52"/>
        <v/>
      </c>
      <c r="U256" s="88" t="str">
        <f t="shared" si="52"/>
        <v/>
      </c>
      <c r="V256" s="88" t="str">
        <f t="shared" si="52"/>
        <v/>
      </c>
      <c r="W256" s="88" t="str">
        <f t="shared" si="52"/>
        <v/>
      </c>
      <c r="X256" s="88" t="str">
        <f t="shared" si="52"/>
        <v/>
      </c>
      <c r="Y256" s="88" t="str">
        <f t="shared" si="52"/>
        <v/>
      </c>
      <c r="Z256" s="88" t="str">
        <f t="shared" si="52"/>
        <v/>
      </c>
      <c r="AA256" s="88" t="str">
        <f t="shared" si="52"/>
        <v/>
      </c>
      <c r="AB256" s="88" t="str">
        <f t="shared" si="52"/>
        <v/>
      </c>
      <c r="AC256" s="88" t="str">
        <f t="shared" si="52"/>
        <v/>
      </c>
      <c r="AD256" s="88" t="str">
        <f t="shared" si="52"/>
        <v/>
      </c>
      <c r="AE256" s="88" t="str">
        <f t="shared" si="52"/>
        <v/>
      </c>
      <c r="AF256" s="88" t="str">
        <f t="shared" si="52"/>
        <v/>
      </c>
      <c r="AG256" s="179"/>
      <c r="AH256" s="179"/>
      <c r="AJ256"/>
    </row>
    <row r="257" spans="1:36" x14ac:dyDescent="0.25">
      <c r="A257" s="88" t="str">
        <f>A224</f>
        <v>MMRS</v>
      </c>
      <c r="B257" s="88" t="str">
        <f t="shared" ref="B257:AF257" si="53">IF(B224&lt;100,"",B224-620)</f>
        <v/>
      </c>
      <c r="C257" s="88" t="str">
        <f t="shared" si="53"/>
        <v/>
      </c>
      <c r="D257" s="88" t="str">
        <f t="shared" si="53"/>
        <v/>
      </c>
      <c r="E257" s="88" t="str">
        <f t="shared" si="53"/>
        <v/>
      </c>
      <c r="F257" s="88" t="str">
        <f t="shared" si="53"/>
        <v/>
      </c>
      <c r="G257" s="88" t="str">
        <f t="shared" si="53"/>
        <v/>
      </c>
      <c r="H257" s="88" t="str">
        <f t="shared" si="53"/>
        <v/>
      </c>
      <c r="I257" s="88" t="str">
        <f t="shared" si="53"/>
        <v/>
      </c>
      <c r="J257" s="88" t="str">
        <f t="shared" si="53"/>
        <v/>
      </c>
      <c r="K257" s="88" t="str">
        <f t="shared" si="53"/>
        <v/>
      </c>
      <c r="L257" s="88" t="str">
        <f t="shared" si="53"/>
        <v/>
      </c>
      <c r="M257" s="88" t="str">
        <f t="shared" si="53"/>
        <v/>
      </c>
      <c r="N257" s="88" t="str">
        <f t="shared" si="53"/>
        <v/>
      </c>
      <c r="O257" s="88" t="str">
        <f t="shared" si="53"/>
        <v/>
      </c>
      <c r="P257" s="88" t="str">
        <f t="shared" si="53"/>
        <v/>
      </c>
      <c r="Q257" s="88" t="str">
        <f t="shared" si="53"/>
        <v/>
      </c>
      <c r="R257" s="88" t="str">
        <f t="shared" si="53"/>
        <v/>
      </c>
      <c r="S257" s="88" t="str">
        <f t="shared" si="53"/>
        <v/>
      </c>
      <c r="T257" s="88" t="str">
        <f t="shared" si="53"/>
        <v/>
      </c>
      <c r="U257" s="88" t="str">
        <f t="shared" si="53"/>
        <v/>
      </c>
      <c r="V257" s="88" t="str">
        <f t="shared" si="53"/>
        <v/>
      </c>
      <c r="W257" s="88" t="str">
        <f t="shared" si="53"/>
        <v/>
      </c>
      <c r="X257" s="88" t="str">
        <f t="shared" si="53"/>
        <v/>
      </c>
      <c r="Y257" s="88" t="str">
        <f t="shared" si="53"/>
        <v/>
      </c>
      <c r="Z257" s="88" t="str">
        <f t="shared" si="53"/>
        <v/>
      </c>
      <c r="AA257" s="88" t="str">
        <f t="shared" si="53"/>
        <v/>
      </c>
      <c r="AB257" s="88" t="str">
        <f t="shared" si="53"/>
        <v/>
      </c>
      <c r="AC257" s="88" t="str">
        <f t="shared" si="53"/>
        <v/>
      </c>
      <c r="AD257" s="88" t="str">
        <f t="shared" si="53"/>
        <v/>
      </c>
      <c r="AE257" s="88" t="str">
        <f t="shared" si="53"/>
        <v/>
      </c>
      <c r="AF257" s="88" t="str">
        <f t="shared" si="53"/>
        <v/>
      </c>
      <c r="AG257" s="179"/>
      <c r="AH257" s="179"/>
      <c r="AJ257"/>
    </row>
    <row r="258" spans="1:36" x14ac:dyDescent="0.25">
      <c r="A258" s="88" t="str">
        <f>A225</f>
        <v>MRS</v>
      </c>
      <c r="B258" s="88" t="str">
        <f t="shared" ref="B258:AF258" si="54">IF(B225&lt;100,"",B225-330)</f>
        <v/>
      </c>
      <c r="C258" s="88" t="str">
        <f t="shared" si="54"/>
        <v/>
      </c>
      <c r="D258" s="88" t="str">
        <f t="shared" si="54"/>
        <v/>
      </c>
      <c r="E258" s="88" t="str">
        <f t="shared" si="54"/>
        <v/>
      </c>
      <c r="F258" s="88" t="str">
        <f t="shared" si="54"/>
        <v/>
      </c>
      <c r="G258" s="88" t="str">
        <f t="shared" si="54"/>
        <v/>
      </c>
      <c r="H258" s="88" t="str">
        <f t="shared" si="54"/>
        <v/>
      </c>
      <c r="I258" s="88" t="str">
        <f t="shared" si="54"/>
        <v/>
      </c>
      <c r="J258" s="88" t="str">
        <f t="shared" si="54"/>
        <v/>
      </c>
      <c r="K258" s="88" t="str">
        <f t="shared" si="54"/>
        <v/>
      </c>
      <c r="L258" s="88" t="str">
        <f t="shared" si="54"/>
        <v/>
      </c>
      <c r="M258" s="88" t="str">
        <f t="shared" si="54"/>
        <v/>
      </c>
      <c r="N258" s="88" t="str">
        <f t="shared" si="54"/>
        <v/>
      </c>
      <c r="O258" s="88" t="str">
        <f t="shared" si="54"/>
        <v/>
      </c>
      <c r="P258" s="88" t="str">
        <f t="shared" si="54"/>
        <v/>
      </c>
      <c r="Q258" s="88" t="str">
        <f t="shared" si="54"/>
        <v/>
      </c>
      <c r="R258" s="88" t="str">
        <f t="shared" si="54"/>
        <v/>
      </c>
      <c r="S258" s="88" t="str">
        <f t="shared" si="54"/>
        <v/>
      </c>
      <c r="T258" s="88" t="str">
        <f t="shared" si="54"/>
        <v/>
      </c>
      <c r="U258" s="88" t="str">
        <f t="shared" si="54"/>
        <v/>
      </c>
      <c r="V258" s="88" t="str">
        <f t="shared" si="54"/>
        <v/>
      </c>
      <c r="W258" s="88" t="str">
        <f t="shared" si="54"/>
        <v/>
      </c>
      <c r="X258" s="88" t="str">
        <f t="shared" si="54"/>
        <v/>
      </c>
      <c r="Y258" s="88" t="str">
        <f t="shared" si="54"/>
        <v/>
      </c>
      <c r="Z258" s="88" t="str">
        <f t="shared" si="54"/>
        <v/>
      </c>
      <c r="AA258" s="88" t="str">
        <f t="shared" si="54"/>
        <v/>
      </c>
      <c r="AB258" s="88" t="str">
        <f t="shared" si="54"/>
        <v/>
      </c>
      <c r="AC258" s="88" t="str">
        <f t="shared" si="54"/>
        <v/>
      </c>
      <c r="AD258" s="88" t="str">
        <f t="shared" si="54"/>
        <v/>
      </c>
      <c r="AE258" s="88" t="str">
        <f t="shared" si="54"/>
        <v/>
      </c>
      <c r="AF258" s="88" t="str">
        <f t="shared" si="54"/>
        <v/>
      </c>
      <c r="AG258" s="179"/>
      <c r="AH258" s="179"/>
      <c r="AJ258"/>
    </row>
    <row r="259" spans="1:36" x14ac:dyDescent="0.25">
      <c r="A259" s="88" t="str">
        <f>A226</f>
        <v>KL 1</v>
      </c>
      <c r="B259" s="88" t="str">
        <f>IF(B226&lt;100,"",B226-1500)</f>
        <v/>
      </c>
      <c r="C259" s="88" t="str">
        <f t="shared" ref="C259:AF259" si="55">IF(C226&lt;100,"",C226-1500)</f>
        <v/>
      </c>
      <c r="D259" s="88" t="str">
        <f t="shared" si="55"/>
        <v/>
      </c>
      <c r="E259" s="88" t="str">
        <f t="shared" si="55"/>
        <v/>
      </c>
      <c r="F259" s="88" t="str">
        <f t="shared" si="55"/>
        <v/>
      </c>
      <c r="G259" s="88" t="str">
        <f t="shared" si="55"/>
        <v/>
      </c>
      <c r="H259" s="88" t="str">
        <f t="shared" si="55"/>
        <v/>
      </c>
      <c r="I259" s="88" t="str">
        <f t="shared" si="55"/>
        <v/>
      </c>
      <c r="J259" s="88" t="str">
        <f t="shared" si="55"/>
        <v/>
      </c>
      <c r="K259" s="88" t="str">
        <f t="shared" si="55"/>
        <v/>
      </c>
      <c r="L259" s="88" t="str">
        <f t="shared" si="55"/>
        <v/>
      </c>
      <c r="M259" s="88" t="str">
        <f t="shared" si="55"/>
        <v/>
      </c>
      <c r="N259" s="88" t="str">
        <f t="shared" si="55"/>
        <v/>
      </c>
      <c r="O259" s="88" t="str">
        <f t="shared" si="55"/>
        <v/>
      </c>
      <c r="P259" s="88" t="str">
        <f t="shared" si="55"/>
        <v/>
      </c>
      <c r="Q259" s="88" t="str">
        <f t="shared" si="55"/>
        <v/>
      </c>
      <c r="R259" s="88" t="str">
        <f t="shared" si="55"/>
        <v/>
      </c>
      <c r="S259" s="88" t="str">
        <f t="shared" si="55"/>
        <v/>
      </c>
      <c r="T259" s="88" t="str">
        <f t="shared" si="55"/>
        <v/>
      </c>
      <c r="U259" s="88" t="str">
        <f t="shared" si="55"/>
        <v/>
      </c>
      <c r="V259" s="88" t="str">
        <f t="shared" si="55"/>
        <v/>
      </c>
      <c r="W259" s="88" t="str">
        <f t="shared" si="55"/>
        <v/>
      </c>
      <c r="X259" s="88" t="str">
        <f t="shared" si="55"/>
        <v/>
      </c>
      <c r="Y259" s="88" t="str">
        <f t="shared" si="55"/>
        <v/>
      </c>
      <c r="Z259" s="88" t="str">
        <f t="shared" si="55"/>
        <v/>
      </c>
      <c r="AA259" s="88" t="str">
        <f t="shared" si="55"/>
        <v/>
      </c>
      <c r="AB259" s="88" t="str">
        <f t="shared" si="55"/>
        <v/>
      </c>
      <c r="AC259" s="88" t="str">
        <f t="shared" si="55"/>
        <v/>
      </c>
      <c r="AD259" s="88" t="str">
        <f t="shared" si="55"/>
        <v/>
      </c>
      <c r="AE259" s="88" t="str">
        <f t="shared" si="55"/>
        <v/>
      </c>
      <c r="AF259" s="88" t="str">
        <f t="shared" si="55"/>
        <v/>
      </c>
      <c r="AG259" s="179"/>
      <c r="AH259" s="179"/>
      <c r="AJ259"/>
    </row>
    <row r="260" spans="1:36" x14ac:dyDescent="0.25"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  <c r="AC260" s="179"/>
      <c r="AD260" s="179"/>
      <c r="AE260" s="179"/>
      <c r="AF260" s="179"/>
      <c r="AG260" s="179"/>
      <c r="AH260" s="179"/>
      <c r="AJ260"/>
    </row>
    <row r="261" spans="1:36" x14ac:dyDescent="0.25"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  <c r="AJ261"/>
    </row>
    <row r="262" spans="1:36" x14ac:dyDescent="0.25"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  <c r="AE262" s="179"/>
      <c r="AF262" s="179"/>
      <c r="AG262" s="179"/>
      <c r="AH262" s="179"/>
      <c r="AJ262"/>
    </row>
    <row r="263" spans="1:36" x14ac:dyDescent="0.25"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  <c r="AC263" s="179"/>
      <c r="AD263" s="179"/>
      <c r="AE263" s="179"/>
      <c r="AF263" s="179"/>
      <c r="AG263" s="179"/>
      <c r="AH263" s="179"/>
      <c r="AJ263"/>
    </row>
    <row r="264" spans="1:36" x14ac:dyDescent="0.25"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  <c r="AC264" s="179"/>
      <c r="AD264" s="179"/>
      <c r="AE264" s="179"/>
      <c r="AF264" s="179"/>
      <c r="AG264" s="179"/>
      <c r="AH264" s="179"/>
      <c r="AJ264"/>
    </row>
    <row r="265" spans="1:36" x14ac:dyDescent="0.25"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  <c r="AC265" s="179"/>
      <c r="AD265" s="179"/>
      <c r="AE265" s="179"/>
      <c r="AF265" s="179"/>
      <c r="AG265" s="179"/>
      <c r="AH265" s="179"/>
      <c r="AJ265"/>
    </row>
    <row r="266" spans="1:36" x14ac:dyDescent="0.25"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  <c r="AC266" s="179"/>
      <c r="AD266" s="179"/>
      <c r="AE266" s="179"/>
      <c r="AF266" s="179"/>
      <c r="AJ266"/>
    </row>
    <row r="490" spans="36:38" x14ac:dyDescent="0.25">
      <c r="AK490" s="1"/>
    </row>
    <row r="491" spans="36:38" x14ac:dyDescent="0.25">
      <c r="AK491" s="1"/>
      <c r="AL491" s="1"/>
    </row>
    <row r="492" spans="36:38" x14ac:dyDescent="0.25">
      <c r="AJ49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1:B23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6">
      <iconSet iconSet="3TrafficLights2" reverse="1">
        <cfvo type="percent" val="0"/>
        <cfvo type="num" val="1"/>
        <cfvo type="num" val="1"/>
      </iconSet>
    </cfRule>
  </conditionalFormatting>
  <conditionalFormatting sqref="D214:AF220 B214:B220 B212:AF212 U233:AF233 B9:AF10 C99:AF105 U11:AF11">
    <cfRule type="expression" dxfId="1632" priority="232">
      <formula>B$9&gt;=20/24</formula>
    </cfRule>
    <cfRule type="expression" dxfId="1631" priority="233">
      <formula>AND(B$9&gt;=14/24,B$9&lt;20/24)</formula>
    </cfRule>
    <cfRule type="expression" dxfId="1630" priority="234">
      <formula>AND(B$9&gt;=8/24,B$9&lt;14/24)</formula>
    </cfRule>
    <cfRule type="expression" dxfId="1629" priority="235">
      <formula>B$9&lt;8/24</formula>
    </cfRule>
  </conditionalFormatting>
  <conditionalFormatting sqref="AL4:AL6">
    <cfRule type="iconSet" priority="231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1628" priority="227">
      <formula>S$9&gt;=20/24</formula>
    </cfRule>
    <cfRule type="expression" dxfId="1627" priority="228">
      <formula>AND(S$9&gt;=14/24,S$9&lt;20/24)</formula>
    </cfRule>
    <cfRule type="expression" dxfId="1626" priority="229">
      <formula>AND(S$9&gt;=8/24,S$9&lt;14/24)</formula>
    </cfRule>
    <cfRule type="expression" dxfId="1625" priority="230">
      <formula>S$9&lt;8/24</formula>
    </cfRule>
  </conditionalFormatting>
  <conditionalFormatting sqref="AG55 S37:AF37 B12:F16 G12:T14 U11:AE15 G16:AE16 B35:AF35 AF11:AF16">
    <cfRule type="expression" dxfId="1624" priority="226">
      <formula>B11&gt;$AG11</formula>
    </cfRule>
  </conditionalFormatting>
  <conditionalFormatting sqref="A89:A102 A11:A14 A49:A76 A85:A87 A190:A220 A16:A30 A36:A47 A106:A177 A32:A33 A81:A83 A78:A79">
    <cfRule type="expression" dxfId="1623" priority="225">
      <formula>$AH11=0</formula>
    </cfRule>
  </conditionalFormatting>
  <conditionalFormatting sqref="A103">
    <cfRule type="expression" dxfId="1622" priority="224">
      <formula>$AH103=0</formula>
    </cfRule>
  </conditionalFormatting>
  <conditionalFormatting sqref="AL33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1621" priority="222">
      <formula>$AH35=0</formula>
    </cfRule>
  </conditionalFormatting>
  <conditionalFormatting sqref="A88">
    <cfRule type="expression" dxfId="1620" priority="221">
      <formula>$AH88=0</formula>
    </cfRule>
  </conditionalFormatting>
  <conditionalFormatting sqref="A15">
    <cfRule type="expression" dxfId="1619" priority="220">
      <formula>$AH15=0</formula>
    </cfRule>
  </conditionalFormatting>
  <conditionalFormatting sqref="A184:A189">
    <cfRule type="expression" dxfId="1618" priority="219">
      <formula>$AH184=0</formula>
    </cfRule>
  </conditionalFormatting>
  <conditionalFormatting sqref="A178:A183">
    <cfRule type="expression" dxfId="1617" priority="218">
      <formula>$AH178=0</formula>
    </cfRule>
  </conditionalFormatting>
  <conditionalFormatting sqref="A48">
    <cfRule type="expression" dxfId="1616" priority="217">
      <formula>$AH48=0</formula>
    </cfRule>
  </conditionalFormatting>
  <conditionalFormatting sqref="A84">
    <cfRule type="expression" dxfId="1615" priority="216">
      <formula>$AH84=0</formula>
    </cfRule>
  </conditionalFormatting>
  <conditionalFormatting sqref="C89:V89 Y89:AF89">
    <cfRule type="expression" dxfId="1614" priority="212">
      <formula>C$9&gt;=20/24</formula>
    </cfRule>
    <cfRule type="expression" dxfId="1613" priority="213">
      <formula>AND(C$9&gt;=14/24,C$9&lt;20/24)</formula>
    </cfRule>
    <cfRule type="expression" dxfId="1612" priority="214">
      <formula>AND(C$9&gt;=8/24,C$9&lt;14/24)</formula>
    </cfRule>
    <cfRule type="expression" dxfId="1611" priority="215">
      <formula>C$9&lt;8/24</formula>
    </cfRule>
  </conditionalFormatting>
  <conditionalFormatting sqref="AL34">
    <cfRule type="iconSet" priority="21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610" priority="238">
      <formula>C$9&gt;=20/24</formula>
    </cfRule>
    <cfRule type="expression" dxfId="1609" priority="239">
      <formula>AND(C$9&gt;=14/24,C$9&lt;20/24)</formula>
    </cfRule>
    <cfRule type="expression" dxfId="1608" priority="240">
      <formula>AND(C$9&gt;=8/24,C$9&lt;14/24)</formula>
    </cfRule>
    <cfRule type="expression" dxfId="1607" priority="241">
      <formula>C$9&lt;8/24</formula>
    </cfRule>
  </conditionalFormatting>
  <conditionalFormatting sqref="A221">
    <cfRule type="expression" dxfId="1606" priority="242">
      <formula>$AH221=0</formula>
    </cfRule>
  </conditionalFormatting>
  <conditionalFormatting sqref="AG233">
    <cfRule type="expression" dxfId="1605" priority="243">
      <formula>B$9&gt;=20/24</formula>
    </cfRule>
    <cfRule type="expression" dxfId="1604" priority="244">
      <formula>AND(B$9&gt;=14/24,B$9&lt;20/24)</formula>
    </cfRule>
    <cfRule type="expression" dxfId="1603" priority="245">
      <formula>AND(B$9&gt;=8/24,B$9&lt;14/24)</formula>
    </cfRule>
    <cfRule type="expression" dxfId="1602" priority="246">
      <formula>B$9&lt;8/24</formula>
    </cfRule>
  </conditionalFormatting>
  <conditionalFormatting sqref="S8">
    <cfRule type="expression" dxfId="1601" priority="207">
      <formula>U$9&gt;=20/24</formula>
    </cfRule>
    <cfRule type="expression" dxfId="1600" priority="208">
      <formula>AND(U$9&gt;=14/24,U$9&lt;20/24)</formula>
    </cfRule>
    <cfRule type="expression" dxfId="1599" priority="209">
      <formula>AND(U$9&gt;=8/24,U$9&lt;14/24)</formula>
    </cfRule>
    <cfRule type="expression" dxfId="1598" priority="210">
      <formula>U$9&lt;8/24</formula>
    </cfRule>
  </conditionalFormatting>
  <conditionalFormatting sqref="AB8">
    <cfRule type="expression" dxfId="1597" priority="203">
      <formula>AD$9&gt;=20/24</formula>
    </cfRule>
    <cfRule type="expression" dxfId="1596" priority="204">
      <formula>AND(AD$9&gt;=14/24,AD$9&lt;20/24)</formula>
    </cfRule>
    <cfRule type="expression" dxfId="1595" priority="205">
      <formula>AND(AD$9&gt;=8/24,AD$9&lt;14/24)</formula>
    </cfRule>
    <cfRule type="expression" dxfId="1594" priority="206">
      <formula>AD$9&lt;8/24</formula>
    </cfRule>
  </conditionalFormatting>
  <conditionalFormatting sqref="AH233:AX233">
    <cfRule type="expression" dxfId="1593" priority="247">
      <formula>AG$9&gt;=20/24</formula>
    </cfRule>
    <cfRule type="expression" dxfId="1592" priority="248">
      <formula>AND(AG$9&gt;=14/24,AG$9&lt;20/24)</formula>
    </cfRule>
    <cfRule type="expression" dxfId="1591" priority="249">
      <formula>AND(AG$9&gt;=8/24,AG$9&lt;14/24)</formula>
    </cfRule>
    <cfRule type="expression" dxfId="1590" priority="250">
      <formula>AG$9&lt;8/24</formula>
    </cfRule>
  </conditionalFormatting>
  <conditionalFormatting sqref="T233">
    <cfRule type="expression" dxfId="1589" priority="251">
      <formula>AX$9&gt;=20/24</formula>
    </cfRule>
    <cfRule type="expression" dxfId="1588" priority="252">
      <formula>AND(AX$9&gt;=14/24,AX$9&lt;20/24)</formula>
    </cfRule>
    <cfRule type="expression" dxfId="1587" priority="253">
      <formula>AND(AX$9&gt;=8/24,AX$9&lt;14/24)</formula>
    </cfRule>
    <cfRule type="expression" dxfId="1586" priority="254">
      <formula>AX$9&lt;8/24</formula>
    </cfRule>
  </conditionalFormatting>
  <conditionalFormatting sqref="A104:A105">
    <cfRule type="expression" dxfId="1585" priority="202">
      <formula>$AH104=0</formula>
    </cfRule>
  </conditionalFormatting>
  <conditionalFormatting sqref="U44:W45 AB44:AF45 C61:AF61 AB36:AF36">
    <cfRule type="expression" dxfId="1584" priority="198">
      <formula>C$9&gt;=20/24</formula>
    </cfRule>
    <cfRule type="expression" dxfId="1583" priority="199">
      <formula>AND(C$9&gt;=14/24,C$9&lt;20/24)</formula>
    </cfRule>
    <cfRule type="expression" dxfId="1582" priority="200">
      <formula>AND(C$9&gt;=8/24,C$9&lt;14/24)</formula>
    </cfRule>
    <cfRule type="expression" dxfId="1581" priority="201">
      <formula>C$9&lt;8/24</formula>
    </cfRule>
  </conditionalFormatting>
  <conditionalFormatting sqref="AB43:AF43 S43:W43">
    <cfRule type="expression" dxfId="1580" priority="194">
      <formula>S$9&gt;=20/24</formula>
    </cfRule>
    <cfRule type="expression" dxfId="1579" priority="195">
      <formula>AND(S$9&gt;=14/24,S$9&lt;20/24)</formula>
    </cfRule>
    <cfRule type="expression" dxfId="1578" priority="196">
      <formula>AND(S$9&gt;=8/24,S$9&lt;14/24)</formula>
    </cfRule>
    <cfRule type="expression" dxfId="1577" priority="197">
      <formula>S$9&lt;8/24</formula>
    </cfRule>
  </conditionalFormatting>
  <conditionalFormatting sqref="AB43:AF45 U43:W45 S43:T43 AB36:AF36">
    <cfRule type="expression" dxfId="1576" priority="193">
      <formula>S36&gt;$AG36</formula>
    </cfRule>
  </conditionalFormatting>
  <conditionalFormatting sqref="K64:K66 M37:R37 C86:AF86 C62:K63 L62:L66 C90:V96 Y90:AF96 U36:AA36 E57:AF59 U12:AF14 U16:AF16 U18:AF22 U28:AF30 U32:AF32 U24:AF26 M62:AF71 C73:AF76">
    <cfRule type="expression" dxfId="1575" priority="189">
      <formula>C$9&gt;=20/24</formula>
    </cfRule>
    <cfRule type="expression" dxfId="1574" priority="190">
      <formula>AND(C$9&gt;=14/24,C$9&lt;20/24)</formula>
    </cfRule>
    <cfRule type="expression" dxfId="1573" priority="191">
      <formula>AND(C$9&gt;=8/24,C$9&lt;14/24)</formula>
    </cfRule>
    <cfRule type="expression" dxfId="1572" priority="192">
      <formula>C$9&lt;8/24</formula>
    </cfRule>
  </conditionalFormatting>
  <conditionalFormatting sqref="U33:AF33">
    <cfRule type="expression" dxfId="1571" priority="185">
      <formula>U$9&gt;=20/24</formula>
    </cfRule>
    <cfRule type="expression" dxfId="1570" priority="186">
      <formula>AND(U$9&gt;=14/24,U$9&lt;20/24)</formula>
    </cfRule>
    <cfRule type="expression" dxfId="1569" priority="187">
      <formula>AND(U$9&gt;=8/24,U$9&lt;14/24)</formula>
    </cfRule>
    <cfRule type="expression" dxfId="1568" priority="188">
      <formula>U$9&lt;8/24</formula>
    </cfRule>
  </conditionalFormatting>
  <conditionalFormatting sqref="AB46:AF47 C55:AF55 C37:R37 G15:T15 U36:AA36 E57:AF59 U18:AF22 U32:AF33 U24:AF30">
    <cfRule type="expression" dxfId="1567" priority="184">
      <formula>C15&gt;$AG15</formula>
    </cfRule>
  </conditionalFormatting>
  <conditionalFormatting sqref="U35:AF35">
    <cfRule type="expression" dxfId="1566" priority="180">
      <formula>U$9&gt;=20/24</formula>
    </cfRule>
    <cfRule type="expression" dxfId="1565" priority="181">
      <formula>AND(U$9&gt;=14/24,U$9&lt;20/24)</formula>
    </cfRule>
    <cfRule type="expression" dxfId="1564" priority="182">
      <formula>AND(U$9&gt;=8/24,U$9&lt;14/24)</formula>
    </cfRule>
    <cfRule type="expression" dxfId="1563" priority="183">
      <formula>U$9&lt;8/24</formula>
    </cfRule>
  </conditionalFormatting>
  <conditionalFormatting sqref="G15:AF15">
    <cfRule type="expression" dxfId="1562" priority="176">
      <formula>G$9&gt;=20/24</formula>
    </cfRule>
    <cfRule type="expression" dxfId="1561" priority="177">
      <formula>AND(G$9&gt;=14/24,G$9&lt;20/24)</formula>
    </cfRule>
    <cfRule type="expression" dxfId="1560" priority="178">
      <formula>AND(G$9&gt;=8/24,G$9&lt;14/24)</formula>
    </cfRule>
    <cfRule type="expression" dxfId="1559" priority="179">
      <formula>G$9&lt;8/24</formula>
    </cfRule>
  </conditionalFormatting>
  <conditionalFormatting sqref="U34:AF34">
    <cfRule type="expression" dxfId="1558" priority="172">
      <formula>U$9&gt;=20/24</formula>
    </cfRule>
    <cfRule type="expression" dxfId="1557" priority="173">
      <formula>AND(U$9&gt;=14/24,U$9&lt;20/24)</formula>
    </cfRule>
    <cfRule type="expression" dxfId="1556" priority="174">
      <formula>AND(U$9&gt;=8/24,U$9&lt;14/24)</formula>
    </cfRule>
    <cfRule type="expression" dxfId="1555" priority="175">
      <formula>U$9&lt;8/24</formula>
    </cfRule>
  </conditionalFormatting>
  <conditionalFormatting sqref="U34:AF34">
    <cfRule type="expression" dxfId="1554" priority="171">
      <formula>U34&gt;$AG34</formula>
    </cfRule>
  </conditionalFormatting>
  <conditionalFormatting sqref="V46:AA47 AC48:AF50">
    <cfRule type="expression" dxfId="1553" priority="163">
      <formula>V$9&gt;=20/24</formula>
    </cfRule>
    <cfRule type="expression" dxfId="1552" priority="164">
      <formula>AND(V$9&gt;=14/24,V$9&lt;20/24)</formula>
    </cfRule>
    <cfRule type="expression" dxfId="1551" priority="165">
      <formula>AND(V$9&gt;=8/24,V$9&lt;14/24)</formula>
    </cfRule>
    <cfRule type="expression" dxfId="1550" priority="166">
      <formula>V$9&lt;8/24</formula>
    </cfRule>
  </conditionalFormatting>
  <conditionalFormatting sqref="V46:AA47 AC48:AF50">
    <cfRule type="expression" dxfId="1549" priority="162">
      <formula>V46&gt;$AG46</formula>
    </cfRule>
  </conditionalFormatting>
  <conditionalFormatting sqref="U46:U54 M43:R43 V48:AB54 AC51:AF54">
    <cfRule type="expression" dxfId="1548" priority="158">
      <formula>M$9&gt;=20/24</formula>
    </cfRule>
    <cfRule type="expression" dxfId="1547" priority="159">
      <formula>AND(M$9&gt;=14/24,M$9&lt;20/24)</formula>
    </cfRule>
    <cfRule type="expression" dxfId="1546" priority="160">
      <formula>AND(M$9&gt;=8/24,M$9&lt;14/24)</formula>
    </cfRule>
    <cfRule type="expression" dxfId="1545" priority="161">
      <formula>M$9&lt;8/24</formula>
    </cfRule>
  </conditionalFormatting>
  <conditionalFormatting sqref="U46:U54 M43:R43 V48:AB54 AC51:AF54">
    <cfRule type="expression" dxfId="1544" priority="157">
      <formula>M43&gt;$AG43</formula>
    </cfRule>
  </conditionalFormatting>
  <conditionalFormatting sqref="U27:AF27">
    <cfRule type="expression" dxfId="1543" priority="153">
      <formula>U$9&gt;=20/24</formula>
    </cfRule>
    <cfRule type="expression" dxfId="1542" priority="154">
      <formula>AND(U$9&gt;=14/24,U$9&lt;20/24)</formula>
    </cfRule>
    <cfRule type="expression" dxfId="1541" priority="155">
      <formula>AND(U$9&gt;=8/24,U$9&lt;14/24)</formula>
    </cfRule>
    <cfRule type="expression" dxfId="1540" priority="156">
      <formula>U$9&lt;8/24</formula>
    </cfRule>
  </conditionalFormatting>
  <conditionalFormatting sqref="U17:AF17 U23:AF23">
    <cfRule type="expression" dxfId="1539" priority="149">
      <formula>U$9&gt;=20/24</formula>
    </cfRule>
    <cfRule type="expression" dxfId="1538" priority="150">
      <formula>AND(U$9&gt;=14/24,U$9&lt;20/24)</formula>
    </cfRule>
    <cfRule type="expression" dxfId="1537" priority="151">
      <formula>AND(U$9&gt;=8/24,U$9&lt;14/24)</formula>
    </cfRule>
    <cfRule type="expression" dxfId="1536" priority="152">
      <formula>U$9&lt;8/24</formula>
    </cfRule>
  </conditionalFormatting>
  <conditionalFormatting sqref="U17:AF17 U23:AF23">
    <cfRule type="expression" dxfId="1535" priority="144">
      <formula>U17&gt;$AG17</formula>
    </cfRule>
  </conditionalFormatting>
  <conditionalFormatting sqref="X44:AA45">
    <cfRule type="expression" dxfId="1534" priority="108">
      <formula>X$9&gt;=20/24</formula>
    </cfRule>
    <cfRule type="expression" dxfId="1533" priority="109">
      <formula>AND(X$9&gt;=14/24,X$9&lt;20/24)</formula>
    </cfRule>
    <cfRule type="expression" dxfId="1532" priority="110">
      <formula>AND(X$9&gt;=8/24,X$9&lt;14/24)</formula>
    </cfRule>
    <cfRule type="expression" dxfId="1531" priority="111">
      <formula>X$9&lt;8/24</formula>
    </cfRule>
  </conditionalFormatting>
  <conditionalFormatting sqref="X43:AA43">
    <cfRule type="expression" dxfId="1530" priority="104">
      <formula>X$9&gt;=20/24</formula>
    </cfRule>
    <cfRule type="expression" dxfId="1529" priority="105">
      <formula>AND(X$9&gt;=14/24,X$9&lt;20/24)</formula>
    </cfRule>
    <cfRule type="expression" dxfId="1528" priority="106">
      <formula>AND(X$9&gt;=8/24,X$9&lt;14/24)</formula>
    </cfRule>
    <cfRule type="expression" dxfId="1527" priority="107">
      <formula>X$9&lt;8/24</formula>
    </cfRule>
  </conditionalFormatting>
  <conditionalFormatting sqref="X43:AA45">
    <cfRule type="expression" dxfId="1526" priority="103">
      <formula>X43&gt;$AG43</formula>
    </cfRule>
  </conditionalFormatting>
  <conditionalFormatting sqref="B99:B105 B78:AF78 B87:AF87 B11:T11">
    <cfRule type="expression" dxfId="1525" priority="99">
      <formula>B$9&gt;=20/24</formula>
    </cfRule>
    <cfRule type="expression" dxfId="1524" priority="100">
      <formula>AND(B$9&gt;=14/24,B$9&lt;20/24)</formula>
    </cfRule>
    <cfRule type="expression" dxfId="1523" priority="101">
      <formula>AND(B$9&gt;=8/24,B$9&lt;14/24)</formula>
    </cfRule>
    <cfRule type="expression" dxfId="1522" priority="102">
      <formula>B$9&lt;8/24</formula>
    </cfRule>
  </conditionalFormatting>
  <conditionalFormatting sqref="B37">
    <cfRule type="expression" dxfId="1521" priority="95">
      <formula>B$9&gt;=20/24</formula>
    </cfRule>
    <cfRule type="expression" dxfId="1520" priority="96">
      <formula>AND(B$9&gt;=14/24,B$9&lt;20/24)</formula>
    </cfRule>
    <cfRule type="expression" dxfId="1519" priority="97">
      <formula>AND(B$9&gt;=8/24,B$9&lt;14/24)</formula>
    </cfRule>
    <cfRule type="expression" dxfId="1518" priority="98">
      <formula>B$9&lt;8/24</formula>
    </cfRule>
  </conditionalFormatting>
  <conditionalFormatting sqref="B37 B11:T11">
    <cfRule type="expression" dxfId="1517" priority="94">
      <formula>B11&gt;$AG11</formula>
    </cfRule>
  </conditionalFormatting>
  <conditionalFormatting sqref="B89">
    <cfRule type="expression" dxfId="1516" priority="90">
      <formula>B$9&gt;=20/24</formula>
    </cfRule>
    <cfRule type="expression" dxfId="1515" priority="91">
      <formula>AND(B$9&gt;=14/24,B$9&lt;20/24)</formula>
    </cfRule>
    <cfRule type="expression" dxfId="1514" priority="92">
      <formula>AND(B$9&gt;=8/24,B$9&lt;14/24)</formula>
    </cfRule>
    <cfRule type="expression" dxfId="1513" priority="93">
      <formula>B$9&lt;8/24</formula>
    </cfRule>
  </conditionalFormatting>
  <conditionalFormatting sqref="B61 B36:T36 B44:T45">
    <cfRule type="expression" dxfId="1512" priority="86">
      <formula>B$9&gt;=20/24</formula>
    </cfRule>
    <cfRule type="expression" dxfId="1511" priority="87">
      <formula>AND(B$9&gt;=14/24,B$9&lt;20/24)</formula>
    </cfRule>
    <cfRule type="expression" dxfId="1510" priority="88">
      <formula>AND(B$9&gt;=8/24,B$9&lt;14/24)</formula>
    </cfRule>
    <cfRule type="expression" dxfId="1509" priority="89">
      <formula>B$9&lt;8/24</formula>
    </cfRule>
  </conditionalFormatting>
  <conditionalFormatting sqref="B43:L43">
    <cfRule type="expression" dxfId="1508" priority="82">
      <formula>B$9&gt;=20/24</formula>
    </cfRule>
    <cfRule type="expression" dxfId="1507" priority="83">
      <formula>AND(B$9&gt;=14/24,B$9&lt;20/24)</formula>
    </cfRule>
    <cfRule type="expression" dxfId="1506" priority="84">
      <formula>AND(B$9&gt;=8/24,B$9&lt;14/24)</formula>
    </cfRule>
    <cfRule type="expression" dxfId="1505" priority="85">
      <formula>B$9&lt;8/24</formula>
    </cfRule>
  </conditionalFormatting>
  <conditionalFormatting sqref="B43:L45 B36:T36 M44:T45">
    <cfRule type="expression" dxfId="1504" priority="81">
      <formula>B36&gt;$AG36</formula>
    </cfRule>
  </conditionalFormatting>
  <conditionalFormatting sqref="B90:B96 B57:B60 B73:B77 B86 B62:B71 C57:D59 B79:AF79 C60:AG60 C77:AG77 B88:AF88 C64:J71 K67:L71 B16:T16 B12:T14 B18:T22 B32:T32 B24:T26 B28:T30">
    <cfRule type="expression" dxfId="1503" priority="77">
      <formula>B$9&gt;=20/24</formula>
    </cfRule>
    <cfRule type="expression" dxfId="1502" priority="78">
      <formula>AND(B$9&gt;=14/24,B$9&lt;20/24)</formula>
    </cfRule>
    <cfRule type="expression" dxfId="1501" priority="79">
      <formula>AND(B$9&gt;=8/24,B$9&lt;14/24)</formula>
    </cfRule>
    <cfRule type="expression" dxfId="1500" priority="80">
      <formula>B$9&lt;8/24</formula>
    </cfRule>
  </conditionalFormatting>
  <conditionalFormatting sqref="B33:T33">
    <cfRule type="expression" dxfId="1499" priority="73">
      <formula>B$9&gt;=20/24</formula>
    </cfRule>
    <cfRule type="expression" dxfId="1498" priority="74">
      <formula>AND(B$9&gt;=14/24,B$9&lt;20/24)</formula>
    </cfRule>
    <cfRule type="expression" dxfId="1497" priority="75">
      <formula>AND(B$9&gt;=8/24,B$9&lt;14/24)</formula>
    </cfRule>
    <cfRule type="expression" dxfId="1496" priority="76">
      <formula>B$9&lt;8/24</formula>
    </cfRule>
  </conditionalFormatting>
  <conditionalFormatting sqref="B55:B60 C57:D59 B38:AG38 C56:AG56 C60:AG60 B18:T22 B32:T33 B24:T30 B46:T47">
    <cfRule type="expression" dxfId="1495" priority="72">
      <formula>B18&gt;$AG18</formula>
    </cfRule>
  </conditionalFormatting>
  <conditionalFormatting sqref="B35:T35">
    <cfRule type="expression" dxfId="1494" priority="68">
      <formula>B$9&gt;=20/24</formula>
    </cfRule>
    <cfRule type="expression" dxfId="1493" priority="69">
      <formula>AND(B$9&gt;=14/24,B$9&lt;20/24)</formula>
    </cfRule>
    <cfRule type="expression" dxfId="1492" priority="70">
      <formula>AND(B$9&gt;=8/24,B$9&lt;14/24)</formula>
    </cfRule>
    <cfRule type="expression" dxfId="1491" priority="71">
      <formula>B$9&lt;8/24</formula>
    </cfRule>
  </conditionalFormatting>
  <conditionalFormatting sqref="B15:F15">
    <cfRule type="expression" dxfId="1490" priority="64">
      <formula>B$9&gt;=20/24</formula>
    </cfRule>
    <cfRule type="expression" dxfId="1489" priority="65">
      <formula>AND(B$9&gt;=14/24,B$9&lt;20/24)</formula>
    </cfRule>
    <cfRule type="expression" dxfId="1488" priority="66">
      <formula>AND(B$9&gt;=8/24,B$9&lt;14/24)</formula>
    </cfRule>
    <cfRule type="expression" dxfId="1487" priority="67">
      <formula>B$9&lt;8/24</formula>
    </cfRule>
  </conditionalFormatting>
  <conditionalFormatting sqref="B34:T34">
    <cfRule type="expression" dxfId="1486" priority="60">
      <formula>B$9&gt;=20/24</formula>
    </cfRule>
    <cfRule type="expression" dxfId="1485" priority="61">
      <formula>AND(B$9&gt;=14/24,B$9&lt;20/24)</formula>
    </cfRule>
    <cfRule type="expression" dxfId="1484" priority="62">
      <formula>AND(B$9&gt;=8/24,B$9&lt;14/24)</formula>
    </cfRule>
    <cfRule type="expression" dxfId="1483" priority="63">
      <formula>B$9&lt;8/24</formula>
    </cfRule>
  </conditionalFormatting>
  <conditionalFormatting sqref="B34:T34">
    <cfRule type="expression" dxfId="1482" priority="59">
      <formula>B34&gt;$AG34</formula>
    </cfRule>
  </conditionalFormatting>
  <conditionalFormatting sqref="B48:T54">
    <cfRule type="expression" dxfId="1481" priority="55">
      <formula>B$9&gt;=20/24</formula>
    </cfRule>
    <cfRule type="expression" dxfId="1480" priority="56">
      <formula>AND(B$9&gt;=14/24,B$9&lt;20/24)</formula>
    </cfRule>
    <cfRule type="expression" dxfId="1479" priority="57">
      <formula>AND(B$9&gt;=8/24,B$9&lt;14/24)</formula>
    </cfRule>
    <cfRule type="expression" dxfId="1478" priority="58">
      <formula>B$9&lt;8/24</formula>
    </cfRule>
  </conditionalFormatting>
  <conditionalFormatting sqref="B48:T54">
    <cfRule type="expression" dxfId="1477" priority="54">
      <formula>B48&gt;$AG48</formula>
    </cfRule>
  </conditionalFormatting>
  <conditionalFormatting sqref="B27:T27">
    <cfRule type="expression" dxfId="1476" priority="50">
      <formula>B$9&gt;=20/24</formula>
    </cfRule>
    <cfRule type="expression" dxfId="1475" priority="51">
      <formula>AND(B$9&gt;=14/24,B$9&lt;20/24)</formula>
    </cfRule>
    <cfRule type="expression" dxfId="1474" priority="52">
      <formula>AND(B$9&gt;=8/24,B$9&lt;14/24)</formula>
    </cfRule>
    <cfRule type="expression" dxfId="1473" priority="53">
      <formula>B$9&lt;8/24</formula>
    </cfRule>
  </conditionalFormatting>
  <conditionalFormatting sqref="B17:T17 B23:T23">
    <cfRule type="expression" dxfId="1472" priority="46">
      <formula>B$9&gt;=20/24</formula>
    </cfRule>
    <cfRule type="expression" dxfId="1471" priority="47">
      <formula>AND(B$9&gt;=14/24,B$9&lt;20/24)</formula>
    </cfRule>
    <cfRule type="expression" dxfId="1470" priority="48">
      <formula>AND(B$9&gt;=8/24,B$9&lt;14/24)</formula>
    </cfRule>
    <cfRule type="expression" dxfId="1469" priority="49">
      <formula>B$9&lt;8/24</formula>
    </cfRule>
  </conditionalFormatting>
  <conditionalFormatting sqref="B17:T17 B23:T23">
    <cfRule type="expression" dxfId="1468" priority="45">
      <formula>B17&gt;$AG17</formula>
    </cfRule>
  </conditionalFormatting>
  <conditionalFormatting sqref="A34">
    <cfRule type="expression" dxfId="1467" priority="44">
      <formula>$AH34=0</formula>
    </cfRule>
  </conditionalFormatting>
  <conditionalFormatting sqref="B72:AF72">
    <cfRule type="expression" dxfId="1466" priority="40">
      <formula>B$9&gt;=20/24</formula>
    </cfRule>
    <cfRule type="expression" dxfId="1465" priority="41">
      <formula>AND(B$9&gt;=14/24,B$9&lt;20/24)</formula>
    </cfRule>
    <cfRule type="expression" dxfId="1464" priority="42">
      <formula>AND(B$9&gt;=8/24,B$9&lt;14/24)</formula>
    </cfRule>
    <cfRule type="expression" dxfId="1463" priority="43">
      <formula>B$9&lt;8/24</formula>
    </cfRule>
  </conditionalFormatting>
  <conditionalFormatting sqref="B81:AF85">
    <cfRule type="expression" dxfId="1462" priority="36">
      <formula>B$9&gt;=20/24</formula>
    </cfRule>
    <cfRule type="expression" dxfId="1461" priority="37">
      <formula>AND(B$9&gt;=14/24,B$9&lt;20/24)</formula>
    </cfRule>
    <cfRule type="expression" dxfId="1460" priority="38">
      <formula>AND(B$9&gt;=8/24,B$9&lt;14/24)</formula>
    </cfRule>
    <cfRule type="expression" dxfId="1459" priority="39">
      <formula>B$9&lt;8/24</formula>
    </cfRule>
  </conditionalFormatting>
  <conditionalFormatting sqref="AL35 AL7:AL30 AL32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E39:AF41">
    <cfRule type="expression" dxfId="1458" priority="32">
      <formula>E$9&gt;=20/24</formula>
    </cfRule>
    <cfRule type="expression" dxfId="1457" priority="33">
      <formula>AND(E$9&gt;=14/24,E$9&lt;20/24)</formula>
    </cfRule>
    <cfRule type="expression" dxfId="1456" priority="34">
      <formula>AND(E$9&gt;=8/24,E$9&lt;14/24)</formula>
    </cfRule>
    <cfRule type="expression" dxfId="1455" priority="35">
      <formula>E$9&lt;8/24</formula>
    </cfRule>
  </conditionalFormatting>
  <conditionalFormatting sqref="E39:AF41">
    <cfRule type="expression" dxfId="1454" priority="31">
      <formula>E39&gt;$AG39</formula>
    </cfRule>
  </conditionalFormatting>
  <conditionalFormatting sqref="B39:B42 C39:D41 C42:AG42">
    <cfRule type="expression" dxfId="1453" priority="27">
      <formula>B$9&gt;=20/24</formula>
    </cfRule>
    <cfRule type="expression" dxfId="1452" priority="28">
      <formula>AND(B$9&gt;=14/24,B$9&lt;20/24)</formula>
    </cfRule>
    <cfRule type="expression" dxfId="1451" priority="29">
      <formula>AND(B$9&gt;=8/24,B$9&lt;14/24)</formula>
    </cfRule>
    <cfRule type="expression" dxfId="1450" priority="30">
      <formula>B$9&lt;8/24</formula>
    </cfRule>
  </conditionalFormatting>
  <conditionalFormatting sqref="B39:B42 C39:D41 C42:AG42">
    <cfRule type="expression" dxfId="1449" priority="26">
      <formula>B39&gt;$AG39</formula>
    </cfRule>
  </conditionalFormatting>
  <conditionalFormatting sqref="C97:AF97">
    <cfRule type="expression" dxfId="1448" priority="22">
      <formula>C$9&gt;=20/24</formula>
    </cfRule>
    <cfRule type="expression" dxfId="1447" priority="23">
      <formula>AND(C$9&gt;=14/24,C$9&lt;20/24)</formula>
    </cfRule>
    <cfRule type="expression" dxfId="1446" priority="24">
      <formula>AND(C$9&gt;=8/24,C$9&lt;14/24)</formula>
    </cfRule>
    <cfRule type="expression" dxfId="1445" priority="25">
      <formula>C$9&lt;8/24</formula>
    </cfRule>
  </conditionalFormatting>
  <conditionalFormatting sqref="B97">
    <cfRule type="expression" dxfId="1444" priority="18">
      <formula>B$9&gt;=20/24</formula>
    </cfRule>
    <cfRule type="expression" dxfId="1443" priority="19">
      <formula>AND(B$9&gt;=14/24,B$9&lt;20/24)</formula>
    </cfRule>
    <cfRule type="expression" dxfId="1442" priority="20">
      <formula>AND(B$9&gt;=8/24,B$9&lt;14/24)</formula>
    </cfRule>
    <cfRule type="expression" dxfId="1441" priority="21">
      <formula>B$9&lt;8/24</formula>
    </cfRule>
  </conditionalFormatting>
  <conditionalFormatting sqref="AL31">
    <cfRule type="iconSet" priority="17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1440" priority="11">
      <formula>$AH31=0</formula>
    </cfRule>
  </conditionalFormatting>
  <conditionalFormatting sqref="A80">
    <cfRule type="expression" dxfId="1439" priority="9">
      <formula>$AH80=0</formula>
    </cfRule>
  </conditionalFormatting>
  <conditionalFormatting sqref="A77">
    <cfRule type="expression" dxfId="1438" priority="10">
      <formula>$AH77=0</formula>
    </cfRule>
  </conditionalFormatting>
  <conditionalFormatting sqref="W89:X89">
    <cfRule type="expression" dxfId="1437" priority="5">
      <formula>W$9&gt;=20/24</formula>
    </cfRule>
    <cfRule type="expression" dxfId="1436" priority="6">
      <formula>AND(W$9&gt;=14/24,W$9&lt;20/24)</formula>
    </cfRule>
    <cfRule type="expression" dxfId="1435" priority="7">
      <formula>AND(W$9&gt;=8/24,W$9&lt;14/24)</formula>
    </cfRule>
    <cfRule type="expression" dxfId="1434" priority="8">
      <formula>W$9&lt;8/24</formula>
    </cfRule>
  </conditionalFormatting>
  <conditionalFormatting sqref="W90:X96">
    <cfRule type="expression" dxfId="1433" priority="1">
      <formula>W$9&gt;=20/24</formula>
    </cfRule>
    <cfRule type="expression" dxfId="1432" priority="2">
      <formula>AND(W$9&gt;=14/24,W$9&lt;20/24)</formula>
    </cfRule>
    <cfRule type="expression" dxfId="1431" priority="3">
      <formula>AND(W$9&gt;=8/24,W$9&lt;14/24)</formula>
    </cfRule>
    <cfRule type="expression" dxfId="1430" priority="4">
      <formula>W$9&lt;8/24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BAA33EF3-F6D1-4349-82CF-A8B6A6F4A606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" id="{BFEAFBDD-3A15-4A18-886A-130681F8FF72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5" id="{6C08D17D-50ED-463E-9888-6A8450DEBB93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6" id="{27BACA0E-74AC-4320-9EC9-8AFED09BC515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12" id="{3F991254-7FB7-4B54-B17C-81DBA0A79676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2"/>
  <sheetViews>
    <sheetView zoomScale="90" zoomScaleNormal="90" workbookViewId="0">
      <pane xSplit="1" ySplit="10" topLeftCell="B80" activePane="bottomRight" state="frozen"/>
      <selection activeCell="AF88" sqref="AF88"/>
      <selection pane="topRight" activeCell="AF88" sqref="AF88"/>
      <selection pane="bottomLeft" activeCell="AF88" sqref="AF88"/>
      <selection pane="bottomRight" activeCell="J89" sqref="J89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2079/02/27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("&amp;ROUND(B237,0)&amp;" MW)"&amp;"    IPP   = "&amp;ROUND(B232,0)&amp;" MW     NEA RoR = "&amp;ROUND(B233,0)&amp;" MWImport   = "&amp;ROUND(B235,0)&amp;" MW      KL1+KL2+K3 = "&amp;ROUND(B234,0) &amp;" MW    EXPORT = "&amp;ROUND(B236,0)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37</v>
      </c>
      <c r="C5" s="32">
        <f t="shared" si="0"/>
        <v>39.799999999999997</v>
      </c>
      <c r="D5" s="32">
        <f t="shared" si="0"/>
        <v>36.799999999999997</v>
      </c>
      <c r="E5" s="32">
        <f t="shared" si="0"/>
        <v>25</v>
      </c>
      <c r="F5" s="32">
        <f t="shared" si="0"/>
        <v>23</v>
      </c>
      <c r="G5" s="32">
        <f t="shared" si="0"/>
        <v>15.6</v>
      </c>
      <c r="H5" s="32">
        <f t="shared" si="0"/>
        <v>14</v>
      </c>
      <c r="I5" s="32">
        <f t="shared" si="0"/>
        <v>6.5</v>
      </c>
      <c r="J5" s="32">
        <f t="shared" si="0"/>
        <v>8.4</v>
      </c>
      <c r="K5" s="32">
        <f t="shared" si="0"/>
        <v>39.5</v>
      </c>
      <c r="L5" s="32">
        <f t="shared" si="0"/>
        <v>48.5</v>
      </c>
      <c r="M5" s="32">
        <f t="shared" si="0"/>
        <v>38.200000000000003</v>
      </c>
      <c r="N5" s="32">
        <f t="shared" si="0"/>
        <v>53.3</v>
      </c>
      <c r="O5" s="32">
        <f t="shared" si="0"/>
        <v>37</v>
      </c>
      <c r="P5" s="32">
        <f t="shared" si="0"/>
        <v>55.1</v>
      </c>
      <c r="Q5" s="32">
        <f t="shared" si="0"/>
        <v>49.8</v>
      </c>
      <c r="R5" s="32">
        <f t="shared" si="0"/>
        <v>50</v>
      </c>
      <c r="S5" s="32">
        <f t="shared" si="0"/>
        <v>37</v>
      </c>
      <c r="T5" s="32">
        <f t="shared" si="0"/>
        <v>52</v>
      </c>
      <c r="U5" s="32">
        <f t="shared" si="0"/>
        <v>51.5</v>
      </c>
      <c r="V5" s="32">
        <f t="shared" si="0"/>
        <v>61.7</v>
      </c>
      <c r="W5" s="32">
        <f t="shared" si="0"/>
        <v>62.4</v>
      </c>
      <c r="X5" s="32">
        <f t="shared" si="0"/>
        <v>23.1</v>
      </c>
      <c r="Y5" s="32">
        <f t="shared" si="0"/>
        <v>14.5</v>
      </c>
      <c r="Z5" s="32">
        <f t="shared" si="0"/>
        <v>54.5</v>
      </c>
      <c r="AA5" s="32">
        <f t="shared" si="0"/>
        <v>62.1</v>
      </c>
      <c r="AB5" s="32">
        <f t="shared" si="0"/>
        <v>68.900000000000006</v>
      </c>
      <c r="AC5" s="32">
        <f t="shared" si="0"/>
        <v>69</v>
      </c>
      <c r="AD5" s="32">
        <f t="shared" si="0"/>
        <v>82.8</v>
      </c>
      <c r="AE5" s="32">
        <f t="shared" si="0"/>
        <v>47.2</v>
      </c>
      <c r="AF5" s="32">
        <f>B72</f>
        <v>77.5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"&amp;ROUND(B237,0)&amp;"MW at "&amp;TRUNC(B238*24,0)&amp;":"&amp;ROUND((B238*24-TRUNC(B238*24,0))*60,0)&amp;"hr at "&amp;ROUND(B239,1)&amp;"Hz     "&amp;A229&amp;" "&amp;ROUND(B229,0)&amp;"MW at "&amp;TRUNC(C229*24,0)&amp;":"&amp;ROUND((C229*24-TRUNC(C229*24,0))*6,0)&amp;"0hr"</f>
        <v>Evening Peak 0MW at 0:0hr at 0Hz     Morning Peak 1742MW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Load=1678</v>
      </c>
      <c r="B7" s="37">
        <f>B79</f>
        <v>1757.1399999999999</v>
      </c>
      <c r="C7" s="37">
        <f t="shared" ref="C7:AF7" si="1">C79</f>
        <v>1717.5399999999997</v>
      </c>
      <c r="D7" s="37">
        <f t="shared" si="1"/>
        <v>1707.74</v>
      </c>
      <c r="E7" s="37">
        <f t="shared" si="1"/>
        <v>1705.34</v>
      </c>
      <c r="F7" s="37">
        <f t="shared" si="1"/>
        <v>1691.7400000000002</v>
      </c>
      <c r="G7" s="37">
        <f t="shared" si="1"/>
        <v>1694.54</v>
      </c>
      <c r="H7" s="37">
        <f t="shared" si="1"/>
        <v>1697.54</v>
      </c>
      <c r="I7" s="37">
        <f t="shared" si="1"/>
        <v>1695.94</v>
      </c>
      <c r="J7" s="37">
        <f t="shared" si="1"/>
        <v>1678.04</v>
      </c>
      <c r="K7" s="37">
        <f t="shared" si="1"/>
        <v>1679.0400000000002</v>
      </c>
      <c r="L7" s="37">
        <f t="shared" si="1"/>
        <v>1725.94</v>
      </c>
      <c r="M7" s="37">
        <f t="shared" si="1"/>
        <v>1740.3400000000001</v>
      </c>
      <c r="N7" s="37">
        <f t="shared" si="1"/>
        <v>1741.8400000000001</v>
      </c>
      <c r="O7" s="37">
        <f t="shared" si="1"/>
        <v>1759.84</v>
      </c>
      <c r="P7" s="37">
        <f t="shared" si="1"/>
        <v>1714.54</v>
      </c>
      <c r="Q7" s="37">
        <f t="shared" si="1"/>
        <v>1751.94</v>
      </c>
      <c r="R7" s="37">
        <f t="shared" si="1"/>
        <v>1758.44</v>
      </c>
      <c r="S7" s="37">
        <f t="shared" si="1"/>
        <v>1735.74</v>
      </c>
      <c r="T7" s="37">
        <f t="shared" si="1"/>
        <v>1745.8400000000001</v>
      </c>
      <c r="U7" s="37">
        <f t="shared" si="1"/>
        <v>1739.54</v>
      </c>
      <c r="V7" s="37">
        <f t="shared" si="1"/>
        <v>1741.54</v>
      </c>
      <c r="W7" s="37">
        <f t="shared" si="1"/>
        <v>1751.74</v>
      </c>
      <c r="X7" s="37">
        <f t="shared" si="1"/>
        <v>1752.44</v>
      </c>
      <c r="Y7" s="37">
        <f t="shared" si="1"/>
        <v>1779.9399999999998</v>
      </c>
      <c r="Z7" s="37">
        <f t="shared" si="1"/>
        <v>1789.34</v>
      </c>
      <c r="AA7" s="37">
        <f t="shared" si="1"/>
        <v>1839.34</v>
      </c>
      <c r="AB7" s="37">
        <f t="shared" si="1"/>
        <v>1851.1399999999999</v>
      </c>
      <c r="AC7" s="37">
        <f t="shared" si="1"/>
        <v>1855.0800000000002</v>
      </c>
      <c r="AD7" s="37">
        <f t="shared" si="1"/>
        <v>1855.18</v>
      </c>
      <c r="AE7" s="37">
        <f t="shared" si="1"/>
        <v>1868.98</v>
      </c>
      <c r="AF7" s="37">
        <f t="shared" si="1"/>
        <v>1833.38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179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0">
        <v>53.6</v>
      </c>
      <c r="C11" s="50">
        <v>53.6</v>
      </c>
      <c r="D11" s="49">
        <v>53.6</v>
      </c>
      <c r="E11" s="50">
        <v>53.6</v>
      </c>
      <c r="F11" s="50">
        <v>53.5</v>
      </c>
      <c r="G11" s="50">
        <v>53.5</v>
      </c>
      <c r="H11" s="50">
        <v>53.5</v>
      </c>
      <c r="I11" s="50">
        <v>53.5</v>
      </c>
      <c r="J11" s="50">
        <v>53.5</v>
      </c>
      <c r="K11" s="50">
        <v>53.5</v>
      </c>
      <c r="L11" s="50">
        <v>53.5</v>
      </c>
      <c r="M11" s="50">
        <v>53.6</v>
      </c>
      <c r="N11" s="50">
        <v>53.6</v>
      </c>
      <c r="O11" s="50">
        <v>53.6</v>
      </c>
      <c r="P11" s="50">
        <v>53.6</v>
      </c>
      <c r="Q11" s="50">
        <v>53.5</v>
      </c>
      <c r="R11" s="50">
        <v>53.5</v>
      </c>
      <c r="S11" s="50">
        <v>53.5</v>
      </c>
      <c r="T11" s="50">
        <v>53.5</v>
      </c>
      <c r="U11" s="50">
        <v>53.5</v>
      </c>
      <c r="V11" s="50">
        <v>53.5</v>
      </c>
      <c r="W11" s="50">
        <v>53.5</v>
      </c>
      <c r="X11" s="50">
        <v>53.5</v>
      </c>
      <c r="Y11" s="50">
        <v>53.5</v>
      </c>
      <c r="Z11" s="50">
        <v>53.5</v>
      </c>
      <c r="AA11" s="52">
        <v>53.5</v>
      </c>
      <c r="AB11" s="52">
        <v>53.5</v>
      </c>
      <c r="AC11" s="52">
        <v>53.5</v>
      </c>
      <c r="AD11" s="52">
        <v>53.5</v>
      </c>
      <c r="AE11" s="52">
        <v>53.5</v>
      </c>
      <c r="AF11" s="52">
        <v>53.5</v>
      </c>
      <c r="AG11" s="133">
        <v>52.4</v>
      </c>
      <c r="AH11" s="54">
        <f>MAX(B11:AF11)</f>
        <v>53.6</v>
      </c>
      <c r="AI11" s="55">
        <f>MIN(B11:AF11)</f>
        <v>53.5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50.1</v>
      </c>
      <c r="C12" s="50">
        <v>50.1</v>
      </c>
      <c r="D12" s="50">
        <v>50.2</v>
      </c>
      <c r="E12" s="50">
        <v>50.6</v>
      </c>
      <c r="F12" s="50">
        <v>50.4</v>
      </c>
      <c r="G12" s="50">
        <v>50.4</v>
      </c>
      <c r="H12" s="50">
        <v>50.4</v>
      </c>
      <c r="I12" s="50">
        <v>50.4</v>
      </c>
      <c r="J12" s="50">
        <v>50.4</v>
      </c>
      <c r="K12" s="50">
        <v>50.4</v>
      </c>
      <c r="L12" s="50">
        <v>50.4</v>
      </c>
      <c r="M12" s="50">
        <v>50.3</v>
      </c>
      <c r="N12" s="50">
        <v>50.3</v>
      </c>
      <c r="O12" s="50">
        <v>50.3</v>
      </c>
      <c r="P12" s="50">
        <v>50.3</v>
      </c>
      <c r="Q12" s="50">
        <v>50.4</v>
      </c>
      <c r="R12" s="50">
        <v>50.4</v>
      </c>
      <c r="S12" s="50">
        <v>50.4</v>
      </c>
      <c r="T12" s="50">
        <v>50.4</v>
      </c>
      <c r="U12" s="50">
        <v>50.4</v>
      </c>
      <c r="V12" s="50">
        <v>50.4</v>
      </c>
      <c r="W12" s="50">
        <v>50.4</v>
      </c>
      <c r="X12" s="50">
        <v>50.4</v>
      </c>
      <c r="Y12" s="50">
        <v>50.4</v>
      </c>
      <c r="Z12" s="50">
        <v>50.4</v>
      </c>
      <c r="AA12" s="50">
        <v>50.4</v>
      </c>
      <c r="AB12" s="50">
        <v>50.4</v>
      </c>
      <c r="AC12" s="50">
        <v>50.4</v>
      </c>
      <c r="AD12" s="50">
        <v>50.4</v>
      </c>
      <c r="AE12" s="50">
        <v>50.4</v>
      </c>
      <c r="AF12" s="50">
        <v>50.4</v>
      </c>
      <c r="AG12" s="134">
        <v>50</v>
      </c>
      <c r="AH12" s="54">
        <f t="shared" ref="AH12:AH79" si="2">MAX(B12:AF12)</f>
        <v>50.6</v>
      </c>
      <c r="AI12" s="55">
        <f t="shared" ref="AI12:AI79" si="3">MIN(B12:AF12)</f>
        <v>50.1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45.9</v>
      </c>
      <c r="C13" s="50">
        <v>45.9</v>
      </c>
      <c r="D13" s="50">
        <v>45.9</v>
      </c>
      <c r="E13" s="50">
        <v>45.9</v>
      </c>
      <c r="F13" s="50">
        <v>45.9</v>
      </c>
      <c r="G13" s="50">
        <v>45.9</v>
      </c>
      <c r="H13" s="50">
        <v>45.9</v>
      </c>
      <c r="I13" s="50">
        <v>45.9</v>
      </c>
      <c r="J13" s="50">
        <v>45.9</v>
      </c>
      <c r="K13" s="50">
        <v>45.9</v>
      </c>
      <c r="L13" s="50">
        <v>45.9</v>
      </c>
      <c r="M13" s="50">
        <v>45.8</v>
      </c>
      <c r="N13" s="50">
        <v>45.8</v>
      </c>
      <c r="O13" s="50">
        <v>45.8</v>
      </c>
      <c r="P13" s="50">
        <v>45.8</v>
      </c>
      <c r="Q13" s="50">
        <v>45.8</v>
      </c>
      <c r="R13" s="50">
        <v>45.8</v>
      </c>
      <c r="S13" s="50">
        <v>45.8</v>
      </c>
      <c r="T13" s="50">
        <v>45.8</v>
      </c>
      <c r="U13" s="50">
        <v>45.8</v>
      </c>
      <c r="V13" s="50">
        <v>45.8</v>
      </c>
      <c r="W13" s="50">
        <v>45.8</v>
      </c>
      <c r="X13" s="50">
        <v>45.8</v>
      </c>
      <c r="Y13" s="50">
        <v>45.8</v>
      </c>
      <c r="Z13" s="50">
        <v>45.8</v>
      </c>
      <c r="AA13" s="50">
        <v>45.8</v>
      </c>
      <c r="AB13" s="50">
        <v>45.8</v>
      </c>
      <c r="AC13" s="50">
        <v>45.8</v>
      </c>
      <c r="AD13" s="50">
        <v>45.8</v>
      </c>
      <c r="AE13" s="50">
        <v>45.8</v>
      </c>
      <c r="AF13" s="50">
        <v>45.8</v>
      </c>
      <c r="AG13" s="134">
        <v>45</v>
      </c>
      <c r="AH13" s="54">
        <f t="shared" si="2"/>
        <v>45.9</v>
      </c>
      <c r="AI13" s="55">
        <f t="shared" si="3"/>
        <v>45.8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38</v>
      </c>
      <c r="C14" s="50">
        <v>38</v>
      </c>
      <c r="D14" s="50">
        <v>41</v>
      </c>
      <c r="E14" s="50">
        <v>41</v>
      </c>
      <c r="F14" s="50">
        <v>41</v>
      </c>
      <c r="G14" s="50">
        <v>41</v>
      </c>
      <c r="H14" s="50">
        <v>41</v>
      </c>
      <c r="I14" s="50">
        <v>41</v>
      </c>
      <c r="J14" s="50">
        <v>41</v>
      </c>
      <c r="K14" s="50">
        <v>41</v>
      </c>
      <c r="L14" s="50">
        <v>41</v>
      </c>
      <c r="M14" s="50">
        <v>41</v>
      </c>
      <c r="N14" s="50">
        <v>41</v>
      </c>
      <c r="O14" s="50">
        <v>41</v>
      </c>
      <c r="P14" s="50">
        <v>41</v>
      </c>
      <c r="Q14" s="50">
        <v>41</v>
      </c>
      <c r="R14" s="50">
        <v>41</v>
      </c>
      <c r="S14" s="50">
        <v>41</v>
      </c>
      <c r="T14" s="50">
        <v>41</v>
      </c>
      <c r="U14" s="50">
        <v>41</v>
      </c>
      <c r="V14" s="50">
        <v>41</v>
      </c>
      <c r="W14" s="50">
        <v>41</v>
      </c>
      <c r="X14" s="50">
        <v>41</v>
      </c>
      <c r="Y14" s="50">
        <v>30</v>
      </c>
      <c r="Z14" s="50">
        <v>30</v>
      </c>
      <c r="AA14" s="50">
        <v>40</v>
      </c>
      <c r="AB14" s="50">
        <v>40</v>
      </c>
      <c r="AC14" s="50">
        <v>40</v>
      </c>
      <c r="AD14" s="50">
        <v>40</v>
      </c>
      <c r="AE14" s="50">
        <v>40</v>
      </c>
      <c r="AF14" s="50">
        <v>40</v>
      </c>
      <c r="AG14" s="134">
        <v>42</v>
      </c>
      <c r="AH14" s="54">
        <f t="shared" si="2"/>
        <v>41</v>
      </c>
      <c r="AI14" s="55">
        <f t="shared" si="3"/>
        <v>30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30</v>
      </c>
      <c r="C15" s="50">
        <v>30</v>
      </c>
      <c r="D15" s="50">
        <v>15</v>
      </c>
      <c r="E15" s="50">
        <v>15</v>
      </c>
      <c r="F15" s="50">
        <v>15</v>
      </c>
      <c r="G15" s="50">
        <v>20</v>
      </c>
      <c r="H15" s="50">
        <v>30</v>
      </c>
      <c r="I15" s="50">
        <v>30</v>
      </c>
      <c r="J15" s="50">
        <v>30</v>
      </c>
      <c r="K15" s="50">
        <v>30</v>
      </c>
      <c r="L15" s="50">
        <v>30</v>
      </c>
      <c r="M15" s="50">
        <v>30</v>
      </c>
      <c r="N15" s="50">
        <v>30</v>
      </c>
      <c r="O15" s="50">
        <v>30</v>
      </c>
      <c r="P15" s="50">
        <v>30</v>
      </c>
      <c r="Q15" s="50">
        <v>30</v>
      </c>
      <c r="R15" s="50">
        <v>30</v>
      </c>
      <c r="S15" s="50">
        <v>30</v>
      </c>
      <c r="T15" s="50">
        <v>30</v>
      </c>
      <c r="U15" s="50">
        <v>30</v>
      </c>
      <c r="V15" s="50">
        <v>30</v>
      </c>
      <c r="W15" s="50">
        <v>30</v>
      </c>
      <c r="X15" s="50">
        <v>30</v>
      </c>
      <c r="Y15" s="50">
        <v>10</v>
      </c>
      <c r="Z15" s="50">
        <v>20</v>
      </c>
      <c r="AA15" s="50">
        <v>30</v>
      </c>
      <c r="AB15" s="50">
        <v>30</v>
      </c>
      <c r="AC15" s="50">
        <v>30</v>
      </c>
      <c r="AD15" s="50">
        <v>30</v>
      </c>
      <c r="AE15" s="50">
        <v>30</v>
      </c>
      <c r="AF15" s="50">
        <v>30</v>
      </c>
      <c r="AG15" s="135">
        <v>30</v>
      </c>
      <c r="AH15" s="54">
        <f t="shared" si="2"/>
        <v>30</v>
      </c>
      <c r="AI15" s="55">
        <f t="shared" si="3"/>
        <v>10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26.3</v>
      </c>
      <c r="C16" s="50">
        <v>26.3</v>
      </c>
      <c r="D16" s="50">
        <v>26.3</v>
      </c>
      <c r="E16" s="50">
        <v>26.2</v>
      </c>
      <c r="F16" s="50">
        <v>26.2</v>
      </c>
      <c r="G16" s="50">
        <v>26.2</v>
      </c>
      <c r="H16" s="50">
        <v>26.2</v>
      </c>
      <c r="I16" s="50">
        <v>26.2</v>
      </c>
      <c r="J16" s="50">
        <v>26.2</v>
      </c>
      <c r="K16" s="50">
        <v>26.2</v>
      </c>
      <c r="L16" s="50">
        <v>26.2</v>
      </c>
      <c r="M16" s="50">
        <v>26.3</v>
      </c>
      <c r="N16" s="50">
        <v>26.3</v>
      </c>
      <c r="O16" s="50">
        <v>26.3</v>
      </c>
      <c r="P16" s="50">
        <v>26.3</v>
      </c>
      <c r="Q16" s="50">
        <v>26.3</v>
      </c>
      <c r="R16" s="50">
        <v>26.3</v>
      </c>
      <c r="S16" s="50">
        <v>26.3</v>
      </c>
      <c r="T16" s="50">
        <v>26.3</v>
      </c>
      <c r="U16" s="50">
        <v>26.3</v>
      </c>
      <c r="V16" s="50">
        <v>26.3</v>
      </c>
      <c r="W16" s="50">
        <v>26.3</v>
      </c>
      <c r="X16" s="50">
        <v>26.3</v>
      </c>
      <c r="Y16" s="50">
        <v>26.3</v>
      </c>
      <c r="Z16" s="50">
        <v>26.3</v>
      </c>
      <c r="AA16" s="50">
        <v>26.3</v>
      </c>
      <c r="AB16" s="50">
        <v>26.3</v>
      </c>
      <c r="AC16" s="50">
        <v>26.3</v>
      </c>
      <c r="AD16" s="50">
        <v>26.3</v>
      </c>
      <c r="AE16" s="50">
        <v>26.3</v>
      </c>
      <c r="AF16" s="50">
        <v>26.3</v>
      </c>
      <c r="AG16" s="134">
        <v>25</v>
      </c>
      <c r="AH16" s="54">
        <f t="shared" si="2"/>
        <v>26.3</v>
      </c>
      <c r="AI16" s="55">
        <f t="shared" si="3"/>
        <v>26.2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25</v>
      </c>
      <c r="D18" s="50">
        <v>25</v>
      </c>
      <c r="E18" s="50">
        <v>25</v>
      </c>
      <c r="F18" s="50">
        <v>25</v>
      </c>
      <c r="G18" s="50">
        <v>25</v>
      </c>
      <c r="H18" s="50">
        <v>25</v>
      </c>
      <c r="I18" s="50">
        <v>25</v>
      </c>
      <c r="J18" s="50">
        <v>25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25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33.200000000000003</v>
      </c>
      <c r="C19" s="50">
        <v>33.200000000000003</v>
      </c>
      <c r="D19" s="50">
        <v>33.200000000000003</v>
      </c>
      <c r="E19" s="50">
        <v>33.200000000000003</v>
      </c>
      <c r="F19" s="50">
        <v>33.200000000000003</v>
      </c>
      <c r="G19" s="50">
        <v>33.200000000000003</v>
      </c>
      <c r="H19" s="50">
        <v>33.200000000000003</v>
      </c>
      <c r="I19" s="50">
        <v>33.200000000000003</v>
      </c>
      <c r="J19" s="50">
        <v>33.200000000000003</v>
      </c>
      <c r="K19" s="50">
        <v>33.200000000000003</v>
      </c>
      <c r="L19" s="50">
        <v>33.200000000000003</v>
      </c>
      <c r="M19" s="50">
        <v>33.200000000000003</v>
      </c>
      <c r="N19" s="50">
        <v>33.200000000000003</v>
      </c>
      <c r="O19" s="50">
        <v>33.200000000000003</v>
      </c>
      <c r="P19" s="50">
        <v>33.200000000000003</v>
      </c>
      <c r="Q19" s="50">
        <v>33.200000000000003</v>
      </c>
      <c r="R19" s="50">
        <v>33.200000000000003</v>
      </c>
      <c r="S19" s="50">
        <v>33.200000000000003</v>
      </c>
      <c r="T19" s="50">
        <v>33.200000000000003</v>
      </c>
      <c r="U19" s="50">
        <v>33.200000000000003</v>
      </c>
      <c r="V19" s="50">
        <v>33.200000000000003</v>
      </c>
      <c r="W19" s="50">
        <v>33.200000000000003</v>
      </c>
      <c r="X19" s="50">
        <v>33.200000000000003</v>
      </c>
      <c r="Y19" s="50">
        <v>25</v>
      </c>
      <c r="Z19" s="50">
        <v>33</v>
      </c>
      <c r="AA19" s="50">
        <v>33</v>
      </c>
      <c r="AB19" s="50">
        <v>33</v>
      </c>
      <c r="AC19" s="50">
        <v>33</v>
      </c>
      <c r="AD19" s="50">
        <v>33</v>
      </c>
      <c r="AE19" s="50">
        <v>33</v>
      </c>
      <c r="AF19" s="50">
        <v>33</v>
      </c>
      <c r="AG19" s="134">
        <v>24.2</v>
      </c>
      <c r="AH19" s="54">
        <f t="shared" si="2"/>
        <v>33.200000000000003</v>
      </c>
      <c r="AI19" s="55">
        <f t="shared" si="3"/>
        <v>25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23.2</v>
      </c>
      <c r="C20" s="50">
        <v>23.2</v>
      </c>
      <c r="D20" s="50">
        <v>23.2</v>
      </c>
      <c r="E20" s="50">
        <v>23.2</v>
      </c>
      <c r="F20" s="50">
        <v>23.3</v>
      </c>
      <c r="G20" s="50">
        <v>23.3</v>
      </c>
      <c r="H20" s="50">
        <v>23.3</v>
      </c>
      <c r="I20" s="50">
        <v>23.3</v>
      </c>
      <c r="J20" s="50">
        <v>23.3</v>
      </c>
      <c r="K20" s="50">
        <v>23.3</v>
      </c>
      <c r="L20" s="50">
        <v>23.3</v>
      </c>
      <c r="M20" s="50">
        <v>23.4</v>
      </c>
      <c r="N20" s="50">
        <v>23.4</v>
      </c>
      <c r="O20" s="50">
        <v>23.4</v>
      </c>
      <c r="P20" s="50">
        <v>23.4</v>
      </c>
      <c r="Q20" s="50">
        <v>23.4</v>
      </c>
      <c r="R20" s="50">
        <v>23.4</v>
      </c>
      <c r="S20" s="50">
        <v>23.4</v>
      </c>
      <c r="T20" s="50">
        <v>23.4</v>
      </c>
      <c r="U20" s="50">
        <v>23.4</v>
      </c>
      <c r="V20" s="50">
        <v>23.4</v>
      </c>
      <c r="W20" s="50">
        <v>23.4</v>
      </c>
      <c r="X20" s="50">
        <v>23.4</v>
      </c>
      <c r="Y20" s="50">
        <v>23.4</v>
      </c>
      <c r="Z20" s="50">
        <v>23.4</v>
      </c>
      <c r="AA20" s="50">
        <v>23.4</v>
      </c>
      <c r="AB20" s="50">
        <v>23.4</v>
      </c>
      <c r="AC20" s="50">
        <v>23.4</v>
      </c>
      <c r="AD20" s="50">
        <v>23.4</v>
      </c>
      <c r="AE20" s="50">
        <v>23.4</v>
      </c>
      <c r="AF20" s="50">
        <v>23.4</v>
      </c>
      <c r="AG20" s="134">
        <v>23.5</v>
      </c>
      <c r="AH20" s="54">
        <f t="shared" si="2"/>
        <v>23.4</v>
      </c>
      <c r="AI20" s="55">
        <f t="shared" si="3"/>
        <v>23.2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16</v>
      </c>
      <c r="C21" s="50">
        <v>16</v>
      </c>
      <c r="D21" s="50">
        <v>16</v>
      </c>
      <c r="E21" s="50">
        <v>16</v>
      </c>
      <c r="F21" s="50">
        <v>16</v>
      </c>
      <c r="G21" s="50">
        <v>16</v>
      </c>
      <c r="H21" s="50">
        <v>16</v>
      </c>
      <c r="I21" s="50">
        <v>16</v>
      </c>
      <c r="J21" s="50">
        <v>16</v>
      </c>
      <c r="K21" s="50">
        <v>16</v>
      </c>
      <c r="L21" s="50">
        <v>16</v>
      </c>
      <c r="M21" s="50">
        <v>16</v>
      </c>
      <c r="N21" s="50">
        <v>16</v>
      </c>
      <c r="O21" s="50">
        <v>16</v>
      </c>
      <c r="P21" s="50">
        <v>16</v>
      </c>
      <c r="Q21" s="50">
        <v>16</v>
      </c>
      <c r="R21" s="50">
        <v>16</v>
      </c>
      <c r="S21" s="50">
        <v>16</v>
      </c>
      <c r="T21" s="50">
        <v>16</v>
      </c>
      <c r="U21" s="50">
        <v>16</v>
      </c>
      <c r="V21" s="50">
        <v>16</v>
      </c>
      <c r="W21" s="50">
        <v>16</v>
      </c>
      <c r="X21" s="50">
        <v>16</v>
      </c>
      <c r="Y21" s="50">
        <v>16</v>
      </c>
      <c r="Z21" s="50">
        <v>16</v>
      </c>
      <c r="AA21" s="50">
        <v>16</v>
      </c>
      <c r="AB21" s="50">
        <v>16</v>
      </c>
      <c r="AC21" s="50">
        <v>16</v>
      </c>
      <c r="AD21" s="50">
        <v>16</v>
      </c>
      <c r="AE21" s="50">
        <v>16</v>
      </c>
      <c r="AF21" s="50">
        <v>16</v>
      </c>
      <c r="AG21" s="134">
        <v>22.2</v>
      </c>
      <c r="AH21" s="54">
        <f t="shared" si="2"/>
        <v>16</v>
      </c>
      <c r="AI21" s="55">
        <f t="shared" si="3"/>
        <v>16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134">
        <v>22.1</v>
      </c>
      <c r="AH22" s="54">
        <f t="shared" si="2"/>
        <v>22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18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18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22</v>
      </c>
      <c r="AI24" s="55">
        <f t="shared" si="3"/>
        <v>22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0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134">
        <v>20</v>
      </c>
      <c r="AH25" s="54">
        <f t="shared" si="2"/>
        <v>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14.9</v>
      </c>
      <c r="C26" s="50">
        <v>14.9</v>
      </c>
      <c r="D26" s="50">
        <v>14.9</v>
      </c>
      <c r="E26" s="50">
        <v>14.9</v>
      </c>
      <c r="F26" s="50">
        <v>14.9</v>
      </c>
      <c r="G26" s="50">
        <v>14.9</v>
      </c>
      <c r="H26" s="50">
        <v>14.9</v>
      </c>
      <c r="I26" s="50">
        <v>14.9</v>
      </c>
      <c r="J26" s="50">
        <v>14.9</v>
      </c>
      <c r="K26" s="50">
        <v>14.9</v>
      </c>
      <c r="L26" s="50">
        <v>14.9</v>
      </c>
      <c r="M26" s="50">
        <v>14.9</v>
      </c>
      <c r="N26" s="50">
        <v>14.9</v>
      </c>
      <c r="O26" s="50">
        <v>14.9</v>
      </c>
      <c r="P26" s="50">
        <v>14.9</v>
      </c>
      <c r="Q26" s="50">
        <v>14.9</v>
      </c>
      <c r="R26" s="50">
        <v>14.9</v>
      </c>
      <c r="S26" s="50">
        <v>14.9</v>
      </c>
      <c r="T26" s="50">
        <v>14.9</v>
      </c>
      <c r="U26" s="50">
        <v>14.9</v>
      </c>
      <c r="V26" s="50">
        <v>14.9</v>
      </c>
      <c r="W26" s="50">
        <v>14.9</v>
      </c>
      <c r="X26" s="50">
        <v>14.9</v>
      </c>
      <c r="Y26" s="50">
        <v>14.9</v>
      </c>
      <c r="Z26" s="50">
        <v>14.9</v>
      </c>
      <c r="AA26" s="50">
        <v>14.9</v>
      </c>
      <c r="AB26" s="50">
        <v>14.9</v>
      </c>
      <c r="AC26" s="50">
        <v>14.9</v>
      </c>
      <c r="AD26" s="50">
        <v>14.9</v>
      </c>
      <c r="AE26" s="50">
        <v>14.9</v>
      </c>
      <c r="AF26" s="50">
        <v>14.9</v>
      </c>
      <c r="AG26" s="134">
        <v>14.9</v>
      </c>
      <c r="AH26" s="54">
        <f t="shared" si="2"/>
        <v>14.9</v>
      </c>
      <c r="AI26" s="55">
        <f t="shared" si="3"/>
        <v>14.9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12</v>
      </c>
      <c r="C27" s="50">
        <v>12</v>
      </c>
      <c r="D27" s="50">
        <v>12</v>
      </c>
      <c r="E27" s="50">
        <v>12</v>
      </c>
      <c r="F27" s="50">
        <v>12</v>
      </c>
      <c r="G27" s="50">
        <v>12</v>
      </c>
      <c r="H27" s="50">
        <v>12</v>
      </c>
      <c r="I27" s="50">
        <v>12</v>
      </c>
      <c r="J27" s="50">
        <v>12</v>
      </c>
      <c r="K27" s="50">
        <v>12</v>
      </c>
      <c r="L27" s="50">
        <v>12</v>
      </c>
      <c r="M27" s="50">
        <v>12</v>
      </c>
      <c r="N27" s="50">
        <v>12</v>
      </c>
      <c r="O27" s="50">
        <v>12</v>
      </c>
      <c r="P27" s="50">
        <v>12</v>
      </c>
      <c r="Q27" s="50">
        <v>12</v>
      </c>
      <c r="R27" s="50">
        <v>12</v>
      </c>
      <c r="S27" s="50">
        <v>12</v>
      </c>
      <c r="T27" s="50">
        <v>12</v>
      </c>
      <c r="U27" s="50">
        <v>12</v>
      </c>
      <c r="V27" s="50">
        <v>12</v>
      </c>
      <c r="W27" s="50">
        <v>12</v>
      </c>
      <c r="X27" s="50">
        <v>12</v>
      </c>
      <c r="Y27" s="50">
        <v>12</v>
      </c>
      <c r="Z27" s="50">
        <v>12</v>
      </c>
      <c r="AA27" s="50">
        <v>12</v>
      </c>
      <c r="AB27" s="50">
        <v>12</v>
      </c>
      <c r="AC27" s="50">
        <v>12</v>
      </c>
      <c r="AD27" s="50">
        <v>12</v>
      </c>
      <c r="AE27" s="50">
        <v>12</v>
      </c>
      <c r="AF27" s="50">
        <v>12</v>
      </c>
      <c r="AG27" s="134">
        <v>13.6</v>
      </c>
      <c r="AH27" s="54">
        <f t="shared" si="2"/>
        <v>12</v>
      </c>
      <c r="AI27" s="55">
        <f t="shared" si="3"/>
        <v>12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12</v>
      </c>
      <c r="C28" s="50">
        <v>12</v>
      </c>
      <c r="D28" s="50">
        <v>12</v>
      </c>
      <c r="E28" s="50">
        <v>12</v>
      </c>
      <c r="F28" s="50">
        <v>13</v>
      </c>
      <c r="G28" s="50">
        <v>13</v>
      </c>
      <c r="H28" s="50">
        <v>13</v>
      </c>
      <c r="I28" s="50">
        <v>13</v>
      </c>
      <c r="J28" s="50">
        <v>13</v>
      </c>
      <c r="K28" s="50">
        <v>13</v>
      </c>
      <c r="L28" s="50">
        <v>13</v>
      </c>
      <c r="M28" s="50">
        <v>13</v>
      </c>
      <c r="N28" s="50">
        <v>13</v>
      </c>
      <c r="O28" s="50">
        <v>13</v>
      </c>
      <c r="P28" s="50">
        <v>13</v>
      </c>
      <c r="Q28" s="50">
        <v>13</v>
      </c>
      <c r="R28" s="50">
        <v>13</v>
      </c>
      <c r="S28" s="50">
        <v>13</v>
      </c>
      <c r="T28" s="50">
        <v>13</v>
      </c>
      <c r="U28" s="50">
        <v>13</v>
      </c>
      <c r="V28" s="50">
        <v>13</v>
      </c>
      <c r="W28" s="50">
        <v>13</v>
      </c>
      <c r="X28" s="50">
        <v>13</v>
      </c>
      <c r="Y28" s="50">
        <v>13</v>
      </c>
      <c r="Z28" s="50">
        <v>13</v>
      </c>
      <c r="AA28" s="50">
        <v>13</v>
      </c>
      <c r="AB28" s="50">
        <v>13</v>
      </c>
      <c r="AC28" s="50">
        <v>13</v>
      </c>
      <c r="AD28" s="50">
        <v>13</v>
      </c>
      <c r="AE28" s="50">
        <v>13</v>
      </c>
      <c r="AF28" s="50">
        <v>13</v>
      </c>
      <c r="AG28" s="134">
        <v>13</v>
      </c>
      <c r="AH28" s="54">
        <f t="shared" si="2"/>
        <v>13</v>
      </c>
      <c r="AI28" s="55">
        <f t="shared" si="3"/>
        <v>12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12</v>
      </c>
      <c r="C29" s="50">
        <v>12</v>
      </c>
      <c r="D29" s="50">
        <v>12</v>
      </c>
      <c r="E29" s="50">
        <v>12</v>
      </c>
      <c r="F29" s="50">
        <v>12</v>
      </c>
      <c r="G29" s="50">
        <v>12</v>
      </c>
      <c r="H29" s="50">
        <v>12</v>
      </c>
      <c r="I29" s="50">
        <v>12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134">
        <v>12</v>
      </c>
      <c r="AH29" s="54">
        <f t="shared" si="2"/>
        <v>12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2</v>
      </c>
      <c r="C30" s="50">
        <v>2</v>
      </c>
      <c r="D30" s="50">
        <v>2</v>
      </c>
      <c r="E30" s="50">
        <v>2</v>
      </c>
      <c r="F30" s="50">
        <v>2</v>
      </c>
      <c r="G30" s="50">
        <v>2</v>
      </c>
      <c r="H30" s="50">
        <v>2</v>
      </c>
      <c r="I30" s="50">
        <v>2</v>
      </c>
      <c r="J30" s="50">
        <v>2</v>
      </c>
      <c r="K30" s="50">
        <v>2</v>
      </c>
      <c r="L30" s="50">
        <v>2</v>
      </c>
      <c r="M30" s="50">
        <v>2</v>
      </c>
      <c r="N30" s="50">
        <v>2</v>
      </c>
      <c r="O30" s="50">
        <v>2</v>
      </c>
      <c r="P30" s="50">
        <v>2</v>
      </c>
      <c r="Q30" s="50">
        <v>2</v>
      </c>
      <c r="R30" s="50">
        <v>2</v>
      </c>
      <c r="S30" s="50">
        <v>2</v>
      </c>
      <c r="T30" s="50">
        <v>2</v>
      </c>
      <c r="U30" s="50">
        <v>2</v>
      </c>
      <c r="V30" s="50">
        <v>2</v>
      </c>
      <c r="W30" s="50">
        <v>2</v>
      </c>
      <c r="X30" s="50">
        <v>2</v>
      </c>
      <c r="Y30" s="50">
        <v>2</v>
      </c>
      <c r="Z30" s="50">
        <v>2</v>
      </c>
      <c r="AA30" s="50">
        <v>2</v>
      </c>
      <c r="AB30" s="50">
        <v>2</v>
      </c>
      <c r="AC30" s="50">
        <v>2</v>
      </c>
      <c r="AD30" s="50">
        <v>2</v>
      </c>
      <c r="AE30" s="50">
        <v>2</v>
      </c>
      <c r="AF30" s="50">
        <v>2</v>
      </c>
      <c r="AG30" s="134">
        <v>12</v>
      </c>
      <c r="AH30" s="54">
        <f t="shared" si="2"/>
        <v>2</v>
      </c>
      <c r="AI30" s="55">
        <f t="shared" si="3"/>
        <v>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12</v>
      </c>
      <c r="C31" s="50">
        <v>12</v>
      </c>
      <c r="D31" s="50">
        <v>12</v>
      </c>
      <c r="E31" s="50">
        <v>12</v>
      </c>
      <c r="F31" s="50">
        <v>12</v>
      </c>
      <c r="G31" s="50">
        <v>12</v>
      </c>
      <c r="H31" s="50">
        <v>12</v>
      </c>
      <c r="I31" s="50">
        <v>12</v>
      </c>
      <c r="J31" s="50">
        <v>12</v>
      </c>
      <c r="K31" s="50">
        <v>12</v>
      </c>
      <c r="L31" s="50">
        <v>12</v>
      </c>
      <c r="M31" s="50">
        <v>12</v>
      </c>
      <c r="N31" s="50">
        <v>12</v>
      </c>
      <c r="O31" s="50">
        <v>12</v>
      </c>
      <c r="P31" s="50">
        <v>12</v>
      </c>
      <c r="Q31" s="50">
        <v>12</v>
      </c>
      <c r="R31" s="50">
        <v>12</v>
      </c>
      <c r="S31" s="50">
        <v>12</v>
      </c>
      <c r="T31" s="50">
        <v>12</v>
      </c>
      <c r="U31" s="50">
        <v>12</v>
      </c>
      <c r="V31" s="50">
        <v>12</v>
      </c>
      <c r="W31" s="50">
        <v>12</v>
      </c>
      <c r="X31" s="50">
        <v>12</v>
      </c>
      <c r="Y31" s="50">
        <v>12</v>
      </c>
      <c r="Z31" s="50">
        <v>12</v>
      </c>
      <c r="AA31" s="50">
        <v>12</v>
      </c>
      <c r="AB31" s="50">
        <v>12</v>
      </c>
      <c r="AC31" s="50">
        <v>12</v>
      </c>
      <c r="AD31" s="50">
        <v>12</v>
      </c>
      <c r="AE31" s="50">
        <v>12</v>
      </c>
      <c r="AF31" s="50">
        <v>12</v>
      </c>
      <c r="AG31" s="178">
        <v>22</v>
      </c>
      <c r="AH31" s="54">
        <f>MAX(B31:AF31)</f>
        <v>12</v>
      </c>
      <c r="AI31" s="55">
        <f>MIN(B31:AF31)</f>
        <v>12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11.5</v>
      </c>
      <c r="C32" s="50">
        <v>11.5</v>
      </c>
      <c r="D32" s="50">
        <v>11.5</v>
      </c>
      <c r="E32" s="50">
        <v>11.5</v>
      </c>
      <c r="F32" s="50">
        <v>11.5</v>
      </c>
      <c r="G32" s="50">
        <v>11.5</v>
      </c>
      <c r="H32" s="50">
        <v>11.5</v>
      </c>
      <c r="I32" s="50">
        <v>11.5</v>
      </c>
      <c r="J32" s="50">
        <v>11.5</v>
      </c>
      <c r="K32" s="50">
        <v>11.5</v>
      </c>
      <c r="L32" s="50">
        <v>11.5</v>
      </c>
      <c r="M32" s="50">
        <v>11.5</v>
      </c>
      <c r="N32" s="50">
        <v>11.5</v>
      </c>
      <c r="O32" s="50">
        <v>11.5</v>
      </c>
      <c r="P32" s="50">
        <v>11.5</v>
      </c>
      <c r="Q32" s="50">
        <v>11.5</v>
      </c>
      <c r="R32" s="50">
        <v>11.5</v>
      </c>
      <c r="S32" s="50">
        <v>11.5</v>
      </c>
      <c r="T32" s="50">
        <v>11.5</v>
      </c>
      <c r="U32" s="50">
        <v>11.5</v>
      </c>
      <c r="V32" s="50">
        <v>11.5</v>
      </c>
      <c r="W32" s="50">
        <v>11.5</v>
      </c>
      <c r="X32" s="50">
        <v>11.5</v>
      </c>
      <c r="Y32" s="50">
        <v>11.5</v>
      </c>
      <c r="Z32" s="50">
        <v>11.5</v>
      </c>
      <c r="AA32" s="50">
        <v>11.5</v>
      </c>
      <c r="AB32" s="50">
        <v>11.5</v>
      </c>
      <c r="AC32" s="50">
        <v>11.5</v>
      </c>
      <c r="AD32" s="50">
        <v>11.5</v>
      </c>
      <c r="AE32" s="50">
        <v>11.5</v>
      </c>
      <c r="AF32" s="50">
        <v>11.5</v>
      </c>
      <c r="AG32" s="135">
        <v>11.88</v>
      </c>
      <c r="AH32" s="54">
        <f t="shared" si="2"/>
        <v>11.5</v>
      </c>
      <c r="AI32" s="55">
        <f t="shared" si="3"/>
        <v>11.5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11</v>
      </c>
      <c r="D33" s="50">
        <v>11</v>
      </c>
      <c r="E33" s="50">
        <v>11</v>
      </c>
      <c r="F33" s="50">
        <v>11</v>
      </c>
      <c r="G33" s="50">
        <v>11</v>
      </c>
      <c r="H33" s="50">
        <v>11</v>
      </c>
      <c r="I33" s="50">
        <v>11</v>
      </c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11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10</v>
      </c>
      <c r="C34" s="50">
        <v>10</v>
      </c>
      <c r="D34" s="50">
        <v>10</v>
      </c>
      <c r="E34" s="50">
        <v>10</v>
      </c>
      <c r="F34" s="50">
        <v>10</v>
      </c>
      <c r="G34" s="50">
        <v>10</v>
      </c>
      <c r="H34" s="50">
        <v>10</v>
      </c>
      <c r="I34" s="50">
        <v>10</v>
      </c>
      <c r="J34" s="50">
        <v>10</v>
      </c>
      <c r="K34" s="50">
        <v>10</v>
      </c>
      <c r="L34" s="50">
        <v>10</v>
      </c>
      <c r="M34" s="50">
        <v>10</v>
      </c>
      <c r="N34" s="50">
        <v>10</v>
      </c>
      <c r="O34" s="50">
        <v>10</v>
      </c>
      <c r="P34" s="50">
        <v>10</v>
      </c>
      <c r="Q34" s="50">
        <v>10</v>
      </c>
      <c r="R34" s="50">
        <v>10</v>
      </c>
      <c r="S34" s="50">
        <v>10</v>
      </c>
      <c r="T34" s="50">
        <v>10</v>
      </c>
      <c r="U34" s="50">
        <v>10</v>
      </c>
      <c r="V34" s="50">
        <v>10</v>
      </c>
      <c r="W34" s="50">
        <v>10</v>
      </c>
      <c r="X34" s="50">
        <v>10</v>
      </c>
      <c r="Y34" s="50">
        <v>10</v>
      </c>
      <c r="Z34" s="50">
        <v>10</v>
      </c>
      <c r="AA34" s="50">
        <v>10</v>
      </c>
      <c r="AB34" s="50">
        <v>10</v>
      </c>
      <c r="AC34" s="50">
        <v>10</v>
      </c>
      <c r="AD34" s="50">
        <v>10</v>
      </c>
      <c r="AE34" s="50">
        <v>10</v>
      </c>
      <c r="AF34" s="50">
        <v>10</v>
      </c>
      <c r="AG34" s="136">
        <v>10</v>
      </c>
      <c r="AH34" s="54">
        <f t="shared" si="2"/>
        <v>10</v>
      </c>
      <c r="AI34" s="55">
        <f t="shared" si="3"/>
        <v>10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136">
        <v>10</v>
      </c>
      <c r="AH35" s="54">
        <f t="shared" si="2"/>
        <v>2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300</v>
      </c>
      <c r="C36" s="62">
        <v>300</v>
      </c>
      <c r="D36" s="62">
        <v>300</v>
      </c>
      <c r="E36" s="62">
        <v>300</v>
      </c>
      <c r="F36" s="62">
        <v>300</v>
      </c>
      <c r="G36" s="62">
        <v>300</v>
      </c>
      <c r="H36" s="62">
        <v>300</v>
      </c>
      <c r="I36" s="62">
        <v>300</v>
      </c>
      <c r="J36" s="62">
        <v>300</v>
      </c>
      <c r="K36" s="62">
        <v>300</v>
      </c>
      <c r="L36" s="62">
        <v>300</v>
      </c>
      <c r="M36" s="62">
        <v>300</v>
      </c>
      <c r="N36" s="62">
        <v>300</v>
      </c>
      <c r="O36" s="62">
        <v>300</v>
      </c>
      <c r="P36" s="62">
        <v>300</v>
      </c>
      <c r="Q36" s="62">
        <v>300</v>
      </c>
      <c r="R36" s="62">
        <v>300</v>
      </c>
      <c r="S36" s="62">
        <v>300</v>
      </c>
      <c r="T36" s="62">
        <v>300</v>
      </c>
      <c r="U36" s="62">
        <v>300</v>
      </c>
      <c r="V36" s="62">
        <v>300</v>
      </c>
      <c r="W36" s="62">
        <v>300</v>
      </c>
      <c r="X36" s="62">
        <v>300</v>
      </c>
      <c r="Y36" s="62">
        <v>300</v>
      </c>
      <c r="Z36" s="62">
        <v>300</v>
      </c>
      <c r="AA36" s="62">
        <v>300</v>
      </c>
      <c r="AB36" s="62">
        <v>300</v>
      </c>
      <c r="AC36" s="62">
        <v>300</v>
      </c>
      <c r="AD36" s="62">
        <v>300</v>
      </c>
      <c r="AE36" s="62">
        <v>300</v>
      </c>
      <c r="AF36" s="62">
        <v>300</v>
      </c>
      <c r="AG36" s="136">
        <v>85</v>
      </c>
      <c r="AH36" s="54">
        <f t="shared" si="2"/>
        <v>300</v>
      </c>
      <c r="AI36" s="55">
        <f t="shared" si="3"/>
        <v>300</v>
      </c>
      <c r="AK36" s="56"/>
    </row>
    <row r="37" spans="1:88" ht="15.75" thickBot="1" x14ac:dyDescent="0.3">
      <c r="A37" s="63" t="s">
        <v>21</v>
      </c>
      <c r="B37" s="64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136">
        <v>240</v>
      </c>
      <c r="AH37" s="54">
        <f t="shared" si="2"/>
        <v>0</v>
      </c>
      <c r="AI37" s="55">
        <f t="shared" si="3"/>
        <v>0</v>
      </c>
      <c r="AK37" s="56"/>
    </row>
    <row r="38" spans="1:88" ht="15.75" thickBot="1" x14ac:dyDescent="0.3">
      <c r="A38" s="131" t="s">
        <v>22</v>
      </c>
      <c r="B38" s="66">
        <f t="shared" ref="B38" si="4">SUM(B11:B36)</f>
        <v>829.69999999999993</v>
      </c>
      <c r="C38" s="66">
        <f t="shared" ref="C38:AG38" si="5">SUM(C11:C36)</f>
        <v>829.69999999999993</v>
      </c>
      <c r="D38" s="66">
        <f t="shared" si="5"/>
        <v>817.8</v>
      </c>
      <c r="E38" s="66">
        <f t="shared" si="5"/>
        <v>818.09999999999991</v>
      </c>
      <c r="F38" s="66">
        <f t="shared" si="5"/>
        <v>818.9</v>
      </c>
      <c r="G38" s="66">
        <f t="shared" si="5"/>
        <v>823.9</v>
      </c>
      <c r="H38" s="66">
        <f t="shared" si="5"/>
        <v>833.9</v>
      </c>
      <c r="I38" s="66">
        <f t="shared" si="5"/>
        <v>833.9</v>
      </c>
      <c r="J38" s="66">
        <f t="shared" si="5"/>
        <v>821.9</v>
      </c>
      <c r="K38" s="66">
        <f t="shared" si="5"/>
        <v>821.9</v>
      </c>
      <c r="L38" s="66">
        <f t="shared" si="5"/>
        <v>821.9</v>
      </c>
      <c r="M38" s="66">
        <f t="shared" si="5"/>
        <v>824</v>
      </c>
      <c r="N38" s="66">
        <f t="shared" si="5"/>
        <v>824</v>
      </c>
      <c r="O38" s="66">
        <f t="shared" si="5"/>
        <v>820</v>
      </c>
      <c r="P38" s="66">
        <f t="shared" si="5"/>
        <v>824</v>
      </c>
      <c r="Q38" s="66">
        <f t="shared" si="5"/>
        <v>824</v>
      </c>
      <c r="R38" s="66">
        <f t="shared" si="5"/>
        <v>824</v>
      </c>
      <c r="S38" s="66">
        <f t="shared" si="5"/>
        <v>824</v>
      </c>
      <c r="T38" s="66">
        <f t="shared" si="5"/>
        <v>824</v>
      </c>
      <c r="U38" s="66">
        <f t="shared" si="5"/>
        <v>824</v>
      </c>
      <c r="V38" s="66">
        <f t="shared" si="5"/>
        <v>824</v>
      </c>
      <c r="W38" s="66">
        <f t="shared" si="5"/>
        <v>824</v>
      </c>
      <c r="X38" s="66">
        <f t="shared" si="5"/>
        <v>824</v>
      </c>
      <c r="Y38" s="66">
        <f t="shared" si="5"/>
        <v>784.8</v>
      </c>
      <c r="Z38" s="66">
        <f t="shared" si="5"/>
        <v>802.8</v>
      </c>
      <c r="AA38" s="66">
        <f t="shared" si="5"/>
        <v>820.8</v>
      </c>
      <c r="AB38" s="66">
        <f t="shared" si="5"/>
        <v>820.8</v>
      </c>
      <c r="AC38" s="66">
        <f t="shared" si="5"/>
        <v>820.8</v>
      </c>
      <c r="AD38" s="66">
        <f t="shared" si="5"/>
        <v>820.8</v>
      </c>
      <c r="AE38" s="66">
        <f t="shared" si="5"/>
        <v>820.8</v>
      </c>
      <c r="AF38" s="66">
        <f t="shared" si="5"/>
        <v>820.8</v>
      </c>
      <c r="AG38" s="143">
        <f t="shared" si="5"/>
        <v>665.78</v>
      </c>
      <c r="AH38" s="54">
        <f t="shared" si="2"/>
        <v>833.9</v>
      </c>
      <c r="AI38" s="55">
        <f t="shared" si="3"/>
        <v>784.8</v>
      </c>
      <c r="AK38" s="56"/>
    </row>
    <row r="39" spans="1:88" x14ac:dyDescent="0.25">
      <c r="A39" s="159" t="s">
        <v>130</v>
      </c>
      <c r="B39" s="50">
        <v>350</v>
      </c>
      <c r="C39" s="50">
        <v>350</v>
      </c>
      <c r="D39" s="50">
        <v>350</v>
      </c>
      <c r="E39" s="50">
        <v>350</v>
      </c>
      <c r="F39" s="50">
        <v>350</v>
      </c>
      <c r="G39" s="50">
        <v>350</v>
      </c>
      <c r="H39" s="50">
        <v>350</v>
      </c>
      <c r="I39" s="50">
        <v>350</v>
      </c>
      <c r="J39" s="50">
        <v>350</v>
      </c>
      <c r="K39" s="50">
        <v>350</v>
      </c>
      <c r="L39" s="50">
        <v>350</v>
      </c>
      <c r="M39" s="50">
        <v>350</v>
      </c>
      <c r="N39" s="50">
        <v>350</v>
      </c>
      <c r="O39" s="50">
        <v>350</v>
      </c>
      <c r="P39" s="50">
        <v>350</v>
      </c>
      <c r="Q39" s="50">
        <v>350</v>
      </c>
      <c r="R39" s="50">
        <v>350</v>
      </c>
      <c r="S39" s="50">
        <v>350</v>
      </c>
      <c r="T39" s="50">
        <v>350</v>
      </c>
      <c r="U39" s="50">
        <v>350</v>
      </c>
      <c r="V39" s="50">
        <v>350</v>
      </c>
      <c r="W39" s="50">
        <v>350</v>
      </c>
      <c r="X39" s="50">
        <v>350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456</v>
      </c>
      <c r="AF39" s="50">
        <v>456</v>
      </c>
      <c r="AG39" s="135">
        <v>456</v>
      </c>
      <c r="AH39" s="54">
        <f t="shared" si="2"/>
        <v>456</v>
      </c>
      <c r="AI39" s="55">
        <f t="shared" si="3"/>
        <v>350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f t="shared" ref="B42" si="6">SUM(B39:B41)</f>
        <v>432</v>
      </c>
      <c r="C42" s="66">
        <f t="shared" ref="C42:AG42" si="7">SUM(C39:C41)</f>
        <v>432</v>
      </c>
      <c r="D42" s="66">
        <f t="shared" si="7"/>
        <v>432</v>
      </c>
      <c r="E42" s="66">
        <f t="shared" si="7"/>
        <v>432</v>
      </c>
      <c r="F42" s="66">
        <f t="shared" si="7"/>
        <v>432</v>
      </c>
      <c r="G42" s="66">
        <f t="shared" si="7"/>
        <v>432</v>
      </c>
      <c r="H42" s="66">
        <f t="shared" si="7"/>
        <v>432</v>
      </c>
      <c r="I42" s="66">
        <f t="shared" si="7"/>
        <v>432</v>
      </c>
      <c r="J42" s="66">
        <f t="shared" si="7"/>
        <v>432</v>
      </c>
      <c r="K42" s="66">
        <f t="shared" si="7"/>
        <v>432</v>
      </c>
      <c r="L42" s="66">
        <f t="shared" si="7"/>
        <v>432</v>
      </c>
      <c r="M42" s="66">
        <f t="shared" si="7"/>
        <v>432</v>
      </c>
      <c r="N42" s="66">
        <f t="shared" si="7"/>
        <v>432</v>
      </c>
      <c r="O42" s="66">
        <f t="shared" si="7"/>
        <v>432</v>
      </c>
      <c r="P42" s="66">
        <f t="shared" si="7"/>
        <v>432</v>
      </c>
      <c r="Q42" s="66">
        <f t="shared" si="7"/>
        <v>432</v>
      </c>
      <c r="R42" s="66">
        <f t="shared" si="7"/>
        <v>432</v>
      </c>
      <c r="S42" s="66">
        <f t="shared" si="7"/>
        <v>432</v>
      </c>
      <c r="T42" s="66">
        <f t="shared" si="7"/>
        <v>432</v>
      </c>
      <c r="U42" s="66">
        <f t="shared" si="7"/>
        <v>432</v>
      </c>
      <c r="V42" s="66">
        <f t="shared" si="7"/>
        <v>432</v>
      </c>
      <c r="W42" s="66">
        <f t="shared" si="7"/>
        <v>432</v>
      </c>
      <c r="X42" s="66">
        <f t="shared" si="7"/>
        <v>432</v>
      </c>
      <c r="Y42" s="66">
        <f t="shared" si="7"/>
        <v>538</v>
      </c>
      <c r="Z42" s="66">
        <f t="shared" si="7"/>
        <v>538</v>
      </c>
      <c r="AA42" s="66">
        <f t="shared" si="7"/>
        <v>538</v>
      </c>
      <c r="AB42" s="66">
        <f t="shared" si="7"/>
        <v>538</v>
      </c>
      <c r="AC42" s="66">
        <f t="shared" si="7"/>
        <v>538</v>
      </c>
      <c r="AD42" s="66">
        <f t="shared" si="7"/>
        <v>538</v>
      </c>
      <c r="AE42" s="66">
        <f t="shared" si="7"/>
        <v>538</v>
      </c>
      <c r="AF42" s="66">
        <f t="shared" si="7"/>
        <v>538</v>
      </c>
      <c r="AG42" s="143">
        <f t="shared" si="7"/>
        <v>538.1</v>
      </c>
      <c r="AH42" s="54">
        <f t="shared" si="2"/>
        <v>538</v>
      </c>
      <c r="AI42" s="55">
        <f t="shared" si="3"/>
        <v>432</v>
      </c>
      <c r="AK42" s="56"/>
    </row>
    <row r="43" spans="1:88" x14ac:dyDescent="0.25">
      <c r="A43" s="57" t="s">
        <v>23</v>
      </c>
      <c r="B43" s="50">
        <v>140.69999999999999</v>
      </c>
      <c r="C43" s="50">
        <v>140.80000000000001</v>
      </c>
      <c r="D43" s="50">
        <v>140.19999999999999</v>
      </c>
      <c r="E43" s="50">
        <v>139.6</v>
      </c>
      <c r="F43" s="50">
        <v>139.5</v>
      </c>
      <c r="G43" s="50">
        <v>138.9</v>
      </c>
      <c r="H43" s="50">
        <v>139.4</v>
      </c>
      <c r="I43" s="50">
        <v>139.4</v>
      </c>
      <c r="J43" s="50">
        <v>140</v>
      </c>
      <c r="K43" s="50">
        <v>139.9</v>
      </c>
      <c r="L43" s="50">
        <v>139.9</v>
      </c>
      <c r="M43" s="50">
        <v>139.9</v>
      </c>
      <c r="N43" s="50">
        <v>139.9</v>
      </c>
      <c r="O43" s="50">
        <v>140.80000000000001</v>
      </c>
      <c r="P43" s="50">
        <v>140.69999999999999</v>
      </c>
      <c r="Q43" s="50">
        <v>140.6</v>
      </c>
      <c r="R43" s="50">
        <v>140.6</v>
      </c>
      <c r="S43" s="50">
        <v>140.6</v>
      </c>
      <c r="T43" s="50">
        <v>140.6</v>
      </c>
      <c r="U43" s="50">
        <v>140.6</v>
      </c>
      <c r="V43" s="50">
        <v>140.6</v>
      </c>
      <c r="W43" s="50">
        <v>140.6</v>
      </c>
      <c r="X43" s="50">
        <v>140.6</v>
      </c>
      <c r="Y43" s="50">
        <v>140.6</v>
      </c>
      <c r="Z43" s="50">
        <v>140.6</v>
      </c>
      <c r="AA43" s="50">
        <v>140.6</v>
      </c>
      <c r="AB43" s="50">
        <v>141.69999999999999</v>
      </c>
      <c r="AC43" s="50">
        <v>141</v>
      </c>
      <c r="AD43" s="50">
        <v>141</v>
      </c>
      <c r="AE43" s="50">
        <v>141</v>
      </c>
      <c r="AF43" s="50">
        <v>141</v>
      </c>
      <c r="AG43" s="135">
        <v>144</v>
      </c>
      <c r="AH43" s="54">
        <f t="shared" si="2"/>
        <v>141.69999999999999</v>
      </c>
      <c r="AI43" s="55">
        <f t="shared" si="3"/>
        <v>138.9</v>
      </c>
      <c r="AK43" s="56"/>
    </row>
    <row r="44" spans="1:88" x14ac:dyDescent="0.25">
      <c r="A44" s="60" t="s">
        <v>24</v>
      </c>
      <c r="B44" s="48">
        <v>73.599999999999994</v>
      </c>
      <c r="C44" s="48">
        <v>72.599999999999994</v>
      </c>
      <c r="D44" s="48">
        <v>72.400000000000006</v>
      </c>
      <c r="E44" s="48">
        <v>73</v>
      </c>
      <c r="F44" s="48">
        <v>72.5</v>
      </c>
      <c r="G44" s="48">
        <v>72.8</v>
      </c>
      <c r="H44" s="48">
        <v>72.5</v>
      </c>
      <c r="I44" s="48">
        <v>72.5</v>
      </c>
      <c r="J44" s="48">
        <v>73.5</v>
      </c>
      <c r="K44" s="48">
        <v>72.7</v>
      </c>
      <c r="L44" s="48">
        <v>72.7</v>
      </c>
      <c r="M44" s="50">
        <v>70.900000000000006</v>
      </c>
      <c r="N44" s="50">
        <v>73.7</v>
      </c>
      <c r="O44" s="50">
        <v>73.5</v>
      </c>
      <c r="P44" s="50">
        <v>72.3</v>
      </c>
      <c r="Q44" s="50">
        <v>71.7</v>
      </c>
      <c r="R44" s="50">
        <v>71.7</v>
      </c>
      <c r="S44" s="50">
        <v>71.7</v>
      </c>
      <c r="T44" s="50">
        <v>73</v>
      </c>
      <c r="U44" s="50">
        <v>73</v>
      </c>
      <c r="V44" s="50">
        <v>73</v>
      </c>
      <c r="W44" s="50">
        <v>73</v>
      </c>
      <c r="X44" s="50">
        <v>73</v>
      </c>
      <c r="Y44" s="50">
        <v>73</v>
      </c>
      <c r="Z44" s="50">
        <v>73</v>
      </c>
      <c r="AA44" s="48">
        <v>73</v>
      </c>
      <c r="AB44" s="48">
        <v>74</v>
      </c>
      <c r="AC44" s="48">
        <v>73.7</v>
      </c>
      <c r="AD44" s="48">
        <v>73.7</v>
      </c>
      <c r="AE44" s="48">
        <v>73.7</v>
      </c>
      <c r="AF44" s="48">
        <v>73.7</v>
      </c>
      <c r="AG44" s="136">
        <v>70</v>
      </c>
      <c r="AH44" s="54">
        <f t="shared" si="2"/>
        <v>74</v>
      </c>
      <c r="AI44" s="55">
        <f t="shared" si="3"/>
        <v>70.900000000000006</v>
      </c>
      <c r="AK44" s="56"/>
    </row>
    <row r="45" spans="1:88" x14ac:dyDescent="0.25">
      <c r="A45" s="60" t="s">
        <v>25</v>
      </c>
      <c r="B45" s="48">
        <v>62.2</v>
      </c>
      <c r="C45" s="48">
        <v>62.3</v>
      </c>
      <c r="D45" s="48">
        <v>62.4</v>
      </c>
      <c r="E45" s="48">
        <v>62.9</v>
      </c>
      <c r="F45" s="48">
        <v>62.6</v>
      </c>
      <c r="G45" s="48">
        <v>62.7</v>
      </c>
      <c r="H45" s="48">
        <v>62.9</v>
      </c>
      <c r="I45" s="48">
        <v>62.9</v>
      </c>
      <c r="J45" s="48">
        <v>62.9</v>
      </c>
      <c r="K45" s="48">
        <v>62.9</v>
      </c>
      <c r="L45" s="48">
        <v>62.9</v>
      </c>
      <c r="M45" s="50">
        <v>63.5</v>
      </c>
      <c r="N45" s="50">
        <v>63.4</v>
      </c>
      <c r="O45" s="50">
        <v>63.7</v>
      </c>
      <c r="P45" s="50">
        <v>63.2</v>
      </c>
      <c r="Q45" s="50">
        <v>63.3</v>
      </c>
      <c r="R45" s="50">
        <v>63.3</v>
      </c>
      <c r="S45" s="50">
        <v>63.3</v>
      </c>
      <c r="T45" s="50">
        <v>63.3</v>
      </c>
      <c r="U45" s="50">
        <v>63.3</v>
      </c>
      <c r="V45" s="50">
        <v>63.3</v>
      </c>
      <c r="W45" s="50">
        <v>63.3</v>
      </c>
      <c r="X45" s="50">
        <v>63.3</v>
      </c>
      <c r="Y45" s="50">
        <v>63.3</v>
      </c>
      <c r="Z45" s="50">
        <v>63.3</v>
      </c>
      <c r="AA45" s="48">
        <v>63.3</v>
      </c>
      <c r="AB45" s="48">
        <v>63.6</v>
      </c>
      <c r="AC45" s="48">
        <v>63.7</v>
      </c>
      <c r="AD45" s="48">
        <v>63.7</v>
      </c>
      <c r="AE45" s="48">
        <v>63.7</v>
      </c>
      <c r="AF45" s="48">
        <v>63.7</v>
      </c>
      <c r="AG45" s="136">
        <v>69</v>
      </c>
      <c r="AH45" s="54">
        <f t="shared" si="2"/>
        <v>63.7</v>
      </c>
      <c r="AI45" s="55">
        <f t="shared" si="3"/>
        <v>62.2</v>
      </c>
      <c r="AK45" s="56"/>
    </row>
    <row r="46" spans="1:88" x14ac:dyDescent="0.25">
      <c r="A46" s="60" t="s">
        <v>26</v>
      </c>
      <c r="B46" s="62">
        <v>61.4</v>
      </c>
      <c r="C46" s="62">
        <v>61.4</v>
      </c>
      <c r="D46" s="62">
        <v>61.4</v>
      </c>
      <c r="E46" s="62">
        <v>61.4</v>
      </c>
      <c r="F46" s="62">
        <v>61.2</v>
      </c>
      <c r="G46" s="62">
        <v>61.2</v>
      </c>
      <c r="H46" s="62">
        <v>61.2</v>
      </c>
      <c r="I46" s="62">
        <v>61.2</v>
      </c>
      <c r="J46" s="62">
        <v>61.2</v>
      </c>
      <c r="K46" s="62">
        <v>61.2</v>
      </c>
      <c r="L46" s="62">
        <v>61.2</v>
      </c>
      <c r="M46" s="50">
        <v>61.2</v>
      </c>
      <c r="N46" s="50">
        <v>61.2</v>
      </c>
      <c r="O46" s="50">
        <v>61.4</v>
      </c>
      <c r="P46" s="50">
        <v>61.4</v>
      </c>
      <c r="Q46" s="50">
        <v>61.4</v>
      </c>
      <c r="R46" s="50">
        <v>61.4</v>
      </c>
      <c r="S46" s="50">
        <v>61.4</v>
      </c>
      <c r="T46" s="50">
        <v>61.4</v>
      </c>
      <c r="U46" s="50">
        <v>61.4</v>
      </c>
      <c r="V46" s="50">
        <v>61.4</v>
      </c>
      <c r="W46" s="50">
        <v>61.4</v>
      </c>
      <c r="X46" s="50">
        <v>61.4</v>
      </c>
      <c r="Y46" s="50">
        <v>61.4</v>
      </c>
      <c r="Z46" s="50">
        <v>61.4</v>
      </c>
      <c r="AA46" s="48">
        <v>61.4</v>
      </c>
      <c r="AB46" s="62">
        <v>61.2</v>
      </c>
      <c r="AC46" s="62">
        <v>61.34</v>
      </c>
      <c r="AD46" s="62">
        <v>61.34</v>
      </c>
      <c r="AE46" s="62">
        <v>61.34</v>
      </c>
      <c r="AF46" s="62">
        <v>61.34</v>
      </c>
      <c r="AG46" s="136">
        <v>60</v>
      </c>
      <c r="AH46" s="54">
        <f t="shared" si="2"/>
        <v>61.4</v>
      </c>
      <c r="AI46" s="55">
        <f t="shared" si="3"/>
        <v>61.2</v>
      </c>
      <c r="AK46" s="56"/>
    </row>
    <row r="47" spans="1:88" x14ac:dyDescent="0.25">
      <c r="A47" s="60" t="s">
        <v>27</v>
      </c>
      <c r="B47" s="62">
        <v>28.7</v>
      </c>
      <c r="C47" s="62">
        <v>28.6</v>
      </c>
      <c r="D47" s="62">
        <v>28.6</v>
      </c>
      <c r="E47" s="62">
        <v>28.4</v>
      </c>
      <c r="F47" s="62">
        <v>28.4</v>
      </c>
      <c r="G47" s="62">
        <v>28.4</v>
      </c>
      <c r="H47" s="62">
        <v>28.4</v>
      </c>
      <c r="I47" s="62">
        <v>28.4</v>
      </c>
      <c r="J47" s="62">
        <v>28.4</v>
      </c>
      <c r="K47" s="62">
        <v>28.4</v>
      </c>
      <c r="L47" s="62">
        <v>28.4</v>
      </c>
      <c r="M47" s="50">
        <v>28.5</v>
      </c>
      <c r="N47" s="50">
        <v>28.5</v>
      </c>
      <c r="O47" s="50">
        <v>28.5</v>
      </c>
      <c r="P47" s="50">
        <v>28.5</v>
      </c>
      <c r="Q47" s="50">
        <v>28.5</v>
      </c>
      <c r="R47" s="50">
        <v>28.5</v>
      </c>
      <c r="S47" s="50">
        <v>28.5</v>
      </c>
      <c r="T47" s="50">
        <v>14.9</v>
      </c>
      <c r="U47" s="50">
        <v>29</v>
      </c>
      <c r="V47" s="50">
        <v>29</v>
      </c>
      <c r="W47" s="50">
        <v>29</v>
      </c>
      <c r="X47" s="50">
        <v>29</v>
      </c>
      <c r="Y47" s="50">
        <v>29</v>
      </c>
      <c r="Z47" s="50">
        <v>29</v>
      </c>
      <c r="AA47" s="48">
        <v>29</v>
      </c>
      <c r="AB47" s="62">
        <v>28.7</v>
      </c>
      <c r="AC47" s="62">
        <v>28.7</v>
      </c>
      <c r="AD47" s="62">
        <v>28.7</v>
      </c>
      <c r="AE47" s="62">
        <v>28.7</v>
      </c>
      <c r="AF47" s="62">
        <v>28.7</v>
      </c>
      <c r="AG47" s="136">
        <v>30</v>
      </c>
      <c r="AH47" s="54">
        <f t="shared" si="2"/>
        <v>29</v>
      </c>
      <c r="AI47" s="55">
        <f t="shared" si="3"/>
        <v>14.9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62">
        <v>0</v>
      </c>
      <c r="G48" s="62">
        <v>0</v>
      </c>
      <c r="H48" s="62">
        <v>0</v>
      </c>
      <c r="I48" s="62">
        <v>0</v>
      </c>
      <c r="J48" s="62">
        <v>0</v>
      </c>
      <c r="K48" s="62">
        <v>0</v>
      </c>
      <c r="L48" s="62">
        <v>0</v>
      </c>
      <c r="M48" s="50">
        <v>5</v>
      </c>
      <c r="N48" s="50">
        <v>5</v>
      </c>
      <c r="O48" s="50">
        <v>5</v>
      </c>
      <c r="P48" s="50">
        <v>5</v>
      </c>
      <c r="Q48" s="50">
        <v>5</v>
      </c>
      <c r="R48" s="50">
        <v>5</v>
      </c>
      <c r="S48" s="50">
        <v>5</v>
      </c>
      <c r="T48" s="50">
        <v>5</v>
      </c>
      <c r="U48" s="50">
        <v>5</v>
      </c>
      <c r="V48" s="50">
        <v>5</v>
      </c>
      <c r="W48" s="50">
        <v>5</v>
      </c>
      <c r="X48" s="50">
        <v>5</v>
      </c>
      <c r="Y48" s="50">
        <v>5</v>
      </c>
      <c r="Z48" s="50">
        <v>5</v>
      </c>
      <c r="AA48" s="50">
        <v>0</v>
      </c>
      <c r="AB48" s="48">
        <v>0</v>
      </c>
      <c r="AC48" s="48">
        <v>0</v>
      </c>
      <c r="AD48" s="48">
        <v>0</v>
      </c>
      <c r="AE48" s="48">
        <v>0</v>
      </c>
      <c r="AF48" s="48">
        <v>0</v>
      </c>
      <c r="AG48" s="136">
        <v>25</v>
      </c>
      <c r="AH48" s="54">
        <f t="shared" si="2"/>
        <v>5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9.4</v>
      </c>
      <c r="C49" s="48">
        <v>11.2</v>
      </c>
      <c r="D49" s="48">
        <v>11.2</v>
      </c>
      <c r="E49" s="48">
        <v>11.3</v>
      </c>
      <c r="F49" s="48">
        <v>11</v>
      </c>
      <c r="G49" s="48">
        <v>11</v>
      </c>
      <c r="H49" s="48">
        <v>11</v>
      </c>
      <c r="I49" s="48">
        <v>11</v>
      </c>
      <c r="J49" s="48">
        <v>11</v>
      </c>
      <c r="K49" s="48">
        <v>11</v>
      </c>
      <c r="L49" s="48">
        <v>11</v>
      </c>
      <c r="M49" s="50">
        <v>15.6</v>
      </c>
      <c r="N49" s="50">
        <v>14.6</v>
      </c>
      <c r="O49" s="50">
        <v>14.6</v>
      </c>
      <c r="P49" s="50">
        <v>14.6</v>
      </c>
      <c r="Q49" s="50">
        <v>13.8</v>
      </c>
      <c r="R49" s="50">
        <v>13.8</v>
      </c>
      <c r="S49" s="50">
        <v>13.8</v>
      </c>
      <c r="T49" s="50">
        <v>13.8</v>
      </c>
      <c r="U49" s="50">
        <v>13.8</v>
      </c>
      <c r="V49" s="50">
        <v>16.3</v>
      </c>
      <c r="W49" s="50">
        <v>16.3</v>
      </c>
      <c r="X49" s="50">
        <v>16.3</v>
      </c>
      <c r="Y49" s="50">
        <v>16.3</v>
      </c>
      <c r="Z49" s="50">
        <v>16.3</v>
      </c>
      <c r="AA49" s="50">
        <v>14.9</v>
      </c>
      <c r="AB49" s="48">
        <v>14.8</v>
      </c>
      <c r="AC49" s="48">
        <v>14.8</v>
      </c>
      <c r="AD49" s="48">
        <v>14.8</v>
      </c>
      <c r="AE49" s="48">
        <v>14.8</v>
      </c>
      <c r="AF49" s="48">
        <v>14.8</v>
      </c>
      <c r="AG49" s="136">
        <v>24</v>
      </c>
      <c r="AH49" s="54">
        <f t="shared" si="2"/>
        <v>16.3</v>
      </c>
      <c r="AI49" s="55">
        <f t="shared" si="3"/>
        <v>9.4</v>
      </c>
      <c r="AK49" s="56"/>
    </row>
    <row r="50" spans="1:41" x14ac:dyDescent="0.25">
      <c r="A50" s="60" t="s">
        <v>30</v>
      </c>
      <c r="B50" s="48">
        <v>0</v>
      </c>
      <c r="C50" s="48">
        <v>0</v>
      </c>
      <c r="D50" s="48">
        <v>0</v>
      </c>
      <c r="E50" s="48">
        <v>0</v>
      </c>
      <c r="F50" s="48">
        <v>0</v>
      </c>
      <c r="G50" s="48">
        <v>0</v>
      </c>
      <c r="H50" s="48">
        <v>0</v>
      </c>
      <c r="I50" s="48">
        <v>0</v>
      </c>
      <c r="J50" s="48">
        <v>0</v>
      </c>
      <c r="K50" s="48">
        <v>0</v>
      </c>
      <c r="L50" s="48">
        <v>0</v>
      </c>
      <c r="M50" s="50">
        <v>3</v>
      </c>
      <c r="N50" s="50">
        <v>3</v>
      </c>
      <c r="O50" s="50">
        <v>3</v>
      </c>
      <c r="P50" s="50">
        <v>3</v>
      </c>
      <c r="Q50" s="50">
        <v>3</v>
      </c>
      <c r="R50" s="50">
        <v>3</v>
      </c>
      <c r="S50" s="50">
        <v>3</v>
      </c>
      <c r="T50" s="50">
        <v>3</v>
      </c>
      <c r="U50" s="50">
        <v>3</v>
      </c>
      <c r="V50" s="50">
        <v>3</v>
      </c>
      <c r="W50" s="50">
        <v>3</v>
      </c>
      <c r="X50" s="50">
        <v>3</v>
      </c>
      <c r="Y50" s="50">
        <v>3</v>
      </c>
      <c r="Z50" s="50">
        <v>3</v>
      </c>
      <c r="AA50" s="50">
        <v>3</v>
      </c>
      <c r="AB50" s="48">
        <v>3</v>
      </c>
      <c r="AC50" s="48">
        <v>3</v>
      </c>
      <c r="AD50" s="48">
        <v>3</v>
      </c>
      <c r="AE50" s="48">
        <v>3</v>
      </c>
      <c r="AF50" s="48">
        <v>3</v>
      </c>
      <c r="AG50" s="136">
        <v>15</v>
      </c>
      <c r="AH50" s="54">
        <f t="shared" si="2"/>
        <v>3</v>
      </c>
      <c r="AI50" s="55">
        <f t="shared" si="3"/>
        <v>0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9.1999999999999993</v>
      </c>
      <c r="C51" s="48">
        <v>9.1999999999999993</v>
      </c>
      <c r="D51" s="48">
        <v>9.1999999999999993</v>
      </c>
      <c r="E51" s="48">
        <v>9.1999999999999993</v>
      </c>
      <c r="F51" s="48">
        <v>7.8</v>
      </c>
      <c r="G51" s="48">
        <v>7.8</v>
      </c>
      <c r="H51" s="48">
        <v>7.8</v>
      </c>
      <c r="I51" s="48">
        <v>7.8</v>
      </c>
      <c r="J51" s="48">
        <v>7.8</v>
      </c>
      <c r="K51" s="48">
        <v>7.8</v>
      </c>
      <c r="L51" s="48">
        <v>7.8</v>
      </c>
      <c r="M51" s="50">
        <v>9.1</v>
      </c>
      <c r="N51" s="50">
        <v>9.1</v>
      </c>
      <c r="O51" s="50">
        <v>9.1</v>
      </c>
      <c r="P51" s="50">
        <v>9.1</v>
      </c>
      <c r="Q51" s="50">
        <v>9.3000000000000007</v>
      </c>
      <c r="R51" s="50">
        <v>9.3000000000000007</v>
      </c>
      <c r="S51" s="50">
        <v>9.3000000000000007</v>
      </c>
      <c r="T51" s="50">
        <v>9.3000000000000007</v>
      </c>
      <c r="U51" s="50">
        <v>9.3000000000000007</v>
      </c>
      <c r="V51" s="50">
        <v>9.3000000000000007</v>
      </c>
      <c r="W51" s="50">
        <v>9.3000000000000007</v>
      </c>
      <c r="X51" s="50">
        <v>9.3000000000000007</v>
      </c>
      <c r="Y51" s="50">
        <v>9.3000000000000007</v>
      </c>
      <c r="Z51" s="50">
        <v>9.3000000000000007</v>
      </c>
      <c r="AA51" s="50">
        <v>10.199999999999999</v>
      </c>
      <c r="AB51" s="48">
        <v>10.5</v>
      </c>
      <c r="AC51" s="48">
        <v>10.6</v>
      </c>
      <c r="AD51" s="48">
        <v>10.6</v>
      </c>
      <c r="AE51" s="48">
        <v>10.6</v>
      </c>
      <c r="AF51" s="48">
        <v>10.6</v>
      </c>
      <c r="AG51" s="136">
        <v>14.1</v>
      </c>
      <c r="AH51" s="54">
        <f t="shared" si="2"/>
        <v>10.6</v>
      </c>
      <c r="AI51" s="55">
        <f t="shared" si="3"/>
        <v>7.8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13.9</v>
      </c>
      <c r="C52" s="48">
        <v>13.9</v>
      </c>
      <c r="D52" s="48">
        <v>13.9</v>
      </c>
      <c r="E52" s="48">
        <v>13.8</v>
      </c>
      <c r="F52" s="48">
        <v>13.8</v>
      </c>
      <c r="G52" s="48">
        <v>13.8</v>
      </c>
      <c r="H52" s="48">
        <v>13.8</v>
      </c>
      <c r="I52" s="48">
        <v>13.8</v>
      </c>
      <c r="J52" s="48">
        <v>13.8</v>
      </c>
      <c r="K52" s="48">
        <v>13.8</v>
      </c>
      <c r="L52" s="48">
        <v>13.8</v>
      </c>
      <c r="M52" s="50">
        <v>4.2</v>
      </c>
      <c r="N52" s="50">
        <v>14.1</v>
      </c>
      <c r="O52" s="50">
        <v>14</v>
      </c>
      <c r="P52" s="50">
        <v>14</v>
      </c>
      <c r="Q52" s="50">
        <v>14.1</v>
      </c>
      <c r="R52" s="50">
        <v>14.1</v>
      </c>
      <c r="S52" s="50">
        <v>14.1</v>
      </c>
      <c r="T52" s="50">
        <v>14.1</v>
      </c>
      <c r="U52" s="50">
        <v>14.1</v>
      </c>
      <c r="V52" s="50">
        <v>14.1</v>
      </c>
      <c r="W52" s="50">
        <v>14.1</v>
      </c>
      <c r="X52" s="50">
        <v>14.1</v>
      </c>
      <c r="Y52" s="50">
        <v>14.1</v>
      </c>
      <c r="Z52" s="50">
        <v>14.1</v>
      </c>
      <c r="AA52" s="50">
        <v>11.6</v>
      </c>
      <c r="AB52" s="48">
        <v>14</v>
      </c>
      <c r="AC52" s="48">
        <v>14.8</v>
      </c>
      <c r="AD52" s="48">
        <v>14.8</v>
      </c>
      <c r="AE52" s="48">
        <v>14.8</v>
      </c>
      <c r="AF52" s="48">
        <v>14.8</v>
      </c>
      <c r="AG52" s="136">
        <v>14</v>
      </c>
      <c r="AH52" s="54">
        <f t="shared" si="2"/>
        <v>14.8</v>
      </c>
      <c r="AI52" s="55">
        <f t="shared" si="3"/>
        <v>4.2</v>
      </c>
      <c r="AK52" s="56"/>
    </row>
    <row r="53" spans="1:41" x14ac:dyDescent="0.25">
      <c r="A53" s="60" t="s">
        <v>33</v>
      </c>
      <c r="B53" s="48">
        <v>9.1</v>
      </c>
      <c r="C53" s="48">
        <v>9.1</v>
      </c>
      <c r="D53" s="48">
        <v>9.1</v>
      </c>
      <c r="E53" s="48">
        <v>9.1</v>
      </c>
      <c r="F53" s="48">
        <v>9.3000000000000007</v>
      </c>
      <c r="G53" s="48">
        <v>9.3000000000000007</v>
      </c>
      <c r="H53" s="48">
        <v>9.3000000000000007</v>
      </c>
      <c r="I53" s="48">
        <v>9.3000000000000007</v>
      </c>
      <c r="J53" s="48">
        <v>9.3000000000000007</v>
      </c>
      <c r="K53" s="48">
        <v>9.3000000000000007</v>
      </c>
      <c r="L53" s="48">
        <v>9.3000000000000007</v>
      </c>
      <c r="M53" s="50">
        <v>9.1999999999999993</v>
      </c>
      <c r="N53" s="50">
        <v>9.1999999999999993</v>
      </c>
      <c r="O53" s="50">
        <v>9.1999999999999993</v>
      </c>
      <c r="P53" s="50">
        <v>0</v>
      </c>
      <c r="Q53" s="50">
        <v>0</v>
      </c>
      <c r="R53" s="50">
        <v>9.3000000000000007</v>
      </c>
      <c r="S53" s="50">
        <v>9.3000000000000007</v>
      </c>
      <c r="T53" s="50">
        <v>9.3000000000000007</v>
      </c>
      <c r="U53" s="50">
        <v>9.3000000000000007</v>
      </c>
      <c r="V53" s="50">
        <v>9.3000000000000007</v>
      </c>
      <c r="W53" s="50">
        <v>9.3000000000000007</v>
      </c>
      <c r="X53" s="50">
        <v>9.3000000000000007</v>
      </c>
      <c r="Y53" s="50">
        <v>9.3000000000000007</v>
      </c>
      <c r="Z53" s="50">
        <v>9.3000000000000007</v>
      </c>
      <c r="AA53" s="50">
        <v>9.3000000000000007</v>
      </c>
      <c r="AB53" s="48">
        <v>9</v>
      </c>
      <c r="AC53" s="48">
        <v>6</v>
      </c>
      <c r="AD53" s="48">
        <v>6</v>
      </c>
      <c r="AE53" s="48">
        <v>6</v>
      </c>
      <c r="AF53" s="48">
        <v>6</v>
      </c>
      <c r="AG53" s="136">
        <v>10.050000000000001</v>
      </c>
      <c r="AH53" s="54">
        <f t="shared" si="2"/>
        <v>9.3000000000000007</v>
      </c>
      <c r="AI53" s="55">
        <f t="shared" si="3"/>
        <v>0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50">
        <v>6.2</v>
      </c>
      <c r="N54" s="50">
        <v>6.2</v>
      </c>
      <c r="O54" s="50">
        <v>3.2</v>
      </c>
      <c r="P54" s="50">
        <v>6.2</v>
      </c>
      <c r="Q54" s="50">
        <v>6.2</v>
      </c>
      <c r="R54" s="50">
        <v>6.2</v>
      </c>
      <c r="S54" s="50">
        <v>6.2</v>
      </c>
      <c r="T54" s="50">
        <v>6.2</v>
      </c>
      <c r="U54" s="50">
        <v>6.2</v>
      </c>
      <c r="V54" s="50">
        <v>6.2</v>
      </c>
      <c r="W54" s="50">
        <v>6.2</v>
      </c>
      <c r="X54" s="50">
        <v>6.2</v>
      </c>
      <c r="Y54" s="50">
        <v>6.2</v>
      </c>
      <c r="Z54" s="50">
        <v>6.2</v>
      </c>
      <c r="AA54" s="50">
        <v>6.2</v>
      </c>
      <c r="AB54" s="48">
        <v>6.2</v>
      </c>
      <c r="AC54" s="48">
        <v>6.2</v>
      </c>
      <c r="AD54" s="48">
        <v>6.2</v>
      </c>
      <c r="AE54" s="48">
        <v>6.2</v>
      </c>
      <c r="AF54" s="48">
        <v>6.2</v>
      </c>
      <c r="AG54" s="136">
        <v>6.2</v>
      </c>
      <c r="AH54" s="54">
        <f t="shared" si="2"/>
        <v>6.2</v>
      </c>
      <c r="AI54" s="55">
        <f t="shared" si="3"/>
        <v>3.2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8">AG220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 t="shared" ref="B56" si="9">SUM(B43:B55)</f>
        <v>417.93999999999994</v>
      </c>
      <c r="C56" s="66">
        <f t="shared" ref="C56:AG56" si="10">SUM(C43:C55)</f>
        <v>418.84</v>
      </c>
      <c r="D56" s="66">
        <f t="shared" si="10"/>
        <v>418.14</v>
      </c>
      <c r="E56" s="66">
        <f t="shared" si="10"/>
        <v>418.44</v>
      </c>
      <c r="F56" s="66">
        <f t="shared" si="10"/>
        <v>415.84000000000003</v>
      </c>
      <c r="G56" s="66">
        <f t="shared" si="10"/>
        <v>415.64</v>
      </c>
      <c r="H56" s="66">
        <f t="shared" si="10"/>
        <v>416.04</v>
      </c>
      <c r="I56" s="66">
        <f t="shared" si="10"/>
        <v>416.04</v>
      </c>
      <c r="J56" s="66">
        <f t="shared" si="10"/>
        <v>417.64</v>
      </c>
      <c r="K56" s="66">
        <f t="shared" si="10"/>
        <v>416.74</v>
      </c>
      <c r="L56" s="66">
        <f t="shared" si="10"/>
        <v>416.74</v>
      </c>
      <c r="M56" s="66">
        <f t="shared" si="10"/>
        <v>419.84000000000003</v>
      </c>
      <c r="N56" s="66">
        <f t="shared" si="10"/>
        <v>431.44000000000005</v>
      </c>
      <c r="O56" s="66">
        <f t="shared" si="10"/>
        <v>429.54</v>
      </c>
      <c r="P56" s="66">
        <f t="shared" si="10"/>
        <v>421.54</v>
      </c>
      <c r="Q56" s="66">
        <f t="shared" si="10"/>
        <v>420.44000000000005</v>
      </c>
      <c r="R56" s="66">
        <f t="shared" si="10"/>
        <v>429.74000000000007</v>
      </c>
      <c r="S56" s="66">
        <f t="shared" si="10"/>
        <v>429.74000000000007</v>
      </c>
      <c r="T56" s="66">
        <f t="shared" si="10"/>
        <v>417.44</v>
      </c>
      <c r="U56" s="66">
        <f t="shared" si="10"/>
        <v>431.54</v>
      </c>
      <c r="V56" s="66">
        <f t="shared" si="10"/>
        <v>434.04</v>
      </c>
      <c r="W56" s="66">
        <f t="shared" si="10"/>
        <v>434.04</v>
      </c>
      <c r="X56" s="66">
        <f t="shared" si="10"/>
        <v>434.04</v>
      </c>
      <c r="Y56" s="66">
        <f t="shared" si="10"/>
        <v>434.04</v>
      </c>
      <c r="Z56" s="66">
        <f t="shared" si="10"/>
        <v>434.04</v>
      </c>
      <c r="AA56" s="66">
        <f t="shared" si="10"/>
        <v>426.03999999999996</v>
      </c>
      <c r="AB56" s="66">
        <f t="shared" si="10"/>
        <v>430.24</v>
      </c>
      <c r="AC56" s="66">
        <f t="shared" si="10"/>
        <v>427.38000000000005</v>
      </c>
      <c r="AD56" s="66">
        <f t="shared" si="10"/>
        <v>427.38000000000005</v>
      </c>
      <c r="AE56" s="66">
        <f t="shared" si="10"/>
        <v>427.38000000000005</v>
      </c>
      <c r="AF56" s="66">
        <f t="shared" si="10"/>
        <v>427.38000000000005</v>
      </c>
      <c r="AG56" s="143">
        <f t="shared" si="10"/>
        <v>489.91</v>
      </c>
      <c r="AH56" s="54">
        <f t="shared" si="2"/>
        <v>434.04</v>
      </c>
      <c r="AI56" s="55">
        <f t="shared" si="3"/>
        <v>415.64</v>
      </c>
      <c r="AK56" s="56"/>
    </row>
    <row r="57" spans="1:41" x14ac:dyDescent="0.25">
      <c r="A57" s="57" t="s">
        <v>37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10</v>
      </c>
      <c r="M57" s="50">
        <v>10</v>
      </c>
      <c r="N57" s="50">
        <v>10.199999999999999</v>
      </c>
      <c r="O57" s="50">
        <v>0</v>
      </c>
      <c r="P57" s="50">
        <v>0</v>
      </c>
      <c r="Q57" s="50">
        <v>14.5</v>
      </c>
      <c r="R57" s="50">
        <v>10.9</v>
      </c>
      <c r="S57" s="50">
        <v>0</v>
      </c>
      <c r="T57" s="50">
        <v>26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0</v>
      </c>
      <c r="AB57" s="50">
        <v>0</v>
      </c>
      <c r="AC57" s="50">
        <v>0</v>
      </c>
      <c r="AD57" s="50">
        <v>0</v>
      </c>
      <c r="AE57" s="50">
        <v>0</v>
      </c>
      <c r="AF57" s="50">
        <v>0</v>
      </c>
      <c r="AG57" s="135">
        <v>60</v>
      </c>
      <c r="AH57" s="54">
        <f t="shared" si="2"/>
        <v>26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4</v>
      </c>
      <c r="M58" s="48">
        <v>4.4000000000000004</v>
      </c>
      <c r="N58" s="48">
        <v>4.4000000000000004</v>
      </c>
      <c r="O58" s="48">
        <v>0</v>
      </c>
      <c r="P58" s="48">
        <v>0</v>
      </c>
      <c r="Q58" s="48">
        <v>5.9</v>
      </c>
      <c r="R58" s="48">
        <v>8.8000000000000007</v>
      </c>
      <c r="S58" s="48">
        <v>0</v>
      </c>
      <c r="T58" s="48">
        <v>6.9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136">
        <v>32</v>
      </c>
      <c r="AH58" s="54">
        <f t="shared" si="2"/>
        <v>8.8000000000000007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1.8</v>
      </c>
      <c r="M59" s="70">
        <v>1.6</v>
      </c>
      <c r="N59" s="70">
        <v>1.6</v>
      </c>
      <c r="O59" s="70">
        <v>0</v>
      </c>
      <c r="P59" s="70">
        <v>0</v>
      </c>
      <c r="Q59" s="70">
        <v>0</v>
      </c>
      <c r="R59" s="70">
        <v>3.2</v>
      </c>
      <c r="S59" s="70">
        <v>0</v>
      </c>
      <c r="T59" s="70">
        <v>2.5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70">
        <v>0</v>
      </c>
      <c r="AB59" s="70">
        <v>0</v>
      </c>
      <c r="AC59" s="70">
        <v>0</v>
      </c>
      <c r="AD59" s="70">
        <v>0</v>
      </c>
      <c r="AE59" s="70">
        <v>0</v>
      </c>
      <c r="AF59" s="70">
        <v>0</v>
      </c>
      <c r="AG59" s="137">
        <v>14</v>
      </c>
      <c r="AH59" s="54">
        <f t="shared" si="2"/>
        <v>3.2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 t="shared" ref="B60" si="11">SUM(B57:B59)</f>
        <v>0</v>
      </c>
      <c r="C60" s="66">
        <f t="shared" ref="C60:AG60" si="12">SUM(C57:C59)</f>
        <v>0</v>
      </c>
      <c r="D60" s="66">
        <f t="shared" si="12"/>
        <v>0</v>
      </c>
      <c r="E60" s="66">
        <f t="shared" si="12"/>
        <v>0</v>
      </c>
      <c r="F60" s="66">
        <f t="shared" si="12"/>
        <v>0</v>
      </c>
      <c r="G60" s="66">
        <f t="shared" si="12"/>
        <v>0</v>
      </c>
      <c r="H60" s="66">
        <f t="shared" si="12"/>
        <v>0</v>
      </c>
      <c r="I60" s="66">
        <f t="shared" si="12"/>
        <v>0</v>
      </c>
      <c r="J60" s="66">
        <f t="shared" si="12"/>
        <v>0</v>
      </c>
      <c r="K60" s="66">
        <f t="shared" si="12"/>
        <v>0</v>
      </c>
      <c r="L60" s="66">
        <f t="shared" si="12"/>
        <v>15.8</v>
      </c>
      <c r="M60" s="66">
        <f t="shared" si="12"/>
        <v>16</v>
      </c>
      <c r="N60" s="66">
        <f t="shared" si="12"/>
        <v>16.2</v>
      </c>
      <c r="O60" s="66">
        <f t="shared" si="12"/>
        <v>0</v>
      </c>
      <c r="P60" s="66">
        <f t="shared" si="12"/>
        <v>0</v>
      </c>
      <c r="Q60" s="66">
        <f t="shared" si="12"/>
        <v>20.399999999999999</v>
      </c>
      <c r="R60" s="66">
        <f t="shared" si="12"/>
        <v>22.900000000000002</v>
      </c>
      <c r="S60" s="66">
        <f t="shared" si="12"/>
        <v>0</v>
      </c>
      <c r="T60" s="66">
        <f t="shared" si="12"/>
        <v>35.4</v>
      </c>
      <c r="U60" s="66">
        <f t="shared" si="12"/>
        <v>0</v>
      </c>
      <c r="V60" s="66">
        <f t="shared" si="12"/>
        <v>0</v>
      </c>
      <c r="W60" s="66">
        <f t="shared" si="12"/>
        <v>0</v>
      </c>
      <c r="X60" s="66">
        <f t="shared" si="12"/>
        <v>0</v>
      </c>
      <c r="Y60" s="66">
        <f t="shared" si="12"/>
        <v>0</v>
      </c>
      <c r="Z60" s="66">
        <f t="shared" si="12"/>
        <v>0</v>
      </c>
      <c r="AA60" s="66">
        <f t="shared" si="12"/>
        <v>0</v>
      </c>
      <c r="AB60" s="66">
        <f t="shared" si="12"/>
        <v>0</v>
      </c>
      <c r="AC60" s="66">
        <f t="shared" si="12"/>
        <v>0</v>
      </c>
      <c r="AD60" s="66">
        <f t="shared" si="12"/>
        <v>0</v>
      </c>
      <c r="AE60" s="66">
        <f t="shared" si="12"/>
        <v>0</v>
      </c>
      <c r="AF60" s="66">
        <f t="shared" si="12"/>
        <v>0</v>
      </c>
      <c r="AG60" s="143">
        <f t="shared" si="12"/>
        <v>106</v>
      </c>
      <c r="AH60" s="54">
        <f t="shared" si="2"/>
        <v>35.4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72.5</v>
      </c>
      <c r="C61" s="50">
        <v>32</v>
      </c>
      <c r="D61" s="50">
        <v>34.799999999999997</v>
      </c>
      <c r="E61" s="50">
        <v>31.8</v>
      </c>
      <c r="F61" s="50">
        <v>20</v>
      </c>
      <c r="G61" s="50">
        <v>18</v>
      </c>
      <c r="H61" s="50">
        <v>10.6</v>
      </c>
      <c r="I61" s="50">
        <v>9</v>
      </c>
      <c r="J61" s="50">
        <v>1.5</v>
      </c>
      <c r="K61" s="50">
        <v>3.4</v>
      </c>
      <c r="L61" s="50">
        <v>34.5</v>
      </c>
      <c r="M61" s="50">
        <v>44.5</v>
      </c>
      <c r="N61" s="50">
        <v>38.200000000000003</v>
      </c>
      <c r="O61" s="50">
        <v>53.3</v>
      </c>
      <c r="P61" s="50">
        <v>37</v>
      </c>
      <c r="Q61" s="50">
        <v>55.1</v>
      </c>
      <c r="R61" s="50">
        <v>49.8</v>
      </c>
      <c r="S61" s="50">
        <v>50</v>
      </c>
      <c r="T61" s="50">
        <v>37</v>
      </c>
      <c r="U61" s="50">
        <v>52</v>
      </c>
      <c r="V61" s="50">
        <v>51.5</v>
      </c>
      <c r="W61" s="50">
        <v>61.7</v>
      </c>
      <c r="X61" s="50">
        <v>62.4</v>
      </c>
      <c r="Y61" s="50">
        <v>23.1</v>
      </c>
      <c r="Z61" s="50">
        <v>14.5</v>
      </c>
      <c r="AA61" s="50">
        <v>54.5</v>
      </c>
      <c r="AB61" s="50">
        <v>62.1</v>
      </c>
      <c r="AC61" s="50">
        <v>63.9</v>
      </c>
      <c r="AD61" s="50">
        <v>64</v>
      </c>
      <c r="AE61" s="50">
        <v>77.8</v>
      </c>
      <c r="AF61" s="50">
        <v>42.2</v>
      </c>
      <c r="AG61" s="135"/>
      <c r="AH61" s="54">
        <f t="shared" si="2"/>
        <v>77.8</v>
      </c>
      <c r="AI61" s="55">
        <f t="shared" si="3"/>
        <v>1.5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-272.89999999999998</v>
      </c>
      <c r="C63" s="48">
        <v>-285</v>
      </c>
      <c r="D63" s="48">
        <v>-282.5</v>
      </c>
      <c r="E63" s="48">
        <v>-285.3</v>
      </c>
      <c r="F63" s="48">
        <v>-327</v>
      </c>
      <c r="G63" s="48">
        <v>-318</v>
      </c>
      <c r="H63" s="48">
        <v>-340</v>
      </c>
      <c r="I63" s="48">
        <v>-350</v>
      </c>
      <c r="J63" s="48">
        <v>-340</v>
      </c>
      <c r="K63" s="48">
        <v>-315</v>
      </c>
      <c r="L63" s="48">
        <v>-330</v>
      </c>
      <c r="M63" s="48">
        <v>-325.60000000000002</v>
      </c>
      <c r="N63" s="48">
        <v>-329.9</v>
      </c>
      <c r="O63" s="48">
        <v>-340.7</v>
      </c>
      <c r="P63" s="48">
        <v>-315.8</v>
      </c>
      <c r="Q63" s="48">
        <v>-325</v>
      </c>
      <c r="R63" s="48">
        <v>-341.5</v>
      </c>
      <c r="S63" s="48">
        <v>-330</v>
      </c>
      <c r="T63" s="48">
        <v>-328</v>
      </c>
      <c r="U63" s="48">
        <v>-365</v>
      </c>
      <c r="V63" s="48">
        <v>-407</v>
      </c>
      <c r="W63" s="48">
        <v>-391</v>
      </c>
      <c r="X63" s="48">
        <v>-396</v>
      </c>
      <c r="Y63" s="48">
        <v>-374</v>
      </c>
      <c r="Z63" s="48">
        <v>-304</v>
      </c>
      <c r="AA63" s="48">
        <v>-257</v>
      </c>
      <c r="AB63" s="48">
        <v>-261.10000000000002</v>
      </c>
      <c r="AC63" s="48">
        <v>-253.4</v>
      </c>
      <c r="AD63" s="48">
        <v>-275.5</v>
      </c>
      <c r="AE63" s="48">
        <v>-310.10000000000002</v>
      </c>
      <c r="AF63" s="48">
        <v>-332.8</v>
      </c>
      <c r="AG63" s="140"/>
      <c r="AH63" s="54">
        <f t="shared" si="2"/>
        <v>-253.4</v>
      </c>
      <c r="AI63" s="55">
        <f t="shared" si="3"/>
        <v>-407</v>
      </c>
      <c r="AK63" s="56"/>
    </row>
    <row r="64" spans="1:41" x14ac:dyDescent="0.25">
      <c r="A64" s="60" t="s">
        <v>44</v>
      </c>
      <c r="B64" s="71">
        <v>0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140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5</v>
      </c>
      <c r="C66" s="72">
        <v>5</v>
      </c>
      <c r="D66" s="72">
        <v>5</v>
      </c>
      <c r="E66" s="72">
        <v>5</v>
      </c>
      <c r="F66" s="72">
        <v>5</v>
      </c>
      <c r="G66" s="72">
        <v>5</v>
      </c>
      <c r="H66" s="72">
        <v>5</v>
      </c>
      <c r="I66" s="72">
        <v>5</v>
      </c>
      <c r="J66" s="72">
        <v>5</v>
      </c>
      <c r="K66" s="72">
        <v>5</v>
      </c>
      <c r="L66" s="72">
        <v>5</v>
      </c>
      <c r="M66" s="72">
        <v>4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5</v>
      </c>
      <c r="AD66" s="72">
        <v>5</v>
      </c>
      <c r="AE66" s="72">
        <v>5</v>
      </c>
      <c r="AF66" s="72">
        <v>5</v>
      </c>
      <c r="AG66" s="140"/>
      <c r="AH66" s="54">
        <f t="shared" si="2"/>
        <v>5</v>
      </c>
      <c r="AI66" s="55">
        <f t="shared" si="3"/>
        <v>0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1">
        <v>0</v>
      </c>
      <c r="D68" s="71">
        <v>0</v>
      </c>
      <c r="E68" s="71">
        <v>0</v>
      </c>
      <c r="F68" s="71">
        <v>0</v>
      </c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1">
        <v>0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4">
        <v>0</v>
      </c>
      <c r="C70" s="74">
        <v>0</v>
      </c>
      <c r="D70" s="74">
        <v>0</v>
      </c>
      <c r="E70" s="74">
        <v>0</v>
      </c>
      <c r="F70" s="74">
        <v>0</v>
      </c>
      <c r="G70" s="74">
        <v>0</v>
      </c>
      <c r="H70" s="74">
        <v>0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4">
        <v>0</v>
      </c>
      <c r="C71" s="74">
        <v>0</v>
      </c>
      <c r="D71" s="74">
        <v>0</v>
      </c>
      <c r="E71" s="74">
        <v>0</v>
      </c>
      <c r="F71" s="74">
        <v>0</v>
      </c>
      <c r="G71" s="74">
        <v>0</v>
      </c>
      <c r="H71" s="74">
        <v>0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 t="shared" ref="B72" si="13">SUMIF(B61:B71,"&gt;0")</f>
        <v>77.5</v>
      </c>
      <c r="C72" s="66">
        <f t="shared" ref="C72:L72" si="14">SUMIF(C61:C71,"&gt;0")</f>
        <v>37</v>
      </c>
      <c r="D72" s="66">
        <f t="shared" si="14"/>
        <v>39.799999999999997</v>
      </c>
      <c r="E72" s="66">
        <f t="shared" si="14"/>
        <v>36.799999999999997</v>
      </c>
      <c r="F72" s="66">
        <f t="shared" si="14"/>
        <v>25</v>
      </c>
      <c r="G72" s="66">
        <f t="shared" si="14"/>
        <v>23</v>
      </c>
      <c r="H72" s="66">
        <f t="shared" si="14"/>
        <v>15.6</v>
      </c>
      <c r="I72" s="66">
        <f t="shared" si="14"/>
        <v>14</v>
      </c>
      <c r="J72" s="66">
        <f t="shared" si="14"/>
        <v>6.5</v>
      </c>
      <c r="K72" s="66">
        <f t="shared" si="14"/>
        <v>8.4</v>
      </c>
      <c r="L72" s="66">
        <f t="shared" si="14"/>
        <v>39.5</v>
      </c>
      <c r="M72" s="66">
        <f>SUMIF(M61:M71,"&gt;0")</f>
        <v>48.5</v>
      </c>
      <c r="N72" s="66">
        <f t="shared" ref="N72:AF72" si="15">SUMIF(N61:N71,"&gt;0")</f>
        <v>38.200000000000003</v>
      </c>
      <c r="O72" s="66">
        <f t="shared" si="15"/>
        <v>53.3</v>
      </c>
      <c r="P72" s="66">
        <f t="shared" si="15"/>
        <v>37</v>
      </c>
      <c r="Q72" s="66">
        <f t="shared" si="15"/>
        <v>55.1</v>
      </c>
      <c r="R72" s="66">
        <f t="shared" si="15"/>
        <v>49.8</v>
      </c>
      <c r="S72" s="66">
        <f t="shared" si="15"/>
        <v>50</v>
      </c>
      <c r="T72" s="66">
        <f t="shared" si="15"/>
        <v>37</v>
      </c>
      <c r="U72" s="66">
        <f t="shared" si="15"/>
        <v>52</v>
      </c>
      <c r="V72" s="66">
        <f t="shared" si="15"/>
        <v>51.5</v>
      </c>
      <c r="W72" s="66">
        <f t="shared" si="15"/>
        <v>61.7</v>
      </c>
      <c r="X72" s="66">
        <f t="shared" si="15"/>
        <v>62.4</v>
      </c>
      <c r="Y72" s="66">
        <f t="shared" si="15"/>
        <v>23.1</v>
      </c>
      <c r="Z72" s="66">
        <f t="shared" si="15"/>
        <v>14.5</v>
      </c>
      <c r="AA72" s="66">
        <f t="shared" si="15"/>
        <v>54.5</v>
      </c>
      <c r="AB72" s="66">
        <f t="shared" si="15"/>
        <v>62.1</v>
      </c>
      <c r="AC72" s="66">
        <f t="shared" si="15"/>
        <v>68.900000000000006</v>
      </c>
      <c r="AD72" s="66">
        <f t="shared" si="15"/>
        <v>69</v>
      </c>
      <c r="AE72" s="66">
        <f t="shared" si="15"/>
        <v>82.8</v>
      </c>
      <c r="AF72" s="66">
        <f t="shared" si="15"/>
        <v>47.2</v>
      </c>
      <c r="AG72" s="138">
        <f>SUM(AG61:AG71)</f>
        <v>0</v>
      </c>
      <c r="AH72" s="54">
        <f t="shared" si="2"/>
        <v>82.8</v>
      </c>
      <c r="AI72" s="55">
        <f t="shared" si="3"/>
        <v>6.5</v>
      </c>
      <c r="AK72" s="56"/>
    </row>
    <row r="73" spans="1:88" x14ac:dyDescent="0.25">
      <c r="A73" s="57" t="s">
        <v>53</v>
      </c>
      <c r="B73" s="71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>
        <v>0</v>
      </c>
      <c r="C75" s="74">
        <v>0</v>
      </c>
      <c r="D75" s="74">
        <v>0</v>
      </c>
      <c r="E75" s="74">
        <v>0</v>
      </c>
      <c r="F75" s="74">
        <v>0</v>
      </c>
      <c r="G75" s="74">
        <v>0</v>
      </c>
      <c r="H75" s="74">
        <v>0</v>
      </c>
      <c r="I75" s="74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>B38+B42+B60+B56+B72+B76</f>
        <v>1757.1399999999999</v>
      </c>
      <c r="C77" s="75">
        <f t="shared" ref="C77:AF77" si="16">C38+C42+C60+C56+C72+C76</f>
        <v>1717.5399999999997</v>
      </c>
      <c r="D77" s="75">
        <f t="shared" si="16"/>
        <v>1707.74</v>
      </c>
      <c r="E77" s="75">
        <f t="shared" si="16"/>
        <v>1705.34</v>
      </c>
      <c r="F77" s="75">
        <f t="shared" si="16"/>
        <v>1691.7400000000002</v>
      </c>
      <c r="G77" s="75">
        <f t="shared" si="16"/>
        <v>1694.54</v>
      </c>
      <c r="H77" s="75">
        <f t="shared" si="16"/>
        <v>1697.54</v>
      </c>
      <c r="I77" s="75">
        <f t="shared" si="16"/>
        <v>1695.94</v>
      </c>
      <c r="J77" s="75">
        <f t="shared" si="16"/>
        <v>1678.04</v>
      </c>
      <c r="K77" s="75">
        <f t="shared" si="16"/>
        <v>1679.0400000000002</v>
      </c>
      <c r="L77" s="75">
        <f t="shared" si="16"/>
        <v>1725.94</v>
      </c>
      <c r="M77" s="75">
        <f t="shared" si="16"/>
        <v>1740.3400000000001</v>
      </c>
      <c r="N77" s="75">
        <f t="shared" si="16"/>
        <v>1741.8400000000001</v>
      </c>
      <c r="O77" s="75">
        <f t="shared" si="16"/>
        <v>1734.84</v>
      </c>
      <c r="P77" s="75">
        <f t="shared" si="16"/>
        <v>1714.54</v>
      </c>
      <c r="Q77" s="75">
        <f t="shared" si="16"/>
        <v>1751.94</v>
      </c>
      <c r="R77" s="75">
        <f t="shared" si="16"/>
        <v>1758.44</v>
      </c>
      <c r="S77" s="75">
        <f t="shared" si="16"/>
        <v>1735.74</v>
      </c>
      <c r="T77" s="75">
        <f t="shared" si="16"/>
        <v>1745.8400000000001</v>
      </c>
      <c r="U77" s="75">
        <f t="shared" si="16"/>
        <v>1739.54</v>
      </c>
      <c r="V77" s="75">
        <f t="shared" si="16"/>
        <v>1741.54</v>
      </c>
      <c r="W77" s="75">
        <f t="shared" si="16"/>
        <v>1751.74</v>
      </c>
      <c r="X77" s="75">
        <f t="shared" si="16"/>
        <v>1752.44</v>
      </c>
      <c r="Y77" s="75">
        <f t="shared" si="16"/>
        <v>1779.9399999999998</v>
      </c>
      <c r="Z77" s="75">
        <f t="shared" si="16"/>
        <v>1789.34</v>
      </c>
      <c r="AA77" s="75">
        <f t="shared" si="16"/>
        <v>1839.34</v>
      </c>
      <c r="AB77" s="75">
        <f t="shared" si="16"/>
        <v>1851.1399999999999</v>
      </c>
      <c r="AC77" s="75">
        <f t="shared" si="16"/>
        <v>1855.0800000000002</v>
      </c>
      <c r="AD77" s="75">
        <f t="shared" si="16"/>
        <v>1855.18</v>
      </c>
      <c r="AE77" s="75">
        <f t="shared" si="16"/>
        <v>1868.98</v>
      </c>
      <c r="AF77" s="75">
        <f t="shared" si="16"/>
        <v>1833.38</v>
      </c>
      <c r="AG77" s="143">
        <f>AG38+AG42+AG60+AG56+AG72+AG76</f>
        <v>1855.1900000000003</v>
      </c>
      <c r="AH77" s="54">
        <f t="shared" si="2"/>
        <v>1868.98</v>
      </c>
      <c r="AI77" s="55">
        <f t="shared" si="3"/>
        <v>1678.04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>
        <v>25</v>
      </c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25</v>
      </c>
      <c r="AI78" s="55">
        <f t="shared" si="3"/>
        <v>25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>B77+B78</f>
        <v>1757.1399999999999</v>
      </c>
      <c r="C79" s="75">
        <f t="shared" ref="C79:AF79" si="17">C77+C78</f>
        <v>1717.5399999999997</v>
      </c>
      <c r="D79" s="75">
        <f t="shared" si="17"/>
        <v>1707.74</v>
      </c>
      <c r="E79" s="75">
        <f t="shared" si="17"/>
        <v>1705.34</v>
      </c>
      <c r="F79" s="75">
        <f t="shared" si="17"/>
        <v>1691.7400000000002</v>
      </c>
      <c r="G79" s="75">
        <f t="shared" si="17"/>
        <v>1694.54</v>
      </c>
      <c r="H79" s="75">
        <f t="shared" si="17"/>
        <v>1697.54</v>
      </c>
      <c r="I79" s="75">
        <f t="shared" si="17"/>
        <v>1695.94</v>
      </c>
      <c r="J79" s="75">
        <f t="shared" si="17"/>
        <v>1678.04</v>
      </c>
      <c r="K79" s="75">
        <f t="shared" si="17"/>
        <v>1679.0400000000002</v>
      </c>
      <c r="L79" s="75">
        <f t="shared" si="17"/>
        <v>1725.94</v>
      </c>
      <c r="M79" s="75">
        <f t="shared" si="17"/>
        <v>1740.3400000000001</v>
      </c>
      <c r="N79" s="75">
        <f t="shared" si="17"/>
        <v>1741.8400000000001</v>
      </c>
      <c r="O79" s="75">
        <f t="shared" si="17"/>
        <v>1759.84</v>
      </c>
      <c r="P79" s="75">
        <f t="shared" si="17"/>
        <v>1714.54</v>
      </c>
      <c r="Q79" s="75">
        <f t="shared" si="17"/>
        <v>1751.94</v>
      </c>
      <c r="R79" s="75">
        <f t="shared" si="17"/>
        <v>1758.44</v>
      </c>
      <c r="S79" s="75">
        <f t="shared" si="17"/>
        <v>1735.74</v>
      </c>
      <c r="T79" s="75">
        <f t="shared" si="17"/>
        <v>1745.8400000000001</v>
      </c>
      <c r="U79" s="75">
        <f t="shared" si="17"/>
        <v>1739.54</v>
      </c>
      <c r="V79" s="75">
        <f t="shared" si="17"/>
        <v>1741.54</v>
      </c>
      <c r="W79" s="75">
        <f t="shared" si="17"/>
        <v>1751.74</v>
      </c>
      <c r="X79" s="75">
        <f t="shared" si="17"/>
        <v>1752.44</v>
      </c>
      <c r="Y79" s="75">
        <f t="shared" si="17"/>
        <v>1779.9399999999998</v>
      </c>
      <c r="Z79" s="75">
        <f t="shared" si="17"/>
        <v>1789.34</v>
      </c>
      <c r="AA79" s="75">
        <f t="shared" si="17"/>
        <v>1839.34</v>
      </c>
      <c r="AB79" s="75">
        <f t="shared" si="17"/>
        <v>1851.1399999999999</v>
      </c>
      <c r="AC79" s="75">
        <f t="shared" si="17"/>
        <v>1855.0800000000002</v>
      </c>
      <c r="AD79" s="75">
        <f t="shared" si="17"/>
        <v>1855.18</v>
      </c>
      <c r="AE79" s="75">
        <f t="shared" si="17"/>
        <v>1868.98</v>
      </c>
      <c r="AF79" s="75">
        <f t="shared" si="17"/>
        <v>1833.38</v>
      </c>
      <c r="AG79" s="138">
        <f>AG76+AG72+AG60+AG56+AG38+AG78</f>
        <v>1317.0900000000001</v>
      </c>
      <c r="AH79" s="54">
        <f t="shared" si="2"/>
        <v>1868.98</v>
      </c>
      <c r="AI79" s="55">
        <f t="shared" si="3"/>
        <v>1678.04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:AF80" si="18">B79-B87</f>
        <v>1484.2399999999998</v>
      </c>
      <c r="C80" s="75">
        <f t="shared" si="18"/>
        <v>1432.5399999999997</v>
      </c>
      <c r="D80" s="75">
        <f t="shared" si="18"/>
        <v>1425.24</v>
      </c>
      <c r="E80" s="75">
        <f t="shared" si="18"/>
        <v>1420.04</v>
      </c>
      <c r="F80" s="75">
        <f t="shared" si="18"/>
        <v>1364.7400000000002</v>
      </c>
      <c r="G80" s="75">
        <f t="shared" si="18"/>
        <v>1376.54</v>
      </c>
      <c r="H80" s="75">
        <f t="shared" si="18"/>
        <v>1357.54</v>
      </c>
      <c r="I80" s="75">
        <f t="shared" si="18"/>
        <v>1345.94</v>
      </c>
      <c r="J80" s="75">
        <f t="shared" si="18"/>
        <v>1338.04</v>
      </c>
      <c r="K80" s="75">
        <f t="shared" si="18"/>
        <v>1364.0400000000002</v>
      </c>
      <c r="L80" s="75">
        <f t="shared" si="18"/>
        <v>1395.94</v>
      </c>
      <c r="M80" s="75">
        <f t="shared" si="18"/>
        <v>1414.7400000000002</v>
      </c>
      <c r="N80" s="75">
        <f t="shared" si="18"/>
        <v>1411.94</v>
      </c>
      <c r="O80" s="75">
        <f t="shared" si="18"/>
        <v>1419.1399999999999</v>
      </c>
      <c r="P80" s="75">
        <f t="shared" si="18"/>
        <v>1398.74</v>
      </c>
      <c r="Q80" s="75">
        <f t="shared" si="18"/>
        <v>1426.94</v>
      </c>
      <c r="R80" s="75">
        <f t="shared" si="18"/>
        <v>1416.94</v>
      </c>
      <c r="S80" s="75">
        <f t="shared" si="18"/>
        <v>1405.74</v>
      </c>
      <c r="T80" s="75">
        <f t="shared" si="18"/>
        <v>1417.8400000000001</v>
      </c>
      <c r="U80" s="75">
        <f t="shared" si="18"/>
        <v>1374.54</v>
      </c>
      <c r="V80" s="75">
        <f t="shared" si="18"/>
        <v>1334.54</v>
      </c>
      <c r="W80" s="75">
        <f t="shared" si="18"/>
        <v>1360.74</v>
      </c>
      <c r="X80" s="75">
        <f t="shared" si="18"/>
        <v>1356.44</v>
      </c>
      <c r="Y80" s="75">
        <f t="shared" si="18"/>
        <v>1405.9399999999998</v>
      </c>
      <c r="Z80" s="75">
        <f t="shared" si="18"/>
        <v>1485.34</v>
      </c>
      <c r="AA80" s="75">
        <f t="shared" si="18"/>
        <v>1582.34</v>
      </c>
      <c r="AB80" s="75">
        <f t="shared" si="18"/>
        <v>1590.04</v>
      </c>
      <c r="AC80" s="75">
        <f t="shared" si="18"/>
        <v>1601.68</v>
      </c>
      <c r="AD80" s="75">
        <f t="shared" si="18"/>
        <v>1579.68</v>
      </c>
      <c r="AE80" s="75">
        <f t="shared" si="18"/>
        <v>1558.88</v>
      </c>
      <c r="AF80" s="75">
        <f t="shared" si="18"/>
        <v>1500.5800000000002</v>
      </c>
      <c r="AG80" s="138"/>
      <c r="AH80" s="54">
        <f t="shared" ref="AH80:AH97" si="19">MAX(B80:AF80)</f>
        <v>1601.68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>IF(B64&lt;0,B64*-1,0)</f>
        <v>0</v>
      </c>
      <c r="C81" s="71">
        <f t="shared" ref="C81:AF81" si="20">IF(C64&lt;0,C64*-1,0)</f>
        <v>0</v>
      </c>
      <c r="D81" s="71">
        <f t="shared" si="20"/>
        <v>0</v>
      </c>
      <c r="E81" s="71">
        <f t="shared" si="20"/>
        <v>0</v>
      </c>
      <c r="F81" s="71">
        <f t="shared" si="20"/>
        <v>0</v>
      </c>
      <c r="G81" s="71">
        <f t="shared" si="20"/>
        <v>0</v>
      </c>
      <c r="H81" s="71">
        <f t="shared" si="20"/>
        <v>0</v>
      </c>
      <c r="I81" s="71">
        <f t="shared" si="20"/>
        <v>0</v>
      </c>
      <c r="J81" s="71">
        <f t="shared" si="20"/>
        <v>0</v>
      </c>
      <c r="K81" s="71">
        <f t="shared" si="20"/>
        <v>0</v>
      </c>
      <c r="L81" s="71">
        <f t="shared" si="20"/>
        <v>0</v>
      </c>
      <c r="M81" s="71">
        <f t="shared" si="20"/>
        <v>0</v>
      </c>
      <c r="N81" s="71">
        <f t="shared" si="20"/>
        <v>0</v>
      </c>
      <c r="O81" s="71">
        <f t="shared" si="20"/>
        <v>0</v>
      </c>
      <c r="P81" s="71">
        <f t="shared" si="20"/>
        <v>0</v>
      </c>
      <c r="Q81" s="71">
        <f t="shared" si="20"/>
        <v>0</v>
      </c>
      <c r="R81" s="71">
        <f t="shared" si="20"/>
        <v>0</v>
      </c>
      <c r="S81" s="71">
        <f t="shared" si="20"/>
        <v>0</v>
      </c>
      <c r="T81" s="71">
        <f t="shared" si="20"/>
        <v>0</v>
      </c>
      <c r="U81" s="71">
        <f t="shared" si="20"/>
        <v>0</v>
      </c>
      <c r="V81" s="71">
        <f t="shared" si="20"/>
        <v>0</v>
      </c>
      <c r="W81" s="71">
        <f t="shared" si="20"/>
        <v>0</v>
      </c>
      <c r="X81" s="71">
        <f t="shared" si="20"/>
        <v>0</v>
      </c>
      <c r="Y81" s="71">
        <f t="shared" si="20"/>
        <v>0</v>
      </c>
      <c r="Z81" s="71">
        <f t="shared" si="20"/>
        <v>0</v>
      </c>
      <c r="AA81" s="71">
        <f t="shared" si="20"/>
        <v>0</v>
      </c>
      <c r="AB81" s="71">
        <f t="shared" si="20"/>
        <v>0</v>
      </c>
      <c r="AC81" s="71">
        <f t="shared" si="20"/>
        <v>0</v>
      </c>
      <c r="AD81" s="71">
        <f t="shared" si="20"/>
        <v>0</v>
      </c>
      <c r="AE81" s="71">
        <f t="shared" si="20"/>
        <v>0</v>
      </c>
      <c r="AF81" s="71">
        <f t="shared" si="20"/>
        <v>0</v>
      </c>
      <c r="AG81" s="135"/>
      <c r="AH81" s="54">
        <f t="shared" si="19"/>
        <v>0</v>
      </c>
      <c r="AI81" s="55">
        <f t="shared" ref="AI81:AI97" si="21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>IF(B62&lt;0,B62*-1,0)</f>
        <v>0</v>
      </c>
      <c r="C82" s="71">
        <f t="shared" ref="C82:AF82" si="22">IF(C62&lt;0,C62*-1,0)</f>
        <v>0</v>
      </c>
      <c r="D82" s="71">
        <f t="shared" si="22"/>
        <v>0</v>
      </c>
      <c r="E82" s="71">
        <f t="shared" si="22"/>
        <v>0</v>
      </c>
      <c r="F82" s="71">
        <f t="shared" si="22"/>
        <v>0</v>
      </c>
      <c r="G82" s="71">
        <f t="shared" si="22"/>
        <v>0</v>
      </c>
      <c r="H82" s="71">
        <f t="shared" si="22"/>
        <v>0</v>
      </c>
      <c r="I82" s="71">
        <f t="shared" si="22"/>
        <v>0</v>
      </c>
      <c r="J82" s="71">
        <f t="shared" si="22"/>
        <v>0</v>
      </c>
      <c r="K82" s="71">
        <f t="shared" si="22"/>
        <v>0</v>
      </c>
      <c r="L82" s="71">
        <f t="shared" si="22"/>
        <v>0</v>
      </c>
      <c r="M82" s="71">
        <f t="shared" si="22"/>
        <v>0</v>
      </c>
      <c r="N82" s="71">
        <f t="shared" si="22"/>
        <v>0</v>
      </c>
      <c r="O82" s="71">
        <f t="shared" si="22"/>
        <v>0</v>
      </c>
      <c r="P82" s="71">
        <f t="shared" si="22"/>
        <v>0</v>
      </c>
      <c r="Q82" s="71">
        <f t="shared" si="22"/>
        <v>0</v>
      </c>
      <c r="R82" s="71">
        <f t="shared" si="22"/>
        <v>0</v>
      </c>
      <c r="S82" s="71">
        <f t="shared" si="22"/>
        <v>0</v>
      </c>
      <c r="T82" s="71">
        <f t="shared" si="22"/>
        <v>0</v>
      </c>
      <c r="U82" s="71">
        <f t="shared" si="22"/>
        <v>0</v>
      </c>
      <c r="V82" s="71">
        <f t="shared" si="22"/>
        <v>0</v>
      </c>
      <c r="W82" s="71">
        <f t="shared" si="22"/>
        <v>0</v>
      </c>
      <c r="X82" s="71">
        <f t="shared" si="22"/>
        <v>0</v>
      </c>
      <c r="Y82" s="71">
        <f t="shared" si="22"/>
        <v>0</v>
      </c>
      <c r="Z82" s="71">
        <f t="shared" si="22"/>
        <v>0</v>
      </c>
      <c r="AA82" s="71">
        <f t="shared" si="22"/>
        <v>0</v>
      </c>
      <c r="AB82" s="71">
        <f t="shared" si="22"/>
        <v>0</v>
      </c>
      <c r="AC82" s="71">
        <f t="shared" si="22"/>
        <v>0</v>
      </c>
      <c r="AD82" s="71">
        <f t="shared" si="22"/>
        <v>0</v>
      </c>
      <c r="AE82" s="71">
        <f t="shared" si="22"/>
        <v>0</v>
      </c>
      <c r="AF82" s="71">
        <f t="shared" si="22"/>
        <v>0</v>
      </c>
      <c r="AG82" s="136"/>
      <c r="AH82" s="54">
        <f t="shared" si="19"/>
        <v>0</v>
      </c>
      <c r="AI82" s="55">
        <f t="shared" si="21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>IF(B65&lt;0,B65*-1,0)</f>
        <v>0</v>
      </c>
      <c r="C83" s="71">
        <f t="shared" ref="C83:AF83" si="23">IF(C65&lt;0,C65*-1,0)</f>
        <v>0</v>
      </c>
      <c r="D83" s="71">
        <f t="shared" si="23"/>
        <v>0</v>
      </c>
      <c r="E83" s="71">
        <f t="shared" si="23"/>
        <v>0</v>
      </c>
      <c r="F83" s="71">
        <f t="shared" si="23"/>
        <v>0</v>
      </c>
      <c r="G83" s="71">
        <f t="shared" si="23"/>
        <v>0</v>
      </c>
      <c r="H83" s="71">
        <f t="shared" si="23"/>
        <v>0</v>
      </c>
      <c r="I83" s="71">
        <f t="shared" si="23"/>
        <v>0</v>
      </c>
      <c r="J83" s="71">
        <f t="shared" si="23"/>
        <v>0</v>
      </c>
      <c r="K83" s="71">
        <f t="shared" si="23"/>
        <v>0</v>
      </c>
      <c r="L83" s="71">
        <f t="shared" si="23"/>
        <v>0</v>
      </c>
      <c r="M83" s="71">
        <f t="shared" si="23"/>
        <v>0</v>
      </c>
      <c r="N83" s="71">
        <f t="shared" si="23"/>
        <v>0</v>
      </c>
      <c r="O83" s="71">
        <f t="shared" si="23"/>
        <v>0</v>
      </c>
      <c r="P83" s="71">
        <f t="shared" si="23"/>
        <v>0</v>
      </c>
      <c r="Q83" s="71">
        <f t="shared" si="23"/>
        <v>0</v>
      </c>
      <c r="R83" s="71">
        <f t="shared" si="23"/>
        <v>0</v>
      </c>
      <c r="S83" s="71">
        <f t="shared" si="23"/>
        <v>0</v>
      </c>
      <c r="T83" s="71">
        <f t="shared" si="23"/>
        <v>0</v>
      </c>
      <c r="U83" s="71">
        <f t="shared" si="23"/>
        <v>0</v>
      </c>
      <c r="V83" s="71">
        <f t="shared" si="23"/>
        <v>0</v>
      </c>
      <c r="W83" s="71">
        <f t="shared" si="23"/>
        <v>0</v>
      </c>
      <c r="X83" s="71">
        <f t="shared" si="23"/>
        <v>0</v>
      </c>
      <c r="Y83" s="71">
        <f t="shared" si="23"/>
        <v>0</v>
      </c>
      <c r="Z83" s="71">
        <f t="shared" si="23"/>
        <v>0</v>
      </c>
      <c r="AA83" s="71">
        <f t="shared" si="23"/>
        <v>0</v>
      </c>
      <c r="AB83" s="71">
        <f t="shared" si="23"/>
        <v>0</v>
      </c>
      <c r="AC83" s="71">
        <f t="shared" si="23"/>
        <v>0</v>
      </c>
      <c r="AD83" s="71">
        <f t="shared" si="23"/>
        <v>0</v>
      </c>
      <c r="AE83" s="71">
        <f t="shared" si="23"/>
        <v>0</v>
      </c>
      <c r="AF83" s="71">
        <f t="shared" si="23"/>
        <v>0</v>
      </c>
      <c r="AG83" s="144"/>
      <c r="AH83" s="54">
        <f t="shared" si="19"/>
        <v>0</v>
      </c>
      <c r="AI83" s="55">
        <f t="shared" si="21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>IF(B63&lt;0,B63*-1,0)</f>
        <v>272.89999999999998</v>
      </c>
      <c r="C84" s="71">
        <f t="shared" ref="C84:AF84" si="24">IF(C63&lt;0,C63*-1,0)</f>
        <v>285</v>
      </c>
      <c r="D84" s="71">
        <f t="shared" si="24"/>
        <v>282.5</v>
      </c>
      <c r="E84" s="71">
        <f t="shared" si="24"/>
        <v>285.3</v>
      </c>
      <c r="F84" s="71">
        <f t="shared" si="24"/>
        <v>327</v>
      </c>
      <c r="G84" s="71">
        <f t="shared" si="24"/>
        <v>318</v>
      </c>
      <c r="H84" s="71">
        <f t="shared" si="24"/>
        <v>340</v>
      </c>
      <c r="I84" s="71">
        <f t="shared" si="24"/>
        <v>350</v>
      </c>
      <c r="J84" s="71">
        <f t="shared" si="24"/>
        <v>340</v>
      </c>
      <c r="K84" s="71">
        <f t="shared" si="24"/>
        <v>315</v>
      </c>
      <c r="L84" s="71">
        <f t="shared" si="24"/>
        <v>330</v>
      </c>
      <c r="M84" s="71">
        <f t="shared" si="24"/>
        <v>325.60000000000002</v>
      </c>
      <c r="N84" s="71">
        <f t="shared" si="24"/>
        <v>329.9</v>
      </c>
      <c r="O84" s="71">
        <f t="shared" si="24"/>
        <v>340.7</v>
      </c>
      <c r="P84" s="71">
        <f t="shared" si="24"/>
        <v>315.8</v>
      </c>
      <c r="Q84" s="71">
        <f t="shared" si="24"/>
        <v>325</v>
      </c>
      <c r="R84" s="71">
        <f t="shared" si="24"/>
        <v>341.5</v>
      </c>
      <c r="S84" s="71">
        <f t="shared" si="24"/>
        <v>330</v>
      </c>
      <c r="T84" s="71">
        <f t="shared" si="24"/>
        <v>328</v>
      </c>
      <c r="U84" s="71">
        <f t="shared" si="24"/>
        <v>365</v>
      </c>
      <c r="V84" s="71">
        <f t="shared" si="24"/>
        <v>407</v>
      </c>
      <c r="W84" s="71">
        <f t="shared" si="24"/>
        <v>391</v>
      </c>
      <c r="X84" s="71">
        <f t="shared" si="24"/>
        <v>396</v>
      </c>
      <c r="Y84" s="71">
        <f t="shared" si="24"/>
        <v>374</v>
      </c>
      <c r="Z84" s="71">
        <f t="shared" si="24"/>
        <v>304</v>
      </c>
      <c r="AA84" s="71">
        <f t="shared" si="24"/>
        <v>257</v>
      </c>
      <c r="AB84" s="71">
        <f t="shared" si="24"/>
        <v>261.10000000000002</v>
      </c>
      <c r="AC84" s="71">
        <f t="shared" si="24"/>
        <v>253.4</v>
      </c>
      <c r="AD84" s="71">
        <f t="shared" si="24"/>
        <v>275.5</v>
      </c>
      <c r="AE84" s="71">
        <f t="shared" si="24"/>
        <v>310.10000000000002</v>
      </c>
      <c r="AF84" s="71">
        <f t="shared" si="24"/>
        <v>332.8</v>
      </c>
      <c r="AG84" s="144"/>
      <c r="AH84" s="54">
        <f t="shared" si="19"/>
        <v>407</v>
      </c>
      <c r="AI84" s="55">
        <f t="shared" si="21"/>
        <v>253.4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>IF(B61&lt;0,B61*-1,0)</f>
        <v>0</v>
      </c>
      <c r="C85" s="71">
        <f t="shared" ref="C85:AF85" si="25">IF(C61&lt;0,C61*-1,0)</f>
        <v>0</v>
      </c>
      <c r="D85" s="71">
        <f t="shared" si="25"/>
        <v>0</v>
      </c>
      <c r="E85" s="71">
        <f t="shared" si="25"/>
        <v>0</v>
      </c>
      <c r="F85" s="71">
        <f t="shared" si="25"/>
        <v>0</v>
      </c>
      <c r="G85" s="71">
        <f t="shared" si="25"/>
        <v>0</v>
      </c>
      <c r="H85" s="71">
        <f t="shared" si="25"/>
        <v>0</v>
      </c>
      <c r="I85" s="71">
        <f t="shared" si="25"/>
        <v>0</v>
      </c>
      <c r="J85" s="71">
        <f t="shared" si="25"/>
        <v>0</v>
      </c>
      <c r="K85" s="71">
        <f t="shared" si="25"/>
        <v>0</v>
      </c>
      <c r="L85" s="71">
        <f t="shared" si="25"/>
        <v>0</v>
      </c>
      <c r="M85" s="71">
        <f t="shared" si="25"/>
        <v>0</v>
      </c>
      <c r="N85" s="71">
        <f t="shared" si="25"/>
        <v>0</v>
      </c>
      <c r="O85" s="71">
        <f t="shared" si="25"/>
        <v>0</v>
      </c>
      <c r="P85" s="71">
        <f t="shared" si="25"/>
        <v>0</v>
      </c>
      <c r="Q85" s="71">
        <f t="shared" si="25"/>
        <v>0</v>
      </c>
      <c r="R85" s="71">
        <f t="shared" si="25"/>
        <v>0</v>
      </c>
      <c r="S85" s="71">
        <f t="shared" si="25"/>
        <v>0</v>
      </c>
      <c r="T85" s="71">
        <f t="shared" si="25"/>
        <v>0</v>
      </c>
      <c r="U85" s="71">
        <f t="shared" si="25"/>
        <v>0</v>
      </c>
      <c r="V85" s="71">
        <f t="shared" si="25"/>
        <v>0</v>
      </c>
      <c r="W85" s="71">
        <f t="shared" si="25"/>
        <v>0</v>
      </c>
      <c r="X85" s="71">
        <f t="shared" si="25"/>
        <v>0</v>
      </c>
      <c r="Y85" s="71">
        <f t="shared" si="25"/>
        <v>0</v>
      </c>
      <c r="Z85" s="71">
        <f t="shared" si="25"/>
        <v>0</v>
      </c>
      <c r="AA85" s="71">
        <f t="shared" si="25"/>
        <v>0</v>
      </c>
      <c r="AB85" s="71">
        <f t="shared" si="25"/>
        <v>0</v>
      </c>
      <c r="AC85" s="71">
        <f t="shared" si="25"/>
        <v>0</v>
      </c>
      <c r="AD85" s="71">
        <f t="shared" si="25"/>
        <v>0</v>
      </c>
      <c r="AE85" s="71">
        <f t="shared" si="25"/>
        <v>0</v>
      </c>
      <c r="AF85" s="71">
        <f t="shared" si="25"/>
        <v>0</v>
      </c>
      <c r="AG85" s="144"/>
      <c r="AH85" s="54">
        <f t="shared" si="19"/>
        <v>0</v>
      </c>
      <c r="AI85" s="55">
        <f t="shared" si="21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>
        <v>0</v>
      </c>
      <c r="AD86" s="74">
        <v>0</v>
      </c>
      <c r="AE86" s="74"/>
      <c r="AF86" s="74"/>
      <c r="AG86" s="141"/>
      <c r="AH86" s="54">
        <f t="shared" si="19"/>
        <v>0</v>
      </c>
      <c r="AI86" s="55">
        <f t="shared" si="21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>SUM(B81:B86)</f>
        <v>272.89999999999998</v>
      </c>
      <c r="C87" s="66">
        <f t="shared" ref="C87:AF87" si="26">SUM(C81:C86)</f>
        <v>285</v>
      </c>
      <c r="D87" s="66">
        <f t="shared" si="26"/>
        <v>282.5</v>
      </c>
      <c r="E87" s="66">
        <f t="shared" si="26"/>
        <v>285.3</v>
      </c>
      <c r="F87" s="66">
        <f t="shared" si="26"/>
        <v>327</v>
      </c>
      <c r="G87" s="66">
        <f t="shared" si="26"/>
        <v>318</v>
      </c>
      <c r="H87" s="66">
        <f t="shared" si="26"/>
        <v>340</v>
      </c>
      <c r="I87" s="66">
        <f t="shared" si="26"/>
        <v>350</v>
      </c>
      <c r="J87" s="66">
        <f t="shared" si="26"/>
        <v>340</v>
      </c>
      <c r="K87" s="66">
        <f t="shared" si="26"/>
        <v>315</v>
      </c>
      <c r="L87" s="66">
        <f t="shared" si="26"/>
        <v>330</v>
      </c>
      <c r="M87" s="66">
        <f t="shared" si="26"/>
        <v>325.60000000000002</v>
      </c>
      <c r="N87" s="66">
        <f t="shared" si="26"/>
        <v>329.9</v>
      </c>
      <c r="O87" s="66">
        <f t="shared" si="26"/>
        <v>340.7</v>
      </c>
      <c r="P87" s="66">
        <f t="shared" si="26"/>
        <v>315.8</v>
      </c>
      <c r="Q87" s="66">
        <f t="shared" si="26"/>
        <v>325</v>
      </c>
      <c r="R87" s="66">
        <f t="shared" si="26"/>
        <v>341.5</v>
      </c>
      <c r="S87" s="66">
        <f t="shared" si="26"/>
        <v>330</v>
      </c>
      <c r="T87" s="66">
        <f t="shared" si="26"/>
        <v>328</v>
      </c>
      <c r="U87" s="66">
        <f t="shared" si="26"/>
        <v>365</v>
      </c>
      <c r="V87" s="66">
        <f t="shared" si="26"/>
        <v>407</v>
      </c>
      <c r="W87" s="66">
        <f t="shared" si="26"/>
        <v>391</v>
      </c>
      <c r="X87" s="66">
        <f t="shared" si="26"/>
        <v>396</v>
      </c>
      <c r="Y87" s="66">
        <f t="shared" si="26"/>
        <v>374</v>
      </c>
      <c r="Z87" s="66">
        <f t="shared" si="26"/>
        <v>304</v>
      </c>
      <c r="AA87" s="66">
        <f t="shared" si="26"/>
        <v>257</v>
      </c>
      <c r="AB87" s="66">
        <f t="shared" si="26"/>
        <v>261.10000000000002</v>
      </c>
      <c r="AC87" s="66">
        <f t="shared" si="26"/>
        <v>253.4</v>
      </c>
      <c r="AD87" s="66">
        <f t="shared" si="26"/>
        <v>275.5</v>
      </c>
      <c r="AE87" s="66">
        <f t="shared" si="26"/>
        <v>310.10000000000002</v>
      </c>
      <c r="AF87" s="66">
        <f t="shared" si="26"/>
        <v>332.8</v>
      </c>
      <c r="AG87" s="138"/>
      <c r="AH87" s="54">
        <f t="shared" si="19"/>
        <v>407</v>
      </c>
      <c r="AI87" s="55">
        <f t="shared" si="21"/>
        <v>253.4</v>
      </c>
      <c r="AK87" s="56"/>
    </row>
    <row r="88" spans="1:88" s="1" customFormat="1" ht="15.75" thickBot="1" x14ac:dyDescent="0.3">
      <c r="A88" s="65" t="s">
        <v>64</v>
      </c>
      <c r="B88" s="66">
        <f>B72-B87</f>
        <v>-195.39999999999998</v>
      </c>
      <c r="C88" s="66">
        <f t="shared" ref="C88:AF88" si="27">C72-C87</f>
        <v>-248</v>
      </c>
      <c r="D88" s="66">
        <f t="shared" si="27"/>
        <v>-242.7</v>
      </c>
      <c r="E88" s="66">
        <f t="shared" si="27"/>
        <v>-248.5</v>
      </c>
      <c r="F88" s="66">
        <f t="shared" si="27"/>
        <v>-302</v>
      </c>
      <c r="G88" s="66">
        <f t="shared" si="27"/>
        <v>-295</v>
      </c>
      <c r="H88" s="66">
        <f t="shared" si="27"/>
        <v>-324.39999999999998</v>
      </c>
      <c r="I88" s="66">
        <f t="shared" si="27"/>
        <v>-336</v>
      </c>
      <c r="J88" s="66">
        <f t="shared" si="27"/>
        <v>-333.5</v>
      </c>
      <c r="K88" s="66">
        <f t="shared" si="27"/>
        <v>-306.60000000000002</v>
      </c>
      <c r="L88" s="66">
        <f t="shared" si="27"/>
        <v>-290.5</v>
      </c>
      <c r="M88" s="66">
        <f t="shared" si="27"/>
        <v>-277.10000000000002</v>
      </c>
      <c r="N88" s="66">
        <f t="shared" si="27"/>
        <v>-291.7</v>
      </c>
      <c r="O88" s="66">
        <f t="shared" si="27"/>
        <v>-287.39999999999998</v>
      </c>
      <c r="P88" s="66">
        <f t="shared" si="27"/>
        <v>-278.8</v>
      </c>
      <c r="Q88" s="66">
        <f t="shared" si="27"/>
        <v>-269.89999999999998</v>
      </c>
      <c r="R88" s="66">
        <f t="shared" si="27"/>
        <v>-291.7</v>
      </c>
      <c r="S88" s="66">
        <f t="shared" si="27"/>
        <v>-280</v>
      </c>
      <c r="T88" s="66">
        <f t="shared" si="27"/>
        <v>-291</v>
      </c>
      <c r="U88" s="66">
        <f t="shared" si="27"/>
        <v>-313</v>
      </c>
      <c r="V88" s="66">
        <f t="shared" si="27"/>
        <v>-355.5</v>
      </c>
      <c r="W88" s="66">
        <f t="shared" si="27"/>
        <v>-329.3</v>
      </c>
      <c r="X88" s="66">
        <f t="shared" si="27"/>
        <v>-333.6</v>
      </c>
      <c r="Y88" s="66">
        <f t="shared" si="27"/>
        <v>-350.9</v>
      </c>
      <c r="Z88" s="66">
        <f t="shared" si="27"/>
        <v>-289.5</v>
      </c>
      <c r="AA88" s="66">
        <f t="shared" si="27"/>
        <v>-202.5</v>
      </c>
      <c r="AB88" s="66">
        <f t="shared" si="27"/>
        <v>-199.00000000000003</v>
      </c>
      <c r="AC88" s="66">
        <f t="shared" si="27"/>
        <v>-184.5</v>
      </c>
      <c r="AD88" s="66">
        <f t="shared" si="27"/>
        <v>-206.5</v>
      </c>
      <c r="AE88" s="66">
        <f t="shared" si="27"/>
        <v>-227.3</v>
      </c>
      <c r="AF88" s="66">
        <f t="shared" si="27"/>
        <v>-285.60000000000002</v>
      </c>
      <c r="AG88" s="138"/>
      <c r="AH88" s="54">
        <f t="shared" si="19"/>
        <v>-184.5</v>
      </c>
      <c r="AI88" s="55">
        <f t="shared" si="21"/>
        <v>-355.5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50.026000000000003</v>
      </c>
      <c r="C89" s="80">
        <v>50.055999999999997</v>
      </c>
      <c r="D89" s="80">
        <v>50.006</v>
      </c>
      <c r="E89" s="80">
        <v>49.963000000000001</v>
      </c>
      <c r="F89" s="80">
        <v>50.005000000000003</v>
      </c>
      <c r="G89" s="80">
        <v>49.969000000000001</v>
      </c>
      <c r="H89" s="80">
        <v>50.034999999999997</v>
      </c>
      <c r="I89" s="80">
        <v>49.954999999999998</v>
      </c>
      <c r="J89" s="80">
        <v>49.869</v>
      </c>
      <c r="K89" s="80">
        <v>49.951999999999998</v>
      </c>
      <c r="L89" s="80">
        <v>49.993000000000002</v>
      </c>
      <c r="M89" s="80">
        <v>50.04</v>
      </c>
      <c r="N89" s="80">
        <v>49.976999999999997</v>
      </c>
      <c r="O89" s="80">
        <v>50.006999999999998</v>
      </c>
      <c r="P89" s="80">
        <v>49.965000000000003</v>
      </c>
      <c r="Q89" s="80">
        <v>49.87</v>
      </c>
      <c r="R89" s="80">
        <v>50.009</v>
      </c>
      <c r="S89" s="80">
        <v>50.009</v>
      </c>
      <c r="T89" s="80">
        <v>49.746000000000002</v>
      </c>
      <c r="U89" s="80">
        <v>50.03</v>
      </c>
      <c r="V89" s="80">
        <v>50.037999999999997</v>
      </c>
      <c r="W89" s="80">
        <v>49.938000000000002</v>
      </c>
      <c r="X89" s="80">
        <v>49.959000000000003</v>
      </c>
      <c r="Y89" s="80">
        <v>50.012999999999998</v>
      </c>
      <c r="Z89" s="80">
        <v>50.042000000000002</v>
      </c>
      <c r="AA89" s="80">
        <v>49.942999999999998</v>
      </c>
      <c r="AB89" s="80">
        <v>49.926000000000002</v>
      </c>
      <c r="AC89" s="80">
        <v>49.942</v>
      </c>
      <c r="AD89" s="80">
        <v>49.966000000000001</v>
      </c>
      <c r="AE89" s="80">
        <v>49.968000000000004</v>
      </c>
      <c r="AF89" s="80">
        <v>49.960999999999999</v>
      </c>
      <c r="AG89" s="145"/>
      <c r="AH89" s="54">
        <f t="shared" si="19"/>
        <v>50.055999999999997</v>
      </c>
      <c r="AI89" s="55">
        <f t="shared" si="21"/>
        <v>49.746000000000002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121</v>
      </c>
      <c r="C90" s="48">
        <v>123.9</v>
      </c>
      <c r="D90" s="48">
        <v>123.5</v>
      </c>
      <c r="E90" s="48">
        <v>123.7</v>
      </c>
      <c r="F90" s="48">
        <v>124.6</v>
      </c>
      <c r="G90" s="48">
        <v>123.4</v>
      </c>
      <c r="H90" s="48">
        <v>124</v>
      </c>
      <c r="I90" s="48">
        <v>124.3</v>
      </c>
      <c r="J90" s="48">
        <v>124.9</v>
      </c>
      <c r="K90" s="48">
        <v>123.4</v>
      </c>
      <c r="L90" s="48">
        <v>122.9</v>
      </c>
      <c r="M90" s="48">
        <v>123</v>
      </c>
      <c r="N90" s="48">
        <v>122.9</v>
      </c>
      <c r="O90" s="48">
        <v>121.7</v>
      </c>
      <c r="P90" s="48">
        <v>122</v>
      </c>
      <c r="Q90" s="48">
        <v>122</v>
      </c>
      <c r="R90" s="48">
        <v>123.6</v>
      </c>
      <c r="S90" s="48">
        <v>123.6</v>
      </c>
      <c r="T90" s="48">
        <v>123.4</v>
      </c>
      <c r="U90" s="48">
        <v>124</v>
      </c>
      <c r="V90" s="48">
        <v>123</v>
      </c>
      <c r="W90" s="48">
        <v>123.7</v>
      </c>
      <c r="X90" s="48">
        <v>123.4</v>
      </c>
      <c r="Y90" s="48">
        <v>124.2</v>
      </c>
      <c r="Z90" s="48">
        <v>125</v>
      </c>
      <c r="AA90" s="48">
        <v>124.3</v>
      </c>
      <c r="AB90" s="48">
        <v>122.6</v>
      </c>
      <c r="AC90" s="48">
        <v>122.4</v>
      </c>
      <c r="AD90" s="48">
        <v>122.4</v>
      </c>
      <c r="AE90" s="48">
        <v>122.7</v>
      </c>
      <c r="AF90" s="48">
        <v>122.8</v>
      </c>
      <c r="AG90" s="146"/>
      <c r="AH90" s="54">
        <f t="shared" si="19"/>
        <v>125</v>
      </c>
      <c r="AI90" s="55">
        <f t="shared" si="21"/>
        <v>121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126.7</v>
      </c>
      <c r="C91" s="48">
        <v>128.6</v>
      </c>
      <c r="D91" s="48">
        <v>128.4</v>
      </c>
      <c r="E91" s="48">
        <v>128.69999999999999</v>
      </c>
      <c r="F91" s="48">
        <v>129.4</v>
      </c>
      <c r="G91" s="48">
        <v>128.4</v>
      </c>
      <c r="H91" s="48">
        <v>128.19999999999999</v>
      </c>
      <c r="I91" s="48">
        <v>128.5</v>
      </c>
      <c r="J91" s="48">
        <v>128.19999999999999</v>
      </c>
      <c r="K91" s="48">
        <v>127.5</v>
      </c>
      <c r="L91" s="48">
        <v>127.1</v>
      </c>
      <c r="M91" s="48">
        <v>126.9</v>
      </c>
      <c r="N91" s="48">
        <v>126.9</v>
      </c>
      <c r="O91" s="48">
        <v>126.1</v>
      </c>
      <c r="P91" s="48">
        <v>126.4</v>
      </c>
      <c r="Q91" s="48">
        <v>126.9</v>
      </c>
      <c r="R91" s="48">
        <v>128</v>
      </c>
      <c r="S91" s="48">
        <v>128</v>
      </c>
      <c r="T91" s="48">
        <v>127.7</v>
      </c>
      <c r="U91" s="48">
        <v>127</v>
      </c>
      <c r="V91" s="48">
        <v>127.4</v>
      </c>
      <c r="W91" s="48">
        <v>128</v>
      </c>
      <c r="X91" s="48">
        <v>127.6</v>
      </c>
      <c r="Y91" s="48">
        <v>127.8</v>
      </c>
      <c r="Z91" s="48">
        <v>129</v>
      </c>
      <c r="AA91" s="48">
        <v>128.9</v>
      </c>
      <c r="AB91" s="48">
        <v>127</v>
      </c>
      <c r="AC91" s="48">
        <v>126.8</v>
      </c>
      <c r="AD91" s="48">
        <v>127.3</v>
      </c>
      <c r="AE91" s="48">
        <v>127.5</v>
      </c>
      <c r="AF91" s="48">
        <v>127.8</v>
      </c>
      <c r="AG91" s="146"/>
      <c r="AH91" s="54">
        <f t="shared" si="19"/>
        <v>129.4</v>
      </c>
      <c r="AI91" s="55">
        <f t="shared" si="21"/>
        <v>126.1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129.80000000000001</v>
      </c>
      <c r="C92" s="48">
        <v>128.69999999999999</v>
      </c>
      <c r="D92" s="48">
        <v>128.5</v>
      </c>
      <c r="E92" s="48">
        <v>130.4</v>
      </c>
      <c r="F92" s="48">
        <v>131.5</v>
      </c>
      <c r="G92" s="48">
        <v>131.6</v>
      </c>
      <c r="H92" s="48">
        <v>128.1</v>
      </c>
      <c r="I92" s="48">
        <v>130.5</v>
      </c>
      <c r="J92" s="48">
        <v>128.19999999999999</v>
      </c>
      <c r="K92" s="48">
        <v>128.5</v>
      </c>
      <c r="L92" s="48">
        <v>129.30000000000001</v>
      </c>
      <c r="M92" s="48">
        <v>129.9</v>
      </c>
      <c r="N92" s="48">
        <v>128.9</v>
      </c>
      <c r="O92" s="48">
        <v>129.5</v>
      </c>
      <c r="P92" s="48">
        <v>128.4</v>
      </c>
      <c r="Q92" s="48">
        <v>129.9</v>
      </c>
      <c r="R92" s="48">
        <v>129.30000000000001</v>
      </c>
      <c r="S92" s="48">
        <v>129.30000000000001</v>
      </c>
      <c r="T92" s="48">
        <v>129.19999999999999</v>
      </c>
      <c r="U92" s="48">
        <v>129</v>
      </c>
      <c r="V92" s="48">
        <v>130</v>
      </c>
      <c r="W92" s="48">
        <v>130.19999999999999</v>
      </c>
      <c r="X92" s="48">
        <v>130.19999999999999</v>
      </c>
      <c r="Y92" s="48">
        <v>129.5</v>
      </c>
      <c r="Z92" s="48">
        <v>128.30000000000001</v>
      </c>
      <c r="AA92" s="48">
        <v>127</v>
      </c>
      <c r="AB92" s="48">
        <v>128.5</v>
      </c>
      <c r="AC92" s="48">
        <v>129.1</v>
      </c>
      <c r="AD92" s="48">
        <v>128.69999999999999</v>
      </c>
      <c r="AE92" s="48">
        <v>128.4</v>
      </c>
      <c r="AF92" s="48">
        <v>128.19999999999999</v>
      </c>
      <c r="AG92" s="146"/>
      <c r="AH92" s="54">
        <f t="shared" si="19"/>
        <v>131.6</v>
      </c>
      <c r="AI92" s="55">
        <f t="shared" si="21"/>
        <v>127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146"/>
      <c r="AH93" s="54">
        <f t="shared" si="19"/>
        <v>0</v>
      </c>
      <c r="AI93" s="55">
        <f t="shared" si="21"/>
        <v>0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131</v>
      </c>
      <c r="C94" s="82">
        <v>133.1</v>
      </c>
      <c r="D94" s="82">
        <v>133.1</v>
      </c>
      <c r="E94" s="82">
        <v>133</v>
      </c>
      <c r="F94" s="82">
        <v>130.4</v>
      </c>
      <c r="G94" s="82">
        <v>129.5</v>
      </c>
      <c r="H94" s="82">
        <v>130.69999999999999</v>
      </c>
      <c r="I94" s="82">
        <v>132.30000000000001</v>
      </c>
      <c r="J94" s="82">
        <v>133.19999999999999</v>
      </c>
      <c r="K94" s="82">
        <v>133.6</v>
      </c>
      <c r="L94" s="82">
        <v>133.30000000000001</v>
      </c>
      <c r="M94" s="82">
        <v>133.6</v>
      </c>
      <c r="N94" s="82">
        <v>131.69999999999999</v>
      </c>
      <c r="O94" s="82">
        <v>131.6</v>
      </c>
      <c r="P94" s="82">
        <v>132.69999999999999</v>
      </c>
      <c r="Q94" s="82">
        <v>131.9</v>
      </c>
      <c r="R94" s="82">
        <v>133.30000000000001</v>
      </c>
      <c r="S94" s="82">
        <v>133.30000000000001</v>
      </c>
      <c r="T94" s="82">
        <v>131.69999999999999</v>
      </c>
      <c r="U94" s="82">
        <v>130.69999999999999</v>
      </c>
      <c r="V94" s="82">
        <v>134.6</v>
      </c>
      <c r="W94" s="82">
        <v>134.9</v>
      </c>
      <c r="X94" s="82">
        <v>134.30000000000001</v>
      </c>
      <c r="Y94" s="82">
        <v>131.4</v>
      </c>
      <c r="Z94" s="82">
        <v>134</v>
      </c>
      <c r="AA94" s="82">
        <v>133.5</v>
      </c>
      <c r="AB94" s="82">
        <v>130.19999999999999</v>
      </c>
      <c r="AC94" s="82">
        <v>130.69999999999999</v>
      </c>
      <c r="AD94" s="82">
        <v>130.69999999999999</v>
      </c>
      <c r="AE94" s="82">
        <v>132.9</v>
      </c>
      <c r="AF94" s="82">
        <v>130</v>
      </c>
      <c r="AG94" s="147"/>
      <c r="AH94" s="54">
        <f t="shared" si="19"/>
        <v>134.9</v>
      </c>
      <c r="AI94" s="55">
        <f t="shared" si="21"/>
        <v>129.5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127.5</v>
      </c>
      <c r="C95" s="48">
        <v>130.1</v>
      </c>
      <c r="D95" s="48">
        <v>132.6</v>
      </c>
      <c r="E95" s="48">
        <v>129.69999999999999</v>
      </c>
      <c r="F95" s="48">
        <v>125.3</v>
      </c>
      <c r="G95" s="48">
        <v>126.2</v>
      </c>
      <c r="H95" s="48">
        <v>127.3</v>
      </c>
      <c r="I95" s="48">
        <v>126.6</v>
      </c>
      <c r="J95" s="48">
        <v>129.9</v>
      </c>
      <c r="K95" s="48">
        <v>130.6</v>
      </c>
      <c r="L95" s="48">
        <v>131.6</v>
      </c>
      <c r="M95" s="48">
        <v>131</v>
      </c>
      <c r="N95" s="48">
        <v>126.7</v>
      </c>
      <c r="O95" s="48">
        <v>125.8</v>
      </c>
      <c r="P95" s="48">
        <v>130</v>
      </c>
      <c r="Q95" s="48">
        <v>128.5</v>
      </c>
      <c r="R95" s="48">
        <v>126</v>
      </c>
      <c r="S95" s="48">
        <v>126</v>
      </c>
      <c r="T95" s="48">
        <v>124.7</v>
      </c>
      <c r="U95" s="48">
        <v>127</v>
      </c>
      <c r="V95" s="48">
        <v>134.6</v>
      </c>
      <c r="W95" s="48">
        <v>132.5</v>
      </c>
      <c r="X95" s="48">
        <v>132.80000000000001</v>
      </c>
      <c r="Y95" s="48">
        <v>124.6</v>
      </c>
      <c r="Z95" s="48">
        <v>132.80000000000001</v>
      </c>
      <c r="AA95" s="48">
        <v>130.30000000000001</v>
      </c>
      <c r="AB95" s="48">
        <v>124.2</v>
      </c>
      <c r="AC95" s="48">
        <v>129.1</v>
      </c>
      <c r="AD95" s="48">
        <v>127.8</v>
      </c>
      <c r="AE95" s="48">
        <v>130.9</v>
      </c>
      <c r="AF95" s="48">
        <v>124.5</v>
      </c>
      <c r="AG95" s="146"/>
      <c r="AH95" s="54">
        <f t="shared" si="19"/>
        <v>134.6</v>
      </c>
      <c r="AI95" s="55">
        <f t="shared" si="21"/>
        <v>124.2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64.099999999999994</v>
      </c>
      <c r="C96" s="83">
        <v>65</v>
      </c>
      <c r="D96" s="83">
        <v>65.2</v>
      </c>
      <c r="E96" s="83">
        <v>65.5</v>
      </c>
      <c r="F96" s="83">
        <v>65.5</v>
      </c>
      <c r="G96" s="83">
        <v>64.900000000000006</v>
      </c>
      <c r="H96" s="83">
        <v>64.900000000000006</v>
      </c>
      <c r="I96" s="83">
        <v>65.400000000000006</v>
      </c>
      <c r="J96" s="83">
        <v>64.900000000000006</v>
      </c>
      <c r="K96" s="83">
        <v>64.3</v>
      </c>
      <c r="L96" s="83">
        <v>64.2</v>
      </c>
      <c r="M96" s="83">
        <v>64.400000000000006</v>
      </c>
      <c r="N96" s="83">
        <v>64.3</v>
      </c>
      <c r="O96" s="83">
        <v>63.9</v>
      </c>
      <c r="P96" s="83">
        <v>63.9</v>
      </c>
      <c r="Q96" s="83">
        <v>64.099999999999994</v>
      </c>
      <c r="R96" s="83">
        <v>64.7</v>
      </c>
      <c r="S96" s="83">
        <v>64.7</v>
      </c>
      <c r="T96" s="83">
        <v>64.3</v>
      </c>
      <c r="U96" s="83">
        <v>64.099999999999994</v>
      </c>
      <c r="V96" s="83">
        <v>64.3</v>
      </c>
      <c r="W96" s="83">
        <v>64.7</v>
      </c>
      <c r="X96" s="83">
        <v>64.5</v>
      </c>
      <c r="Y96" s="83">
        <v>64.400000000000006</v>
      </c>
      <c r="Z96" s="83">
        <v>65.2</v>
      </c>
      <c r="AA96" s="83">
        <v>64.900000000000006</v>
      </c>
      <c r="AB96" s="83">
        <v>64.2</v>
      </c>
      <c r="AC96" s="83">
        <v>64.2</v>
      </c>
      <c r="AD96" s="83">
        <v>64.2</v>
      </c>
      <c r="AE96" s="83">
        <v>64.3</v>
      </c>
      <c r="AF96" s="83">
        <v>64.7</v>
      </c>
      <c r="AG96" s="148"/>
      <c r="AH96" s="54">
        <f t="shared" si="19"/>
        <v>65.5</v>
      </c>
      <c r="AI96" s="55">
        <f t="shared" si="21"/>
        <v>63.9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19"/>
        <v>0</v>
      </c>
      <c r="AI97" s="55">
        <f t="shared" si="21"/>
        <v>0</v>
      </c>
    </row>
    <row r="98" spans="1:37" ht="15.75" thickBot="1" x14ac:dyDescent="0.3">
      <c r="A98" s="85" t="s">
        <v>73</v>
      </c>
      <c r="B98" s="86">
        <f t="shared" ref="B98:AF98" si="28">SUM(B15,B18,B21:B22,B46,B48:B49,B51,B53,B99:B102,B123,B129,B135,B144,B146,B158,B165,B168:B169,B176,B178,B180,B184:B186,B188:B190,B195,B201:B202,B204:B206,B214,B219)</f>
        <v>48.899999999999991</v>
      </c>
      <c r="C98" s="86">
        <f t="shared" si="28"/>
        <v>64.339999999999961</v>
      </c>
      <c r="D98" s="86">
        <f t="shared" si="28"/>
        <v>33.639999999999979</v>
      </c>
      <c r="E98" s="86">
        <f t="shared" si="28"/>
        <v>28.140000000000025</v>
      </c>
      <c r="F98" s="86">
        <f t="shared" si="28"/>
        <v>24.640000000000011</v>
      </c>
      <c r="G98" s="86">
        <f t="shared" si="28"/>
        <v>46.940000000000012</v>
      </c>
      <c r="H98" s="86">
        <f t="shared" si="28"/>
        <v>74.54000000000002</v>
      </c>
      <c r="I98" s="86">
        <f t="shared" si="28"/>
        <v>101.94000000000001</v>
      </c>
      <c r="J98" s="86">
        <f t="shared" si="28"/>
        <v>120.44</v>
      </c>
      <c r="K98" s="86">
        <f t="shared" si="28"/>
        <v>128.94</v>
      </c>
      <c r="L98" s="86">
        <f t="shared" si="28"/>
        <v>133.94000000000003</v>
      </c>
      <c r="M98" s="86">
        <f t="shared" si="28"/>
        <v>207.73999999999998</v>
      </c>
      <c r="N98" s="86">
        <f t="shared" si="28"/>
        <v>144.73999999999995</v>
      </c>
      <c r="O98" s="86">
        <f t="shared" si="28"/>
        <v>144.94</v>
      </c>
      <c r="P98" s="86">
        <f t="shared" si="28"/>
        <v>121.03999999999999</v>
      </c>
      <c r="Q98" s="86">
        <f t="shared" si="28"/>
        <v>171.8</v>
      </c>
      <c r="R98" s="86">
        <f t="shared" si="28"/>
        <v>97.900000000000034</v>
      </c>
      <c r="S98" s="86">
        <f t="shared" si="28"/>
        <v>97.900000000000034</v>
      </c>
      <c r="T98" s="86">
        <f t="shared" si="28"/>
        <v>132.20000000000005</v>
      </c>
      <c r="U98" s="86">
        <f t="shared" si="28"/>
        <v>131.80000000000004</v>
      </c>
      <c r="V98" s="86">
        <f t="shared" si="28"/>
        <v>118.20000000000006</v>
      </c>
      <c r="W98" s="86">
        <f t="shared" si="28"/>
        <v>122.80000000000004</v>
      </c>
      <c r="X98" s="86">
        <f t="shared" si="28"/>
        <v>121.60000000000005</v>
      </c>
      <c r="Y98" s="86">
        <f t="shared" si="28"/>
        <v>139.50000000000003</v>
      </c>
      <c r="Z98" s="86">
        <f t="shared" si="28"/>
        <v>198.50000000000006</v>
      </c>
      <c r="AA98" s="86">
        <f t="shared" si="28"/>
        <v>220</v>
      </c>
      <c r="AB98" s="86">
        <f t="shared" si="28"/>
        <v>183.89999999999998</v>
      </c>
      <c r="AC98" s="86">
        <f t="shared" si="28"/>
        <v>164.14000000000001</v>
      </c>
      <c r="AD98" s="86">
        <f t="shared" si="28"/>
        <v>150.24</v>
      </c>
      <c r="AE98" s="86">
        <f t="shared" si="28"/>
        <v>150.24</v>
      </c>
      <c r="AF98" s="86">
        <f t="shared" si="28"/>
        <v>73.34</v>
      </c>
      <c r="AG98" s="150"/>
      <c r="AH98" s="54">
        <f>MAX(C98:AF98)</f>
        <v>220</v>
      </c>
      <c r="AI98" s="55">
        <f>MIN(C98:AF98)</f>
        <v>24.640000000000011</v>
      </c>
    </row>
    <row r="99" spans="1:37" x14ac:dyDescent="0.25">
      <c r="A99" s="170" t="s">
        <v>74</v>
      </c>
      <c r="B99" s="87">
        <v>29.6</v>
      </c>
      <c r="C99" s="87">
        <v>14.1</v>
      </c>
      <c r="D99" s="87">
        <v>14.9</v>
      </c>
      <c r="E99" s="87">
        <v>18.3</v>
      </c>
      <c r="F99" s="87">
        <v>16</v>
      </c>
      <c r="G99" s="87">
        <v>22.5</v>
      </c>
      <c r="H99" s="87">
        <v>27.4</v>
      </c>
      <c r="I99" s="87">
        <v>29.9</v>
      </c>
      <c r="J99" s="87">
        <v>34.700000000000003</v>
      </c>
      <c r="K99" s="87">
        <v>37.1</v>
      </c>
      <c r="L99" s="87">
        <v>42.9</v>
      </c>
      <c r="M99" s="87">
        <f>55.8+38</f>
        <v>93.8</v>
      </c>
      <c r="N99" s="87">
        <v>39.4</v>
      </c>
      <c r="O99" s="87">
        <v>39.4</v>
      </c>
      <c r="P99" s="87">
        <v>38.6</v>
      </c>
      <c r="Q99" s="87">
        <f>58.4+38.2</f>
        <v>96.6</v>
      </c>
      <c r="R99" s="87">
        <v>35.5</v>
      </c>
      <c r="S99" s="87">
        <v>35.5</v>
      </c>
      <c r="T99" s="87">
        <v>28</v>
      </c>
      <c r="U99" s="87">
        <v>39</v>
      </c>
      <c r="V99" s="87">
        <v>42.7</v>
      </c>
      <c r="W99" s="87">
        <v>38.700000000000003</v>
      </c>
      <c r="X99" s="87">
        <v>40</v>
      </c>
      <c r="Y99" s="87">
        <v>26.2</v>
      </c>
      <c r="Z99" s="87">
        <v>28.9</v>
      </c>
      <c r="AA99" s="87">
        <v>27.9</v>
      </c>
      <c r="AB99" s="87">
        <v>28.2</v>
      </c>
      <c r="AC99" s="87">
        <v>26</v>
      </c>
      <c r="AD99" s="87">
        <v>27.3</v>
      </c>
      <c r="AE99" s="87">
        <v>27.3</v>
      </c>
      <c r="AF99" s="87">
        <v>18.100000000000001</v>
      </c>
      <c r="AG99" s="151">
        <v>75</v>
      </c>
      <c r="AH99" s="54">
        <f t="shared" ref="AH99:AH105" si="29">IF(ABS(MAX(C99:AF99))&gt;ABS(MIN(C99:AF99)),MAX(C99:AF99),MIN(C99:AF99))</f>
        <v>96.6</v>
      </c>
      <c r="AI99" s="89">
        <f t="shared" ref="AI99:AI105" si="30">INDEX($C$9:$AF$9,1,MATCH(AH99,C99:AF99,0))</f>
        <v>0.5</v>
      </c>
    </row>
    <row r="100" spans="1:37" x14ac:dyDescent="0.25">
      <c r="A100" s="163" t="s">
        <v>75</v>
      </c>
      <c r="B100" s="90">
        <v>-158.5</v>
      </c>
      <c r="C100" s="90">
        <v>-132.5</v>
      </c>
      <c r="D100" s="90">
        <v>-147</v>
      </c>
      <c r="E100" s="90">
        <v>-156.19999999999999</v>
      </c>
      <c r="F100" s="90">
        <v>-155</v>
      </c>
      <c r="G100" s="90">
        <v>-147</v>
      </c>
      <c r="H100" s="90">
        <v>-135</v>
      </c>
      <c r="I100" s="90">
        <v>-115</v>
      </c>
      <c r="J100" s="90">
        <v>-105</v>
      </c>
      <c r="K100" s="90">
        <v>-100</v>
      </c>
      <c r="L100" s="90">
        <v>-106</v>
      </c>
      <c r="M100" s="90">
        <f>-45-50.4</f>
        <v>-95.4</v>
      </c>
      <c r="N100" s="90">
        <v>-102.7</v>
      </c>
      <c r="O100" s="90">
        <v>-102.7</v>
      </c>
      <c r="P100" s="90">
        <v>-109</v>
      </c>
      <c r="Q100" s="90">
        <f>-57.4-64</f>
        <v>-121.4</v>
      </c>
      <c r="R100" s="90">
        <v>-140</v>
      </c>
      <c r="S100" s="90">
        <v>-140</v>
      </c>
      <c r="T100" s="90">
        <f>-51.4-58.3</f>
        <v>-109.69999999999999</v>
      </c>
      <c r="U100" s="90">
        <v>-107</v>
      </c>
      <c r="V100" s="90">
        <f>-59-65</f>
        <v>-124</v>
      </c>
      <c r="W100" s="90">
        <f>-55.7-61.1</f>
        <v>-116.80000000000001</v>
      </c>
      <c r="X100" s="90">
        <f>-56.4-61.7</f>
        <v>-118.1</v>
      </c>
      <c r="Y100" s="90">
        <f>-38-34</f>
        <v>-72</v>
      </c>
      <c r="Z100" s="90">
        <f>-16.9-19.1</f>
        <v>-36</v>
      </c>
      <c r="AA100" s="90">
        <v>-37.200000000000003</v>
      </c>
      <c r="AB100" s="90">
        <v>-47</v>
      </c>
      <c r="AC100" s="90">
        <v>-60</v>
      </c>
      <c r="AD100" s="90">
        <v>-73</v>
      </c>
      <c r="AE100" s="90">
        <v>-73</v>
      </c>
      <c r="AF100" s="90">
        <v>-130</v>
      </c>
      <c r="AG100" s="151">
        <v>240</v>
      </c>
      <c r="AH100" s="54">
        <f t="shared" si="29"/>
        <v>-156.19999999999999</v>
      </c>
      <c r="AI100" s="89">
        <f t="shared" si="30"/>
        <v>0.125</v>
      </c>
    </row>
    <row r="101" spans="1:37" x14ac:dyDescent="0.25">
      <c r="A101" s="163" t="s">
        <v>76</v>
      </c>
      <c r="B101" s="90">
        <v>-4.3</v>
      </c>
      <c r="C101" s="90">
        <v>-2.1</v>
      </c>
      <c r="D101" s="90">
        <v>-4.0999999999999996</v>
      </c>
      <c r="E101" s="90">
        <v>-3.9</v>
      </c>
      <c r="F101" s="90">
        <v>-4.5999999999999996</v>
      </c>
      <c r="G101" s="90">
        <v>-1.8</v>
      </c>
      <c r="H101" s="90">
        <v>-1.1000000000000001</v>
      </c>
      <c r="I101" s="90">
        <v>3.8</v>
      </c>
      <c r="J101" s="90">
        <v>7.5</v>
      </c>
      <c r="K101" s="90">
        <v>8.6</v>
      </c>
      <c r="L101" s="90">
        <v>13.8</v>
      </c>
      <c r="M101" s="90">
        <v>15.3</v>
      </c>
      <c r="N101" s="90">
        <v>15</v>
      </c>
      <c r="O101" s="90">
        <v>15</v>
      </c>
      <c r="P101" s="90">
        <v>7.4</v>
      </c>
      <c r="Q101" s="90">
        <v>14.1</v>
      </c>
      <c r="R101" s="90">
        <v>10.6</v>
      </c>
      <c r="S101" s="90">
        <v>10.6</v>
      </c>
      <c r="T101" s="90">
        <v>22.1</v>
      </c>
      <c r="U101" s="90">
        <v>8</v>
      </c>
      <c r="V101" s="90">
        <v>5.2</v>
      </c>
      <c r="W101" s="90">
        <v>6.6</v>
      </c>
      <c r="X101" s="90">
        <v>5.4</v>
      </c>
      <c r="Y101" s="90">
        <v>11</v>
      </c>
      <c r="Z101" s="90">
        <v>16</v>
      </c>
      <c r="AA101" s="90">
        <v>24.8</v>
      </c>
      <c r="AB101" s="90">
        <v>14.2</v>
      </c>
      <c r="AC101" s="90">
        <v>12.4</v>
      </c>
      <c r="AD101" s="90">
        <v>10.199999999999999</v>
      </c>
      <c r="AE101" s="90">
        <v>10.199999999999999</v>
      </c>
      <c r="AF101" s="90">
        <v>-0.5</v>
      </c>
      <c r="AG101" s="151">
        <v>60</v>
      </c>
      <c r="AH101" s="54">
        <f t="shared" si="29"/>
        <v>24.8</v>
      </c>
      <c r="AI101" s="89">
        <f t="shared" si="30"/>
        <v>0.8125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0</v>
      </c>
      <c r="M102" s="91">
        <v>0</v>
      </c>
      <c r="N102" s="91">
        <v>0</v>
      </c>
      <c r="O102" s="91">
        <v>0</v>
      </c>
      <c r="P102" s="91">
        <v>0</v>
      </c>
      <c r="Q102" s="91">
        <v>0</v>
      </c>
      <c r="R102" s="91">
        <v>0</v>
      </c>
      <c r="S102" s="91">
        <v>0</v>
      </c>
      <c r="T102" s="91">
        <v>0</v>
      </c>
      <c r="U102" s="91">
        <v>0</v>
      </c>
      <c r="V102" s="91">
        <v>0</v>
      </c>
      <c r="W102" s="91">
        <v>0</v>
      </c>
      <c r="X102" s="91">
        <v>0</v>
      </c>
      <c r="Y102" s="91">
        <v>0</v>
      </c>
      <c r="Z102" s="91">
        <v>5.3</v>
      </c>
      <c r="AA102" s="91">
        <v>15.7</v>
      </c>
      <c r="AB102" s="91">
        <v>0</v>
      </c>
      <c r="AC102" s="91">
        <v>0</v>
      </c>
      <c r="AD102" s="91">
        <v>0</v>
      </c>
      <c r="AE102" s="91">
        <v>0</v>
      </c>
      <c r="AF102" s="91">
        <v>0</v>
      </c>
      <c r="AG102" s="152">
        <v>120</v>
      </c>
      <c r="AH102" s="54">
        <f t="shared" si="29"/>
        <v>15.7</v>
      </c>
      <c r="AI102" s="89">
        <f t="shared" si="30"/>
        <v>0.8125</v>
      </c>
    </row>
    <row r="103" spans="1:37" x14ac:dyDescent="0.25">
      <c r="A103" s="164" t="s">
        <v>78</v>
      </c>
      <c r="B103" s="91">
        <v>24.3</v>
      </c>
      <c r="C103" s="91">
        <v>40.9</v>
      </c>
      <c r="D103" s="91">
        <v>30</v>
      </c>
      <c r="E103" s="91">
        <v>27.1</v>
      </c>
      <c r="F103" s="91">
        <v>13.4</v>
      </c>
      <c r="G103" s="91">
        <v>19</v>
      </c>
      <c r="H103" s="91">
        <v>21</v>
      </c>
      <c r="I103" s="91">
        <v>25</v>
      </c>
      <c r="J103" s="91">
        <v>28</v>
      </c>
      <c r="K103" s="91">
        <v>36.4</v>
      </c>
      <c r="L103" s="91">
        <v>24</v>
      </c>
      <c r="M103" s="91">
        <v>26.8</v>
      </c>
      <c r="N103" s="91">
        <v>20.9</v>
      </c>
      <c r="O103" s="91">
        <v>20.9</v>
      </c>
      <c r="P103" s="91">
        <v>32.4</v>
      </c>
      <c r="Q103" s="91">
        <v>15.8</v>
      </c>
      <c r="R103" s="91">
        <v>8.5</v>
      </c>
      <c r="S103" s="91">
        <v>8.5</v>
      </c>
      <c r="T103" s="91">
        <v>31.2</v>
      </c>
      <c r="U103" s="91">
        <v>15</v>
      </c>
      <c r="V103" s="91">
        <v>6</v>
      </c>
      <c r="W103" s="91">
        <v>5.3</v>
      </c>
      <c r="X103" s="91">
        <v>6.2</v>
      </c>
      <c r="Y103" s="91">
        <v>56.7</v>
      </c>
      <c r="Z103" s="91">
        <v>77.599999999999994</v>
      </c>
      <c r="AA103" s="91">
        <v>83.6</v>
      </c>
      <c r="AB103" s="91">
        <v>74</v>
      </c>
      <c r="AC103" s="91">
        <v>76.900000000000006</v>
      </c>
      <c r="AD103" s="91">
        <v>66.900000000000006</v>
      </c>
      <c r="AE103" s="91">
        <v>66.900000000000006</v>
      </c>
      <c r="AF103" s="91">
        <v>48.7</v>
      </c>
      <c r="AG103" s="152"/>
      <c r="AH103" s="54">
        <f t="shared" si="29"/>
        <v>83.6</v>
      </c>
      <c r="AI103" s="89">
        <f t="shared" si="30"/>
        <v>0.8125</v>
      </c>
    </row>
    <row r="104" spans="1:37" x14ac:dyDescent="0.25">
      <c r="A104" s="164" t="s">
        <v>105</v>
      </c>
      <c r="B104" s="91">
        <v>-1.8</v>
      </c>
      <c r="C104" s="91">
        <v>42.9</v>
      </c>
      <c r="D104" s="91">
        <v>40.799999999999997</v>
      </c>
      <c r="E104" s="91">
        <v>29.5</v>
      </c>
      <c r="F104" s="91">
        <v>41.2</v>
      </c>
      <c r="G104" s="91">
        <v>26.3</v>
      </c>
      <c r="H104" s="91">
        <v>20.5</v>
      </c>
      <c r="I104" s="91">
        <v>22</v>
      </c>
      <c r="J104" s="91">
        <v>15</v>
      </c>
      <c r="K104" s="91">
        <v>3.3</v>
      </c>
      <c r="L104" s="91">
        <v>26.5</v>
      </c>
      <c r="M104" s="91">
        <v>-20.100000000000001</v>
      </c>
      <c r="N104" s="91">
        <v>-19.5</v>
      </c>
      <c r="O104" s="91">
        <v>-19.5</v>
      </c>
      <c r="P104" s="91">
        <v>-14.5</v>
      </c>
      <c r="Q104" s="91">
        <v>-18.399999999999999</v>
      </c>
      <c r="R104" s="91">
        <v>-15.4</v>
      </c>
      <c r="S104" s="91">
        <v>-15.4</v>
      </c>
      <c r="T104" s="91">
        <v>16.399999999999999</v>
      </c>
      <c r="U104" s="91">
        <v>16</v>
      </c>
      <c r="V104" s="91">
        <v>-36</v>
      </c>
      <c r="W104" s="91">
        <v>-16.899999999999999</v>
      </c>
      <c r="X104" s="91">
        <v>-33.299999999999997</v>
      </c>
      <c r="Y104" s="91">
        <v>25</v>
      </c>
      <c r="Z104" s="91">
        <v>78</v>
      </c>
      <c r="AA104" s="91">
        <v>34</v>
      </c>
      <c r="AB104" s="91">
        <v>33.6</v>
      </c>
      <c r="AC104" s="91">
        <v>39.9</v>
      </c>
      <c r="AD104" s="91">
        <v>34.6</v>
      </c>
      <c r="AE104" s="91">
        <v>34.6</v>
      </c>
      <c r="AF104" s="91">
        <v>57</v>
      </c>
      <c r="AG104" s="153"/>
      <c r="AH104" s="54">
        <f t="shared" si="29"/>
        <v>78</v>
      </c>
      <c r="AI104" s="89">
        <f t="shared" si="30"/>
        <v>0.79166666666666663</v>
      </c>
    </row>
    <row r="105" spans="1:37" ht="15.75" thickBot="1" x14ac:dyDescent="0.3">
      <c r="A105" s="171" t="s">
        <v>106</v>
      </c>
      <c r="B105" s="82">
        <v>94.8</v>
      </c>
      <c r="C105" s="82">
        <v>97.9</v>
      </c>
      <c r="D105" s="82">
        <v>99.1</v>
      </c>
      <c r="E105" s="82">
        <v>101.2</v>
      </c>
      <c r="F105" s="82">
        <v>103.2</v>
      </c>
      <c r="G105" s="82">
        <v>106</v>
      </c>
      <c r="H105" s="82">
        <v>108</v>
      </c>
      <c r="I105" s="82">
        <v>107</v>
      </c>
      <c r="J105" s="82">
        <v>106</v>
      </c>
      <c r="K105" s="82">
        <v>104</v>
      </c>
      <c r="L105" s="82">
        <v>100</v>
      </c>
      <c r="M105" s="82">
        <v>93</v>
      </c>
      <c r="N105" s="82">
        <v>93.7</v>
      </c>
      <c r="O105" s="82">
        <v>93.7</v>
      </c>
      <c r="P105" s="82">
        <v>90.8</v>
      </c>
      <c r="Q105" s="82">
        <v>89.8</v>
      </c>
      <c r="R105" s="82">
        <v>91.6</v>
      </c>
      <c r="S105" s="82">
        <v>91.6</v>
      </c>
      <c r="T105" s="82">
        <v>93.6</v>
      </c>
      <c r="U105" s="82">
        <v>96</v>
      </c>
      <c r="V105" s="82">
        <v>95.3</v>
      </c>
      <c r="W105" s="82">
        <v>95.3</v>
      </c>
      <c r="X105" s="82">
        <v>93.7</v>
      </c>
      <c r="Y105" s="82">
        <v>89.2</v>
      </c>
      <c r="Z105" s="82">
        <v>84</v>
      </c>
      <c r="AA105" s="82">
        <v>36.299999999999997</v>
      </c>
      <c r="AB105" s="82">
        <v>79.599999999999994</v>
      </c>
      <c r="AC105" s="82">
        <v>80.5</v>
      </c>
      <c r="AD105" s="82">
        <v>82.7</v>
      </c>
      <c r="AE105" s="82">
        <v>82.7</v>
      </c>
      <c r="AF105" s="82">
        <v>91.5</v>
      </c>
      <c r="AG105" s="153"/>
      <c r="AH105" s="54">
        <f t="shared" si="29"/>
        <v>108</v>
      </c>
      <c r="AI105" s="89">
        <f t="shared" si="30"/>
        <v>0.22916666666666666</v>
      </c>
    </row>
    <row r="106" spans="1:37" ht="15.75" thickBot="1" x14ac:dyDescent="0.3">
      <c r="A106" s="92" t="s">
        <v>79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154"/>
      <c r="AH106" s="94"/>
      <c r="AI106" s="55"/>
      <c r="AK106" s="56"/>
    </row>
    <row r="107" spans="1:37" x14ac:dyDescent="0.25">
      <c r="A107" s="162" t="s">
        <v>133</v>
      </c>
      <c r="B107" s="95"/>
      <c r="C107" s="53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6">
        <v>9.94</v>
      </c>
      <c r="AH107" s="54"/>
      <c r="AI107" s="55"/>
      <c r="AK107" s="56"/>
    </row>
    <row r="108" spans="1:37" x14ac:dyDescent="0.25">
      <c r="A108" s="163" t="s">
        <v>134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/>
      <c r="AH108" s="54"/>
      <c r="AI108" s="55"/>
      <c r="AK108" s="56"/>
    </row>
    <row r="109" spans="1:37" x14ac:dyDescent="0.25">
      <c r="A109" s="163" t="s">
        <v>135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136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137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138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139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140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141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142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143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144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145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146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147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148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149</v>
      </c>
      <c r="B123" s="97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9">
        <v>9.9</v>
      </c>
      <c r="AH123" s="54"/>
      <c r="AI123" s="55"/>
      <c r="AK123" s="56"/>
    </row>
    <row r="124" spans="1:37" x14ac:dyDescent="0.25">
      <c r="A124" s="164" t="s">
        <v>80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100">
        <v>9.6579999999999995</v>
      </c>
      <c r="AH124" s="54"/>
      <c r="AI124" s="55"/>
      <c r="AK124" s="56"/>
    </row>
    <row r="125" spans="1:37" x14ac:dyDescent="0.25">
      <c r="A125" s="164" t="s">
        <v>150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</v>
      </c>
      <c r="AH125" s="54"/>
      <c r="AI125" s="55"/>
      <c r="AK125" s="56"/>
    </row>
    <row r="126" spans="1:37" x14ac:dyDescent="0.25">
      <c r="A126" s="164" t="s">
        <v>151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9.51</v>
      </c>
      <c r="AH126" s="54"/>
      <c r="AI126" s="55"/>
      <c r="AK126" s="56"/>
    </row>
    <row r="127" spans="1:37" x14ac:dyDescent="0.25">
      <c r="A127" s="164" t="s">
        <v>152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9.4</v>
      </c>
      <c r="AH127" s="54"/>
      <c r="AI127" s="55"/>
      <c r="AK127" s="56"/>
    </row>
    <row r="128" spans="1:37" x14ac:dyDescent="0.25">
      <c r="A128" s="164" t="s">
        <v>153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8.8000000000000007</v>
      </c>
      <c r="AH128" s="54"/>
      <c r="AI128" s="55"/>
      <c r="AK128" s="56"/>
    </row>
    <row r="129" spans="1:37" x14ac:dyDescent="0.25">
      <c r="A129" s="164" t="s">
        <v>154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8.5</v>
      </c>
      <c r="AH129" s="54"/>
      <c r="AI129" s="55"/>
      <c r="AK129" s="56"/>
    </row>
    <row r="130" spans="1:37" x14ac:dyDescent="0.25">
      <c r="A130" s="164" t="s">
        <v>155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156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8.4</v>
      </c>
      <c r="AH131" s="54"/>
      <c r="AI131" s="55"/>
      <c r="AK131" s="56"/>
    </row>
    <row r="132" spans="1:37" ht="13.5" customHeight="1" x14ac:dyDescent="0.25">
      <c r="A132" s="164" t="s">
        <v>157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</v>
      </c>
      <c r="AH132" s="54"/>
      <c r="AI132" s="55"/>
      <c r="AK132" s="56"/>
    </row>
    <row r="133" spans="1:37" x14ac:dyDescent="0.25">
      <c r="A133" s="164" t="s">
        <v>158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159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160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7.8</v>
      </c>
      <c r="AH135" s="54"/>
      <c r="AI135" s="55"/>
      <c r="AK135" s="56"/>
    </row>
    <row r="136" spans="1:37" x14ac:dyDescent="0.25">
      <c r="A136" s="164" t="s">
        <v>161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7.6</v>
      </c>
      <c r="AH136" s="54"/>
      <c r="AI136" s="55"/>
      <c r="AK136" s="56"/>
    </row>
    <row r="137" spans="1:37" x14ac:dyDescent="0.25">
      <c r="A137" s="164" t="s">
        <v>162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7.5</v>
      </c>
      <c r="AH137" s="54"/>
      <c r="AI137" s="55"/>
      <c r="AK137" s="56"/>
    </row>
    <row r="138" spans="1:37" x14ac:dyDescent="0.25">
      <c r="A138" s="164" t="s">
        <v>163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164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</v>
      </c>
      <c r="AH139" s="54"/>
      <c r="AI139" s="55"/>
      <c r="AK139" s="56"/>
    </row>
    <row r="140" spans="1:37" x14ac:dyDescent="0.25">
      <c r="A140" s="164" t="s">
        <v>165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166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167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168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6.6</v>
      </c>
      <c r="AH143" s="54"/>
      <c r="AI143" s="55"/>
      <c r="AK143" s="56"/>
    </row>
    <row r="144" spans="1:37" x14ac:dyDescent="0.25">
      <c r="A144" s="164" t="s">
        <v>169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170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6.4</v>
      </c>
      <c r="AH145" s="54"/>
      <c r="AI145" s="55"/>
      <c r="AK145" s="56"/>
    </row>
    <row r="146" spans="1:37" x14ac:dyDescent="0.25">
      <c r="A146" s="164" t="s">
        <v>171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</v>
      </c>
      <c r="AH146" s="54"/>
      <c r="AI146" s="55"/>
      <c r="AK146" s="56"/>
    </row>
    <row r="147" spans="1:37" x14ac:dyDescent="0.25">
      <c r="A147" s="164" t="s">
        <v>172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5.0999999999999996</v>
      </c>
      <c r="AH147" s="54"/>
      <c r="AI147" s="55"/>
      <c r="AK147" s="56"/>
    </row>
    <row r="148" spans="1:37" x14ac:dyDescent="0.25">
      <c r="A148" s="164" t="s">
        <v>173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</v>
      </c>
      <c r="AH148" s="54"/>
      <c r="AI148" s="55"/>
      <c r="AK148" s="56"/>
    </row>
    <row r="149" spans="1:37" x14ac:dyDescent="0.25">
      <c r="A149" s="163" t="s">
        <v>174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9">
        <v>5</v>
      </c>
      <c r="AH149" s="54"/>
      <c r="AI149" s="55"/>
      <c r="AK149" s="56"/>
    </row>
    <row r="150" spans="1:37" x14ac:dyDescent="0.25">
      <c r="A150" s="164" t="s">
        <v>175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100">
        <v>5</v>
      </c>
      <c r="AH150" s="54"/>
      <c r="AI150" s="55"/>
      <c r="AK150" s="56"/>
    </row>
    <row r="151" spans="1:37" x14ac:dyDescent="0.25">
      <c r="A151" s="164" t="s">
        <v>176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177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178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179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180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4.9930000000000003</v>
      </c>
      <c r="AH155" s="54"/>
      <c r="AI155" s="55"/>
      <c r="AK155" s="56"/>
    </row>
    <row r="156" spans="1:37" x14ac:dyDescent="0.25">
      <c r="A156" s="164" t="s">
        <v>181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4.9800000000000004</v>
      </c>
      <c r="AH156" s="54"/>
      <c r="AI156" s="55"/>
      <c r="AK156" s="56"/>
    </row>
    <row r="157" spans="1:37" x14ac:dyDescent="0.25">
      <c r="A157" s="164" t="s">
        <v>182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4.95</v>
      </c>
      <c r="AH157" s="54"/>
      <c r="AI157" s="55"/>
      <c r="AK157" s="56"/>
    </row>
    <row r="158" spans="1:37" x14ac:dyDescent="0.25">
      <c r="A158" s="164" t="s">
        <v>81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183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4.8</v>
      </c>
      <c r="AH159" s="54"/>
      <c r="AI159" s="55"/>
      <c r="AK159" s="56"/>
    </row>
    <row r="160" spans="1:37" x14ac:dyDescent="0.25">
      <c r="A160" s="164" t="s">
        <v>184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185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186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4.5</v>
      </c>
      <c r="AH162" s="54"/>
      <c r="AI162" s="55"/>
      <c r="AK162" s="56"/>
    </row>
    <row r="163" spans="1:37" x14ac:dyDescent="0.25">
      <c r="A163" s="164" t="s">
        <v>187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188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4.4550000000000001</v>
      </c>
      <c r="AH164" s="54"/>
      <c r="AI164" s="55"/>
      <c r="AK164" s="56"/>
    </row>
    <row r="165" spans="1:37" x14ac:dyDescent="0.25">
      <c r="A165" s="164" t="s">
        <v>189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4.41</v>
      </c>
      <c r="AH165" s="54"/>
      <c r="AI165" s="55"/>
      <c r="AK165" s="56"/>
    </row>
    <row r="166" spans="1:37" x14ac:dyDescent="0.25">
      <c r="A166" s="164" t="s">
        <v>190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4.4000000000000004</v>
      </c>
      <c r="AH166" s="54"/>
      <c r="AI166" s="55"/>
      <c r="AK166" s="56"/>
    </row>
    <row r="167" spans="1:37" x14ac:dyDescent="0.25">
      <c r="A167" s="164" t="s">
        <v>191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4.3600000000000003</v>
      </c>
      <c r="AH167" s="54"/>
      <c r="AI167" s="55"/>
      <c r="AK167" s="56"/>
    </row>
    <row r="168" spans="1:37" x14ac:dyDescent="0.25">
      <c r="A168" s="164" t="s">
        <v>192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4.2</v>
      </c>
      <c r="AH168" s="54"/>
      <c r="AI168" s="55"/>
      <c r="AK168" s="56"/>
    </row>
    <row r="169" spans="1:37" x14ac:dyDescent="0.25">
      <c r="A169" s="164" t="s">
        <v>193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</v>
      </c>
      <c r="AH169" s="54"/>
      <c r="AI169" s="55"/>
      <c r="AK169" s="56"/>
    </row>
    <row r="170" spans="1:37" x14ac:dyDescent="0.25">
      <c r="A170" s="164" t="s">
        <v>194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195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196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197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198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199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200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201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3.75</v>
      </c>
      <c r="AH177" s="54"/>
      <c r="AI177" s="55"/>
      <c r="AK177" s="56"/>
    </row>
    <row r="178" spans="1:37" x14ac:dyDescent="0.25">
      <c r="A178" s="164" t="s">
        <v>202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3.52</v>
      </c>
      <c r="AH178" s="54"/>
      <c r="AI178" s="55"/>
      <c r="AK178" s="56"/>
    </row>
    <row r="179" spans="1:37" x14ac:dyDescent="0.25">
      <c r="A179" s="164" t="s">
        <v>203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3.33</v>
      </c>
      <c r="AH179" s="54"/>
      <c r="AI179" s="55"/>
      <c r="AK179" s="56"/>
    </row>
    <row r="180" spans="1:37" x14ac:dyDescent="0.25">
      <c r="A180" s="164" t="s">
        <v>204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3.2</v>
      </c>
      <c r="AH180" s="54"/>
      <c r="AI180" s="55"/>
      <c r="AK180" s="56"/>
    </row>
    <row r="181" spans="1:37" x14ac:dyDescent="0.25">
      <c r="A181" s="164" t="s">
        <v>205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</v>
      </c>
      <c r="AH181" s="54"/>
      <c r="AI181" s="55"/>
      <c r="AK181" s="56"/>
    </row>
    <row r="182" spans="1:37" x14ac:dyDescent="0.25">
      <c r="A182" s="164" t="s">
        <v>206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207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208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209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210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211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212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213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2.83</v>
      </c>
      <c r="AH189" s="54"/>
      <c r="AI189" s="55"/>
      <c r="AK189" s="56"/>
    </row>
    <row r="190" spans="1:37" x14ac:dyDescent="0.25">
      <c r="A190" s="164" t="s">
        <v>214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2.5</v>
      </c>
      <c r="AH190" s="54"/>
      <c r="AI190" s="55"/>
      <c r="AK190" s="56"/>
    </row>
    <row r="191" spans="1:37" x14ac:dyDescent="0.25">
      <c r="A191" s="164" t="s">
        <v>215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216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2.4</v>
      </c>
      <c r="AH192" s="54"/>
      <c r="AI192" s="55"/>
      <c r="AK192" s="56"/>
    </row>
    <row r="193" spans="1:37" x14ac:dyDescent="0.25">
      <c r="A193" s="164" t="s">
        <v>217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218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2.2000000000000002</v>
      </c>
      <c r="AH194" s="54"/>
      <c r="AI194" s="55"/>
      <c r="AK194" s="56"/>
    </row>
    <row r="195" spans="1:37" x14ac:dyDescent="0.25">
      <c r="A195" s="164" t="s">
        <v>219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</v>
      </c>
      <c r="AH195" s="54"/>
      <c r="AI195" s="55"/>
      <c r="AK195" s="56"/>
    </row>
    <row r="196" spans="1:37" x14ac:dyDescent="0.25">
      <c r="A196" s="164" t="s">
        <v>220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221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222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1.8</v>
      </c>
      <c r="AH198" s="54"/>
      <c r="AI198" s="55"/>
      <c r="AK198" s="56"/>
    </row>
    <row r="199" spans="1:37" x14ac:dyDescent="0.25">
      <c r="A199" s="164" t="s">
        <v>223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224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1.65</v>
      </c>
      <c r="AH200" s="54"/>
      <c r="AI200" s="55"/>
      <c r="AK200" s="56"/>
    </row>
    <row r="201" spans="1:37" x14ac:dyDescent="0.25">
      <c r="A201" s="164" t="s">
        <v>225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1.5</v>
      </c>
      <c r="AH201" s="54"/>
      <c r="AI201" s="55"/>
      <c r="AK201" s="56"/>
    </row>
    <row r="202" spans="1:37" x14ac:dyDescent="0.25">
      <c r="A202" s="164" t="s">
        <v>226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0.998</v>
      </c>
      <c r="AH202" s="54"/>
      <c r="AI202" s="55"/>
      <c r="AK202" s="56"/>
    </row>
    <row r="203" spans="1:37" x14ac:dyDescent="0.25">
      <c r="A203" s="164" t="s">
        <v>227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0.997</v>
      </c>
      <c r="AH203" s="54"/>
      <c r="AI203" s="55"/>
      <c r="AK203" s="56"/>
    </row>
    <row r="204" spans="1:37" x14ac:dyDescent="0.25">
      <c r="A204" s="164" t="s">
        <v>228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229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0.996</v>
      </c>
      <c r="AH205" s="54"/>
      <c r="AI205" s="55"/>
      <c r="AK205" s="56"/>
    </row>
    <row r="206" spans="1:37" x14ac:dyDescent="0.25">
      <c r="A206" s="164" t="s">
        <v>230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231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232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0.995</v>
      </c>
      <c r="AH208" s="54"/>
      <c r="AI208" s="55"/>
      <c r="AK208" s="56"/>
    </row>
    <row r="209" spans="1:37" x14ac:dyDescent="0.25">
      <c r="A209" s="164" t="s">
        <v>233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0.99299999999999999</v>
      </c>
      <c r="AH209" s="54"/>
      <c r="AI209" s="55"/>
      <c r="AK209" s="56"/>
    </row>
    <row r="210" spans="1:37" x14ac:dyDescent="0.25">
      <c r="A210" s="164" t="s">
        <v>234</v>
      </c>
      <c r="B210" s="97"/>
      <c r="C210" s="53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</v>
      </c>
      <c r="AH210" s="54"/>
      <c r="AI210" s="55"/>
      <c r="AK210" s="56"/>
    </row>
    <row r="211" spans="1:37" ht="15.75" thickBot="1" x14ac:dyDescent="0.3">
      <c r="A211" s="164" t="s">
        <v>235</v>
      </c>
      <c r="B211" s="102"/>
      <c r="C211" s="166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0">
        <v>0.97899999999999998</v>
      </c>
      <c r="AH211" s="54"/>
      <c r="AI211" s="55"/>
      <c r="AK211" s="56"/>
    </row>
    <row r="212" spans="1:37" ht="15.75" thickBot="1" x14ac:dyDescent="0.3">
      <c r="A212" s="165" t="s">
        <v>82</v>
      </c>
      <c r="B212" s="167">
        <f>SUM(B107:B211)</f>
        <v>0</v>
      </c>
      <c r="C212" s="103">
        <f t="shared" ref="C212:AG212" si="31">SUM(C107:C211)</f>
        <v>0</v>
      </c>
      <c r="D212" s="103">
        <f t="shared" si="31"/>
        <v>0</v>
      </c>
      <c r="E212" s="103">
        <f t="shared" si="31"/>
        <v>0</v>
      </c>
      <c r="F212" s="103">
        <f t="shared" si="31"/>
        <v>0</v>
      </c>
      <c r="G212" s="103">
        <f t="shared" si="31"/>
        <v>0</v>
      </c>
      <c r="H212" s="103">
        <f t="shared" si="31"/>
        <v>0</v>
      </c>
      <c r="I212" s="103">
        <f t="shared" si="31"/>
        <v>0</v>
      </c>
      <c r="J212" s="103">
        <f t="shared" si="31"/>
        <v>0</v>
      </c>
      <c r="K212" s="103">
        <f t="shared" si="31"/>
        <v>0</v>
      </c>
      <c r="L212" s="103">
        <f t="shared" si="31"/>
        <v>0</v>
      </c>
      <c r="M212" s="103">
        <f t="shared" si="31"/>
        <v>0</v>
      </c>
      <c r="N212" s="103">
        <f t="shared" si="31"/>
        <v>0</v>
      </c>
      <c r="O212" s="103">
        <f t="shared" si="31"/>
        <v>0</v>
      </c>
      <c r="P212" s="103">
        <f t="shared" si="31"/>
        <v>0</v>
      </c>
      <c r="Q212" s="103">
        <f t="shared" si="31"/>
        <v>0</v>
      </c>
      <c r="R212" s="103">
        <f t="shared" si="31"/>
        <v>0</v>
      </c>
      <c r="S212" s="103">
        <f t="shared" si="31"/>
        <v>0</v>
      </c>
      <c r="T212" s="103">
        <f t="shared" si="31"/>
        <v>0</v>
      </c>
      <c r="U212" s="103">
        <f t="shared" si="31"/>
        <v>0</v>
      </c>
      <c r="V212" s="103">
        <f t="shared" si="31"/>
        <v>0</v>
      </c>
      <c r="W212" s="103">
        <f t="shared" si="31"/>
        <v>0</v>
      </c>
      <c r="X212" s="103">
        <f t="shared" si="31"/>
        <v>0</v>
      </c>
      <c r="Y212" s="103">
        <f t="shared" si="31"/>
        <v>0</v>
      </c>
      <c r="Z212" s="103">
        <f t="shared" si="31"/>
        <v>0</v>
      </c>
      <c r="AA212" s="103">
        <f t="shared" si="31"/>
        <v>0</v>
      </c>
      <c r="AB212" s="103">
        <f t="shared" si="31"/>
        <v>0</v>
      </c>
      <c r="AC212" s="103">
        <f t="shared" si="31"/>
        <v>0</v>
      </c>
      <c r="AD212" s="103">
        <f t="shared" si="31"/>
        <v>0</v>
      </c>
      <c r="AE212" s="103">
        <f t="shared" si="31"/>
        <v>0</v>
      </c>
      <c r="AF212" s="168">
        <f t="shared" si="31"/>
        <v>0</v>
      </c>
      <c r="AG212" s="169">
        <f t="shared" si="31"/>
        <v>412.72299999999984</v>
      </c>
      <c r="AH212" s="54"/>
      <c r="AI212" s="55"/>
      <c r="AK212" s="56"/>
    </row>
    <row r="213" spans="1:37" ht="15.75" thickBot="1" x14ac:dyDescent="0.3">
      <c r="A213" s="28" t="s">
        <v>35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149"/>
      <c r="AH213" s="54"/>
      <c r="AI213" s="55"/>
      <c r="AK213" s="56"/>
    </row>
    <row r="214" spans="1:37" x14ac:dyDescent="0.25">
      <c r="A214" s="170" t="s">
        <v>83</v>
      </c>
      <c r="B214" s="101">
        <f t="shared" ref="B214:B219" si="32">AF214</f>
        <v>0</v>
      </c>
      <c r="C214" s="101">
        <v>0.3</v>
      </c>
      <c r="D214" s="101">
        <f t="shared" ref="D214:P219" si="33">C214</f>
        <v>0.3</v>
      </c>
      <c r="E214" s="101">
        <f t="shared" si="33"/>
        <v>0.3</v>
      </c>
      <c r="F214" s="101">
        <f t="shared" si="33"/>
        <v>0.3</v>
      </c>
      <c r="G214" s="101">
        <f t="shared" si="33"/>
        <v>0.3</v>
      </c>
      <c r="H214" s="101">
        <f t="shared" si="33"/>
        <v>0.3</v>
      </c>
      <c r="I214" s="101">
        <f t="shared" si="33"/>
        <v>0.3</v>
      </c>
      <c r="J214" s="101">
        <f t="shared" si="33"/>
        <v>0.3</v>
      </c>
      <c r="K214" s="101">
        <f t="shared" si="33"/>
        <v>0.3</v>
      </c>
      <c r="L214" s="101">
        <f t="shared" si="33"/>
        <v>0.3</v>
      </c>
      <c r="M214" s="101">
        <f t="shared" si="33"/>
        <v>0.3</v>
      </c>
      <c r="N214" s="101">
        <f t="shared" si="33"/>
        <v>0.3</v>
      </c>
      <c r="O214" s="101">
        <f t="shared" si="33"/>
        <v>0.3</v>
      </c>
      <c r="P214" s="101">
        <f t="shared" si="33"/>
        <v>0.3</v>
      </c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55">
        <v>2.4</v>
      </c>
      <c r="AH214" s="54"/>
      <c r="AI214" s="55"/>
      <c r="AK214" s="56"/>
    </row>
    <row r="215" spans="1:37" x14ac:dyDescent="0.25">
      <c r="A215" s="163" t="s">
        <v>84</v>
      </c>
      <c r="B215" s="97">
        <f t="shared" si="32"/>
        <v>0</v>
      </c>
      <c r="C215" s="97">
        <v>0.4</v>
      </c>
      <c r="D215" s="97">
        <f t="shared" si="33"/>
        <v>0.4</v>
      </c>
      <c r="E215" s="97">
        <f t="shared" si="33"/>
        <v>0.4</v>
      </c>
      <c r="F215" s="97">
        <f t="shared" si="33"/>
        <v>0.4</v>
      </c>
      <c r="G215" s="97">
        <f t="shared" si="33"/>
        <v>0.4</v>
      </c>
      <c r="H215" s="97">
        <f t="shared" si="33"/>
        <v>0.4</v>
      </c>
      <c r="I215" s="97">
        <f t="shared" si="33"/>
        <v>0.4</v>
      </c>
      <c r="J215" s="97">
        <f t="shared" si="33"/>
        <v>0.4</v>
      </c>
      <c r="K215" s="97">
        <f t="shared" si="33"/>
        <v>0.4</v>
      </c>
      <c r="L215" s="97">
        <f t="shared" si="33"/>
        <v>0.4</v>
      </c>
      <c r="M215" s="97">
        <f t="shared" si="33"/>
        <v>0.4</v>
      </c>
      <c r="N215" s="97">
        <f t="shared" si="33"/>
        <v>0.4</v>
      </c>
      <c r="O215" s="97">
        <f t="shared" si="33"/>
        <v>0.4</v>
      </c>
      <c r="P215" s="97">
        <f t="shared" si="33"/>
        <v>0.4</v>
      </c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156">
        <v>2</v>
      </c>
      <c r="AH215" s="54"/>
      <c r="AI215" s="55"/>
      <c r="AK215" s="56"/>
    </row>
    <row r="216" spans="1:37" x14ac:dyDescent="0.25">
      <c r="A216" s="163" t="s">
        <v>85</v>
      </c>
      <c r="B216" s="97">
        <f t="shared" si="32"/>
        <v>0</v>
      </c>
      <c r="C216" s="97">
        <v>1.5</v>
      </c>
      <c r="D216" s="97">
        <f t="shared" si="33"/>
        <v>1.5</v>
      </c>
      <c r="E216" s="97">
        <f t="shared" si="33"/>
        <v>1.5</v>
      </c>
      <c r="F216" s="97">
        <f t="shared" si="33"/>
        <v>1.5</v>
      </c>
      <c r="G216" s="97">
        <f t="shared" si="33"/>
        <v>1.5</v>
      </c>
      <c r="H216" s="97">
        <f t="shared" si="33"/>
        <v>1.5</v>
      </c>
      <c r="I216" s="97">
        <f t="shared" si="33"/>
        <v>1.5</v>
      </c>
      <c r="J216" s="97">
        <f t="shared" si="33"/>
        <v>1.5</v>
      </c>
      <c r="K216" s="97">
        <f t="shared" si="33"/>
        <v>1.5</v>
      </c>
      <c r="L216" s="97">
        <f t="shared" si="33"/>
        <v>1.5</v>
      </c>
      <c r="M216" s="97">
        <f t="shared" si="33"/>
        <v>1.5</v>
      </c>
      <c r="N216" s="97">
        <f t="shared" si="33"/>
        <v>1.5</v>
      </c>
      <c r="O216" s="97">
        <f t="shared" si="33"/>
        <v>1.5</v>
      </c>
      <c r="P216" s="97">
        <f t="shared" si="33"/>
        <v>1.5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1.5</v>
      </c>
      <c r="AH216" s="54"/>
      <c r="AI216" s="55"/>
      <c r="AK216" s="56"/>
    </row>
    <row r="217" spans="1:37" x14ac:dyDescent="0.25">
      <c r="A217" s="163" t="s">
        <v>86</v>
      </c>
      <c r="B217" s="97">
        <f t="shared" si="32"/>
        <v>0</v>
      </c>
      <c r="C217" s="97">
        <v>0.3</v>
      </c>
      <c r="D217" s="97">
        <f t="shared" si="33"/>
        <v>0.3</v>
      </c>
      <c r="E217" s="97">
        <f t="shared" si="33"/>
        <v>0.3</v>
      </c>
      <c r="F217" s="97">
        <f t="shared" si="33"/>
        <v>0.3</v>
      </c>
      <c r="G217" s="97">
        <f t="shared" si="33"/>
        <v>0.3</v>
      </c>
      <c r="H217" s="97">
        <f t="shared" si="33"/>
        <v>0.3</v>
      </c>
      <c r="I217" s="97">
        <f t="shared" si="33"/>
        <v>0.3</v>
      </c>
      <c r="J217" s="97">
        <f t="shared" si="33"/>
        <v>0.3</v>
      </c>
      <c r="K217" s="97">
        <f t="shared" si="33"/>
        <v>0.3</v>
      </c>
      <c r="L217" s="97">
        <f t="shared" si="33"/>
        <v>0.3</v>
      </c>
      <c r="M217" s="97">
        <f t="shared" si="33"/>
        <v>0.3</v>
      </c>
      <c r="N217" s="97">
        <f t="shared" si="33"/>
        <v>0.3</v>
      </c>
      <c r="O217" s="97">
        <f t="shared" si="33"/>
        <v>0.3</v>
      </c>
      <c r="P217" s="97">
        <f t="shared" si="33"/>
        <v>0.3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</v>
      </c>
      <c r="AH217" s="54"/>
      <c r="AI217" s="55"/>
      <c r="AK217" s="56"/>
    </row>
    <row r="218" spans="1:37" x14ac:dyDescent="0.25">
      <c r="A218" s="163" t="s">
        <v>87</v>
      </c>
      <c r="B218" s="97">
        <f t="shared" si="32"/>
        <v>0</v>
      </c>
      <c r="C218" s="97">
        <v>0.4</v>
      </c>
      <c r="D218" s="97">
        <f t="shared" si="33"/>
        <v>0.4</v>
      </c>
      <c r="E218" s="97">
        <f t="shared" si="33"/>
        <v>0.4</v>
      </c>
      <c r="F218" s="97">
        <f t="shared" si="33"/>
        <v>0.4</v>
      </c>
      <c r="G218" s="97">
        <f t="shared" si="33"/>
        <v>0.4</v>
      </c>
      <c r="H218" s="97">
        <f t="shared" si="33"/>
        <v>0.4</v>
      </c>
      <c r="I218" s="97">
        <f t="shared" si="33"/>
        <v>0.4</v>
      </c>
      <c r="J218" s="97">
        <f t="shared" si="33"/>
        <v>0.4</v>
      </c>
      <c r="K218" s="97">
        <f t="shared" si="33"/>
        <v>0.4</v>
      </c>
      <c r="L218" s="97">
        <f t="shared" si="33"/>
        <v>0.4</v>
      </c>
      <c r="M218" s="97">
        <f t="shared" si="33"/>
        <v>0.4</v>
      </c>
      <c r="N218" s="97">
        <f t="shared" si="33"/>
        <v>0.4</v>
      </c>
      <c r="O218" s="97">
        <f t="shared" si="33"/>
        <v>0.4</v>
      </c>
      <c r="P218" s="97">
        <f t="shared" si="33"/>
        <v>0.4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ht="15.75" thickBot="1" x14ac:dyDescent="0.3">
      <c r="A219" s="164" t="s">
        <v>88</v>
      </c>
      <c r="B219" s="102">
        <f t="shared" si="32"/>
        <v>0</v>
      </c>
      <c r="C219" s="102">
        <v>0.64</v>
      </c>
      <c r="D219" s="102">
        <f t="shared" si="33"/>
        <v>0.64</v>
      </c>
      <c r="E219" s="102">
        <f t="shared" si="33"/>
        <v>0.64</v>
      </c>
      <c r="F219" s="102">
        <f t="shared" si="33"/>
        <v>0.64</v>
      </c>
      <c r="G219" s="102">
        <f t="shared" si="33"/>
        <v>0.64</v>
      </c>
      <c r="H219" s="102">
        <f t="shared" si="33"/>
        <v>0.64</v>
      </c>
      <c r="I219" s="102">
        <f t="shared" si="33"/>
        <v>0.64</v>
      </c>
      <c r="J219" s="102">
        <f t="shared" si="33"/>
        <v>0.64</v>
      </c>
      <c r="K219" s="102">
        <f t="shared" si="33"/>
        <v>0.64</v>
      </c>
      <c r="L219" s="102">
        <f t="shared" si="33"/>
        <v>0.64</v>
      </c>
      <c r="M219" s="102">
        <f t="shared" si="33"/>
        <v>0.64</v>
      </c>
      <c r="N219" s="102">
        <f t="shared" si="33"/>
        <v>0.64</v>
      </c>
      <c r="O219" s="102">
        <f t="shared" si="33"/>
        <v>0.64</v>
      </c>
      <c r="P219" s="102">
        <f t="shared" si="33"/>
        <v>0.64</v>
      </c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57">
        <v>0.66</v>
      </c>
      <c r="AH219" s="54"/>
      <c r="AI219" s="55"/>
    </row>
    <row r="220" spans="1:37" ht="15.75" thickBot="1" x14ac:dyDescent="0.3">
      <c r="A220" s="173" t="s">
        <v>35</v>
      </c>
      <c r="B220" s="103">
        <f>SUM(B214:B219)</f>
        <v>0</v>
      </c>
      <c r="C220" s="103">
        <f>SUM(C214:C219)</f>
        <v>3.54</v>
      </c>
      <c r="D220" s="103">
        <f t="shared" ref="D220:L220" si="34">SUM(D214:D219)</f>
        <v>3.54</v>
      </c>
      <c r="E220" s="103">
        <f t="shared" si="34"/>
        <v>3.54</v>
      </c>
      <c r="F220" s="103">
        <f t="shared" si="34"/>
        <v>3.54</v>
      </c>
      <c r="G220" s="103">
        <f t="shared" si="34"/>
        <v>3.54</v>
      </c>
      <c r="H220" s="103">
        <f t="shared" si="34"/>
        <v>3.54</v>
      </c>
      <c r="I220" s="103">
        <f t="shared" si="34"/>
        <v>3.54</v>
      </c>
      <c r="J220" s="103">
        <f t="shared" si="34"/>
        <v>3.54</v>
      </c>
      <c r="K220" s="103">
        <f t="shared" si="34"/>
        <v>3.54</v>
      </c>
      <c r="L220" s="103">
        <f t="shared" si="34"/>
        <v>3.54</v>
      </c>
      <c r="M220" s="103">
        <f>SUM(M214:M219)</f>
        <v>3.54</v>
      </c>
      <c r="N220" s="103">
        <f t="shared" ref="N220:S220" si="35">SUM(N214:N219)</f>
        <v>3.54</v>
      </c>
      <c r="O220" s="103">
        <f t="shared" si="35"/>
        <v>3.54</v>
      </c>
      <c r="P220" s="103">
        <f t="shared" si="35"/>
        <v>3.54</v>
      </c>
      <c r="Q220" s="103">
        <f t="shared" si="35"/>
        <v>0</v>
      </c>
      <c r="R220" s="103">
        <f t="shared" si="35"/>
        <v>0</v>
      </c>
      <c r="S220" s="103">
        <f t="shared" si="35"/>
        <v>0</v>
      </c>
      <c r="T220" s="103">
        <f>SUM(T214:T219)</f>
        <v>0</v>
      </c>
      <c r="U220" s="103">
        <f t="shared" ref="U220:AG220" si="36">SUM(U214:U219)</f>
        <v>0</v>
      </c>
      <c r="V220" s="103">
        <f t="shared" si="36"/>
        <v>0</v>
      </c>
      <c r="W220" s="103">
        <f t="shared" si="36"/>
        <v>0</v>
      </c>
      <c r="X220" s="103">
        <f t="shared" si="36"/>
        <v>0</v>
      </c>
      <c r="Y220" s="103">
        <f t="shared" si="36"/>
        <v>0</v>
      </c>
      <c r="Z220" s="103">
        <f t="shared" si="36"/>
        <v>0</v>
      </c>
      <c r="AA220" s="103">
        <f t="shared" si="36"/>
        <v>0</v>
      </c>
      <c r="AB220" s="103">
        <f t="shared" si="36"/>
        <v>0</v>
      </c>
      <c r="AC220" s="103">
        <f t="shared" si="36"/>
        <v>0</v>
      </c>
      <c r="AD220" s="103">
        <f t="shared" si="36"/>
        <v>0</v>
      </c>
      <c r="AE220" s="103">
        <f t="shared" si="36"/>
        <v>0</v>
      </c>
      <c r="AF220" s="103">
        <f t="shared" si="36"/>
        <v>0</v>
      </c>
      <c r="AG220" s="158">
        <f t="shared" si="36"/>
        <v>8.56</v>
      </c>
      <c r="AH220" s="54"/>
      <c r="AI220" s="55"/>
    </row>
    <row r="221" spans="1:37" ht="15.75" thickBot="1" x14ac:dyDescent="0.3"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  <c r="AC221" s="179"/>
      <c r="AD221" s="179"/>
      <c r="AE221" s="179"/>
      <c r="AF221" s="179"/>
      <c r="AG221" s="84"/>
      <c r="AH221" s="179"/>
    </row>
    <row r="222" spans="1:37" x14ac:dyDescent="0.25">
      <c r="A222" s="79" t="s">
        <v>89</v>
      </c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5"/>
      <c r="AG222" s="179"/>
      <c r="AH222" s="54"/>
      <c r="AI222" s="55"/>
    </row>
    <row r="223" spans="1:37" x14ac:dyDescent="0.25">
      <c r="A223" s="106" t="s">
        <v>90</v>
      </c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8"/>
      <c r="AG223" s="109"/>
      <c r="AH223" s="54"/>
      <c r="AI223" s="55"/>
    </row>
    <row r="224" spans="1:37" x14ac:dyDescent="0.25">
      <c r="A224" s="81" t="s">
        <v>91</v>
      </c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1"/>
      <c r="AG224" s="109"/>
      <c r="AH224" s="54"/>
      <c r="AI224" s="55"/>
    </row>
    <row r="225" spans="1:50" x14ac:dyDescent="0.25">
      <c r="A225" s="81" t="s">
        <v>92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ht="15.75" thickBot="1" x14ac:dyDescent="0.3">
      <c r="A226" s="112" t="s">
        <v>93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4"/>
      <c r="AG226" s="109"/>
      <c r="AH226" s="54"/>
      <c r="AI226" s="55"/>
    </row>
    <row r="227" spans="1:50" x14ac:dyDescent="0.25"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  <c r="AC227" s="179"/>
      <c r="AD227" s="179"/>
      <c r="AE227" s="179"/>
      <c r="AF227" s="179"/>
      <c r="AG227" s="179"/>
      <c r="AH227" s="179"/>
    </row>
    <row r="228" spans="1:50" x14ac:dyDescent="0.25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  <c r="AC228" s="179"/>
      <c r="AD228" s="179"/>
      <c r="AE228" s="179"/>
      <c r="AF228" s="179"/>
      <c r="AG228" s="179"/>
      <c r="AH228" s="179"/>
    </row>
    <row r="229" spans="1:50" x14ac:dyDescent="0.25">
      <c r="A229" s="115" t="s">
        <v>94</v>
      </c>
      <c r="B229" s="116">
        <f>MAX(G79:N79)</f>
        <v>1741.8400000000001</v>
      </c>
      <c r="C229" s="117">
        <f>INDEX(G9:N9,1,MATCH(MAX(G79:N79),G79:N79,0))</f>
        <v>0.375</v>
      </c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  <c r="AC229" s="179"/>
      <c r="AD229" s="179"/>
      <c r="AE229" s="179"/>
      <c r="AF229" s="179"/>
      <c r="AG229" s="179"/>
      <c r="AH229" s="179"/>
    </row>
    <row r="230" spans="1:50" x14ac:dyDescent="0.25"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18" t="str">
        <f ca="1">MID(CELL("filename",C7),FIND("]",CELL("filename",C7))+1,600)</f>
        <v>27</v>
      </c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79"/>
      <c r="AH230" s="179"/>
    </row>
    <row r="231" spans="1:50" x14ac:dyDescent="0.25">
      <c r="A231" s="208" t="s">
        <v>95</v>
      </c>
      <c r="B231" s="208"/>
      <c r="C231" s="179"/>
      <c r="D231" s="118" t="str">
        <f ca="1">"Pie Chart of Daily Peak Demand(Inclusive of Export) of Nepal ("&amp;A4&amp;" "&amp;B4&amp;")"</f>
        <v>Pie Chart of Daily Peak Demand(Inclusive of Export) of Nepal (Nepali Date: 2079/02/27)</v>
      </c>
      <c r="E231" s="179"/>
      <c r="F231" s="179"/>
      <c r="G231" s="118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18" t="str">
        <f ca="1">"Daily Load Curve(Excluding of Export) of Nepal ("&amp;A4&amp;" "&amp;B4&amp;")"</f>
        <v>Daily Load Curve(Excluding of Export) of Nepal (Nepali Date: 2079/02/27)</v>
      </c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  <c r="AE231" s="179"/>
      <c r="AF231" s="179"/>
      <c r="AG231" s="179"/>
      <c r="AH231" s="179"/>
    </row>
    <row r="232" spans="1:50" ht="12.75" customHeight="1" thickBot="1" x14ac:dyDescent="0.3">
      <c r="A232" s="119" t="s">
        <v>7</v>
      </c>
      <c r="B232" s="120"/>
      <c r="C232" s="179"/>
      <c r="D232" s="121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  <c r="AC232" s="179"/>
      <c r="AD232" s="179"/>
      <c r="AE232" s="179"/>
      <c r="AF232" s="179"/>
      <c r="AG232" s="179"/>
      <c r="AH232" s="179"/>
    </row>
    <row r="233" spans="1:50" ht="15.75" thickTop="1" x14ac:dyDescent="0.25">
      <c r="A233" s="119" t="s">
        <v>96</v>
      </c>
      <c r="B233" s="120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22" t="s">
        <v>97</v>
      </c>
      <c r="T233" s="123">
        <v>0</v>
      </c>
      <c r="U233" s="124">
        <v>4.1666666666666664E-2</v>
      </c>
      <c r="V233" s="125">
        <v>8.3333333333333301E-2</v>
      </c>
      <c r="W233" s="125">
        <v>0.125</v>
      </c>
      <c r="X233" s="125">
        <v>0.16666666666666699</v>
      </c>
      <c r="Y233" s="125">
        <v>0.20833333333333301</v>
      </c>
      <c r="Z233" s="125">
        <v>0.22916666666666666</v>
      </c>
      <c r="AA233" s="125">
        <v>0.25</v>
      </c>
      <c r="AB233" s="125">
        <v>0.27083333333333331</v>
      </c>
      <c r="AC233" s="125">
        <v>0.29166666666666669</v>
      </c>
      <c r="AD233" s="125">
        <v>0.3125</v>
      </c>
      <c r="AE233" s="126">
        <v>0.33333333333333331</v>
      </c>
      <c r="AF233" s="126">
        <v>0.375</v>
      </c>
      <c r="AG233" s="126">
        <v>0.41666666666666702</v>
      </c>
      <c r="AH233" s="126">
        <v>0.45833333333333298</v>
      </c>
      <c r="AI233" s="126">
        <v>0.5</v>
      </c>
      <c r="AJ233" s="126">
        <v>0.54166666666666696</v>
      </c>
      <c r="AK233" s="126">
        <v>0.58333333333333304</v>
      </c>
      <c r="AL233" s="126">
        <v>0.625</v>
      </c>
      <c r="AM233" s="126">
        <v>0.66666666666666696</v>
      </c>
      <c r="AN233" s="126">
        <v>0.70833333333333304</v>
      </c>
      <c r="AO233" s="126">
        <v>0.72916666666666663</v>
      </c>
      <c r="AP233" s="126">
        <v>0.75</v>
      </c>
      <c r="AQ233" s="126">
        <v>0.77083333333333337</v>
      </c>
      <c r="AR233" s="126">
        <v>0.79166666666666663</v>
      </c>
      <c r="AS233" s="126">
        <v>0.8125</v>
      </c>
      <c r="AT233" s="125">
        <v>0.83333333333333337</v>
      </c>
      <c r="AU233" s="125">
        <v>0.85416666666666663</v>
      </c>
      <c r="AV233" s="125">
        <v>0.875</v>
      </c>
      <c r="AW233" s="125">
        <v>0.91666666666666696</v>
      </c>
      <c r="AX233" s="125">
        <v>0.95833333333333304</v>
      </c>
    </row>
    <row r="234" spans="1:50" x14ac:dyDescent="0.25">
      <c r="A234" s="119" t="s">
        <v>98</v>
      </c>
      <c r="B234" s="120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 t="s">
        <v>99</v>
      </c>
      <c r="T234" s="127">
        <f t="shared" ref="T234:AX234" si="37">B79</f>
        <v>1757.1399999999999</v>
      </c>
      <c r="U234" s="127">
        <f t="shared" si="37"/>
        <v>1717.5399999999997</v>
      </c>
      <c r="V234" s="127">
        <f t="shared" si="37"/>
        <v>1707.74</v>
      </c>
      <c r="W234" s="127">
        <f t="shared" si="37"/>
        <v>1705.34</v>
      </c>
      <c r="X234" s="127">
        <f t="shared" si="37"/>
        <v>1691.7400000000002</v>
      </c>
      <c r="Y234" s="127">
        <f t="shared" si="37"/>
        <v>1694.54</v>
      </c>
      <c r="Z234" s="127">
        <f t="shared" si="37"/>
        <v>1697.54</v>
      </c>
      <c r="AA234" s="127">
        <f t="shared" si="37"/>
        <v>1695.94</v>
      </c>
      <c r="AB234" s="127">
        <f t="shared" si="37"/>
        <v>1678.04</v>
      </c>
      <c r="AC234" s="127">
        <f t="shared" si="37"/>
        <v>1679.0400000000002</v>
      </c>
      <c r="AD234" s="127">
        <f t="shared" si="37"/>
        <v>1725.94</v>
      </c>
      <c r="AE234" s="127">
        <f t="shared" si="37"/>
        <v>1740.3400000000001</v>
      </c>
      <c r="AF234" s="127">
        <f t="shared" si="37"/>
        <v>1741.8400000000001</v>
      </c>
      <c r="AG234" s="127">
        <f t="shared" si="37"/>
        <v>1759.84</v>
      </c>
      <c r="AH234" s="127">
        <f t="shared" si="37"/>
        <v>1714.54</v>
      </c>
      <c r="AI234" s="127">
        <f t="shared" si="37"/>
        <v>1751.94</v>
      </c>
      <c r="AJ234" s="127">
        <f t="shared" si="37"/>
        <v>1758.44</v>
      </c>
      <c r="AK234" s="127">
        <f t="shared" si="37"/>
        <v>1735.74</v>
      </c>
      <c r="AL234" s="127">
        <f t="shared" si="37"/>
        <v>1745.8400000000001</v>
      </c>
      <c r="AM234" s="127">
        <f t="shared" si="37"/>
        <v>1739.54</v>
      </c>
      <c r="AN234" s="127">
        <f t="shared" si="37"/>
        <v>1741.54</v>
      </c>
      <c r="AO234" s="127">
        <f t="shared" si="37"/>
        <v>1751.74</v>
      </c>
      <c r="AP234" s="127">
        <f t="shared" si="37"/>
        <v>1752.44</v>
      </c>
      <c r="AQ234" s="127">
        <f t="shared" si="37"/>
        <v>1779.9399999999998</v>
      </c>
      <c r="AR234" s="127">
        <f t="shared" si="37"/>
        <v>1789.34</v>
      </c>
      <c r="AS234" s="127">
        <f t="shared" si="37"/>
        <v>1839.34</v>
      </c>
      <c r="AT234" s="127">
        <f t="shared" si="37"/>
        <v>1851.1399999999999</v>
      </c>
      <c r="AU234" s="127">
        <f t="shared" si="37"/>
        <v>1855.0800000000002</v>
      </c>
      <c r="AV234" s="127">
        <f t="shared" si="37"/>
        <v>1855.18</v>
      </c>
      <c r="AW234" s="127">
        <f t="shared" si="37"/>
        <v>1868.98</v>
      </c>
      <c r="AX234" s="127">
        <f t="shared" si="37"/>
        <v>1833.38</v>
      </c>
    </row>
    <row r="235" spans="1:50" x14ac:dyDescent="0.25">
      <c r="A235" s="119" t="s">
        <v>100</v>
      </c>
      <c r="B235" s="120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  <c r="AC235" s="179"/>
      <c r="AD235" s="179"/>
      <c r="AE235" s="179"/>
      <c r="AF235" s="179"/>
      <c r="AG235" s="179"/>
      <c r="AH235" s="179"/>
    </row>
    <row r="236" spans="1:50" x14ac:dyDescent="0.25">
      <c r="A236" s="119" t="s">
        <v>101</v>
      </c>
      <c r="B236" s="120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79"/>
      <c r="AE236" s="179"/>
      <c r="AF236" s="179"/>
      <c r="AG236" s="179"/>
      <c r="AH236" s="179"/>
    </row>
    <row r="237" spans="1:50" x14ac:dyDescent="0.25">
      <c r="A237" s="119" t="s">
        <v>102</v>
      </c>
      <c r="B237" s="120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  <c r="AE237" s="179"/>
      <c r="AF237" s="179"/>
      <c r="AG237" s="179"/>
      <c r="AH237" s="179"/>
    </row>
    <row r="238" spans="1:50" x14ac:dyDescent="0.25">
      <c r="A238" s="119" t="s">
        <v>103</v>
      </c>
      <c r="B238" s="128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  <c r="AE238" s="179"/>
      <c r="AF238" s="179"/>
      <c r="AG238" s="179"/>
      <c r="AH238" s="179"/>
    </row>
    <row r="239" spans="1:50" x14ac:dyDescent="0.25">
      <c r="A239" s="119" t="s">
        <v>104</v>
      </c>
      <c r="B239" s="120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</row>
    <row r="240" spans="1:50" x14ac:dyDescent="0.25"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  <c r="AD240" s="179"/>
      <c r="AE240" s="179"/>
      <c r="AF240" s="179"/>
      <c r="AG240" s="179"/>
      <c r="AH240" s="179"/>
    </row>
    <row r="241" spans="1:36" x14ac:dyDescent="0.25"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  <c r="AC241" s="179"/>
      <c r="AD241" s="179"/>
      <c r="AE241" s="179"/>
      <c r="AF241" s="179"/>
      <c r="AG241" s="179"/>
      <c r="AH241" s="179"/>
    </row>
    <row r="242" spans="1:36" x14ac:dyDescent="0.25"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  <c r="AC242" s="179"/>
      <c r="AD242" s="179"/>
      <c r="AE242" s="179"/>
      <c r="AF242" s="179"/>
      <c r="AG242" s="179"/>
      <c r="AH242" s="179"/>
    </row>
    <row r="243" spans="1:36" x14ac:dyDescent="0.25"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  <c r="AC243" s="179"/>
      <c r="AD243" s="179"/>
      <c r="AE243" s="179"/>
      <c r="AF243" s="179"/>
      <c r="AG243" s="179"/>
      <c r="AH243" s="179"/>
    </row>
    <row r="244" spans="1:36" x14ac:dyDescent="0.25"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  <c r="AC244" s="179"/>
      <c r="AD244" s="179"/>
      <c r="AE244" s="179"/>
      <c r="AF244" s="179"/>
      <c r="AG244" s="179"/>
      <c r="AH244" s="179"/>
    </row>
    <row r="245" spans="1:36" x14ac:dyDescent="0.25"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  <c r="AG245" s="179"/>
      <c r="AH245" s="179"/>
    </row>
    <row r="246" spans="1:36" x14ac:dyDescent="0.25"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  <c r="AC246" s="179"/>
      <c r="AD246" s="179"/>
      <c r="AE246" s="179"/>
      <c r="AF246" s="179"/>
      <c r="AG246" s="179"/>
      <c r="AH246" s="179"/>
      <c r="AJ246"/>
    </row>
    <row r="247" spans="1:36" x14ac:dyDescent="0.25"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  <c r="AC247" s="179"/>
      <c r="AD247" s="179"/>
      <c r="AE247" s="179"/>
      <c r="AF247" s="179"/>
      <c r="AG247" s="179"/>
      <c r="AH247" s="179"/>
      <c r="AJ247"/>
    </row>
    <row r="248" spans="1:36" x14ac:dyDescent="0.25"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  <c r="AC248" s="179"/>
      <c r="AD248" s="179"/>
      <c r="AE248" s="179"/>
      <c r="AF248" s="179"/>
      <c r="AG248" s="179"/>
      <c r="AH248" s="179"/>
      <c r="AJ248"/>
    </row>
    <row r="249" spans="1:36" x14ac:dyDescent="0.25"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  <c r="AC249" s="179"/>
      <c r="AD249" s="179"/>
      <c r="AE249" s="179"/>
      <c r="AF249" s="179"/>
      <c r="AG249" s="179"/>
      <c r="AH249" s="179"/>
      <c r="AJ249"/>
    </row>
    <row r="250" spans="1:36" x14ac:dyDescent="0.25"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  <c r="AC250" s="179"/>
      <c r="AD250" s="179"/>
      <c r="AE250" s="179"/>
      <c r="AF250" s="179"/>
      <c r="AG250" s="179"/>
      <c r="AH250" s="179"/>
      <c r="AJ250"/>
    </row>
    <row r="251" spans="1:36" x14ac:dyDescent="0.25"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  <c r="AE251" s="179"/>
      <c r="AF251" s="179"/>
      <c r="AG251" s="179"/>
      <c r="AH251" s="179"/>
      <c r="AJ251"/>
    </row>
    <row r="252" spans="1:36" x14ac:dyDescent="0.25"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  <c r="AC252" s="179"/>
      <c r="AD252" s="179"/>
      <c r="AE252" s="179"/>
      <c r="AF252" s="179"/>
      <c r="AG252" s="179"/>
      <c r="AH252" s="179"/>
      <c r="AJ252"/>
    </row>
    <row r="253" spans="1:36" x14ac:dyDescent="0.25"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J253"/>
    </row>
    <row r="254" spans="1:36" x14ac:dyDescent="0.25"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  <c r="AE254" s="179"/>
      <c r="AF254" s="179"/>
      <c r="AG254" s="179"/>
      <c r="AH254" s="179"/>
      <c r="AJ254"/>
    </row>
    <row r="255" spans="1:36" x14ac:dyDescent="0.25">
      <c r="A255" s="129" t="s">
        <v>89</v>
      </c>
      <c r="B255" s="130">
        <f t="shared" ref="B255:AE255" si="38">C219</f>
        <v>0.64</v>
      </c>
      <c r="C255" s="130">
        <f t="shared" si="38"/>
        <v>0.64</v>
      </c>
      <c r="D255" s="130">
        <f t="shared" si="38"/>
        <v>0.64</v>
      </c>
      <c r="E255" s="130">
        <f t="shared" si="38"/>
        <v>0.64</v>
      </c>
      <c r="F255" s="130">
        <f t="shared" si="38"/>
        <v>0.64</v>
      </c>
      <c r="G255" s="130">
        <f t="shared" si="38"/>
        <v>0.64</v>
      </c>
      <c r="H255" s="130">
        <f t="shared" si="38"/>
        <v>0.64</v>
      </c>
      <c r="I255" s="130">
        <f t="shared" si="38"/>
        <v>0.64</v>
      </c>
      <c r="J255" s="130">
        <f t="shared" si="38"/>
        <v>0.64</v>
      </c>
      <c r="K255" s="130">
        <f t="shared" si="38"/>
        <v>0.64</v>
      </c>
      <c r="L255" s="130">
        <f t="shared" si="38"/>
        <v>0.64</v>
      </c>
      <c r="M255" s="130">
        <f t="shared" si="38"/>
        <v>0.64</v>
      </c>
      <c r="N255" s="130">
        <f t="shared" si="38"/>
        <v>0.64</v>
      </c>
      <c r="O255" s="130">
        <f t="shared" si="38"/>
        <v>0.64</v>
      </c>
      <c r="P255" s="130">
        <f t="shared" si="38"/>
        <v>0</v>
      </c>
      <c r="Q255" s="130">
        <f t="shared" si="38"/>
        <v>0</v>
      </c>
      <c r="R255" s="130">
        <f t="shared" si="38"/>
        <v>0</v>
      </c>
      <c r="S255" s="130">
        <f t="shared" si="38"/>
        <v>0</v>
      </c>
      <c r="T255" s="130">
        <f t="shared" si="38"/>
        <v>0</v>
      </c>
      <c r="U255" s="130">
        <f t="shared" si="38"/>
        <v>0</v>
      </c>
      <c r="V255" s="130">
        <f t="shared" si="38"/>
        <v>0</v>
      </c>
      <c r="W255" s="130">
        <f t="shared" si="38"/>
        <v>0</v>
      </c>
      <c r="X255" s="130">
        <f t="shared" si="38"/>
        <v>0</v>
      </c>
      <c r="Y255" s="130">
        <f t="shared" si="38"/>
        <v>0</v>
      </c>
      <c r="Z255" s="130">
        <f t="shared" si="38"/>
        <v>0</v>
      </c>
      <c r="AA255" s="130">
        <f t="shared" si="38"/>
        <v>0</v>
      </c>
      <c r="AB255" s="130">
        <f t="shared" si="38"/>
        <v>0</v>
      </c>
      <c r="AC255" s="130">
        <f t="shared" si="38"/>
        <v>0</v>
      </c>
      <c r="AD255" s="130">
        <f t="shared" si="38"/>
        <v>0</v>
      </c>
      <c r="AE255" s="130">
        <f t="shared" si="38"/>
        <v>0</v>
      </c>
      <c r="AF255" s="130">
        <f>B219</f>
        <v>0</v>
      </c>
      <c r="AG255" s="179"/>
      <c r="AH255" s="179"/>
      <c r="AJ255"/>
    </row>
    <row r="256" spans="1:36" x14ac:dyDescent="0.25">
      <c r="A256" s="88" t="str">
        <f>A223</f>
        <v>KGA</v>
      </c>
      <c r="B256" s="88" t="str">
        <f>IF(B223&lt;100,"",B223-520)</f>
        <v/>
      </c>
      <c r="C256" s="88" t="str">
        <f t="shared" ref="C256:AF256" si="39">IF(C223&lt;100,"",C223-520)</f>
        <v/>
      </c>
      <c r="D256" s="88" t="str">
        <f t="shared" si="39"/>
        <v/>
      </c>
      <c r="E256" s="88" t="str">
        <f t="shared" si="39"/>
        <v/>
      </c>
      <c r="F256" s="88" t="str">
        <f t="shared" si="39"/>
        <v/>
      </c>
      <c r="G256" s="88" t="str">
        <f t="shared" si="39"/>
        <v/>
      </c>
      <c r="H256" s="88" t="str">
        <f t="shared" si="39"/>
        <v/>
      </c>
      <c r="I256" s="88" t="str">
        <f t="shared" si="39"/>
        <v/>
      </c>
      <c r="J256" s="88" t="str">
        <f t="shared" si="39"/>
        <v/>
      </c>
      <c r="K256" s="88" t="str">
        <f t="shared" si="39"/>
        <v/>
      </c>
      <c r="L256" s="88" t="str">
        <f t="shared" si="39"/>
        <v/>
      </c>
      <c r="M256" s="88" t="str">
        <f t="shared" si="39"/>
        <v/>
      </c>
      <c r="N256" s="88" t="str">
        <f t="shared" si="39"/>
        <v/>
      </c>
      <c r="O256" s="88" t="str">
        <f t="shared" si="39"/>
        <v/>
      </c>
      <c r="P256" s="88" t="str">
        <f t="shared" si="39"/>
        <v/>
      </c>
      <c r="Q256" s="88" t="str">
        <f t="shared" si="39"/>
        <v/>
      </c>
      <c r="R256" s="88" t="str">
        <f t="shared" si="39"/>
        <v/>
      </c>
      <c r="S256" s="88" t="str">
        <f t="shared" si="39"/>
        <v/>
      </c>
      <c r="T256" s="88" t="str">
        <f t="shared" si="39"/>
        <v/>
      </c>
      <c r="U256" s="88" t="str">
        <f t="shared" si="39"/>
        <v/>
      </c>
      <c r="V256" s="88" t="str">
        <f t="shared" si="39"/>
        <v/>
      </c>
      <c r="W256" s="88" t="str">
        <f t="shared" si="39"/>
        <v/>
      </c>
      <c r="X256" s="88" t="str">
        <f t="shared" si="39"/>
        <v/>
      </c>
      <c r="Y256" s="88" t="str">
        <f t="shared" si="39"/>
        <v/>
      </c>
      <c r="Z256" s="88" t="str">
        <f t="shared" si="39"/>
        <v/>
      </c>
      <c r="AA256" s="88" t="str">
        <f t="shared" si="39"/>
        <v/>
      </c>
      <c r="AB256" s="88" t="str">
        <f t="shared" si="39"/>
        <v/>
      </c>
      <c r="AC256" s="88" t="str">
        <f t="shared" si="39"/>
        <v/>
      </c>
      <c r="AD256" s="88" t="str">
        <f t="shared" si="39"/>
        <v/>
      </c>
      <c r="AE256" s="88" t="str">
        <f t="shared" si="39"/>
        <v/>
      </c>
      <c r="AF256" s="88" t="str">
        <f t="shared" si="39"/>
        <v/>
      </c>
      <c r="AG256" s="179"/>
      <c r="AH256" s="179"/>
      <c r="AJ256"/>
    </row>
    <row r="257" spans="1:36" x14ac:dyDescent="0.25">
      <c r="A257" s="88" t="str">
        <f>A224</f>
        <v>MMRS</v>
      </c>
      <c r="B257" s="88" t="str">
        <f t="shared" ref="B257:AF257" si="40">IF(B224&lt;100,"",B224-620)</f>
        <v/>
      </c>
      <c r="C257" s="88" t="str">
        <f t="shared" si="40"/>
        <v/>
      </c>
      <c r="D257" s="88" t="str">
        <f t="shared" si="40"/>
        <v/>
      </c>
      <c r="E257" s="88" t="str">
        <f t="shared" si="40"/>
        <v/>
      </c>
      <c r="F257" s="88" t="str">
        <f t="shared" si="40"/>
        <v/>
      </c>
      <c r="G257" s="88" t="str">
        <f t="shared" si="40"/>
        <v/>
      </c>
      <c r="H257" s="88" t="str">
        <f t="shared" si="40"/>
        <v/>
      </c>
      <c r="I257" s="88" t="str">
        <f t="shared" si="40"/>
        <v/>
      </c>
      <c r="J257" s="88" t="str">
        <f t="shared" si="40"/>
        <v/>
      </c>
      <c r="K257" s="88" t="str">
        <f t="shared" si="40"/>
        <v/>
      </c>
      <c r="L257" s="88" t="str">
        <f t="shared" si="40"/>
        <v/>
      </c>
      <c r="M257" s="88" t="str">
        <f t="shared" si="40"/>
        <v/>
      </c>
      <c r="N257" s="88" t="str">
        <f t="shared" si="40"/>
        <v/>
      </c>
      <c r="O257" s="88" t="str">
        <f t="shared" si="40"/>
        <v/>
      </c>
      <c r="P257" s="88" t="str">
        <f t="shared" si="40"/>
        <v/>
      </c>
      <c r="Q257" s="88" t="str">
        <f t="shared" si="40"/>
        <v/>
      </c>
      <c r="R257" s="88" t="str">
        <f t="shared" si="40"/>
        <v/>
      </c>
      <c r="S257" s="88" t="str">
        <f t="shared" si="40"/>
        <v/>
      </c>
      <c r="T257" s="88" t="str">
        <f t="shared" si="40"/>
        <v/>
      </c>
      <c r="U257" s="88" t="str">
        <f t="shared" si="40"/>
        <v/>
      </c>
      <c r="V257" s="88" t="str">
        <f t="shared" si="40"/>
        <v/>
      </c>
      <c r="W257" s="88" t="str">
        <f t="shared" si="40"/>
        <v/>
      </c>
      <c r="X257" s="88" t="str">
        <f t="shared" si="40"/>
        <v/>
      </c>
      <c r="Y257" s="88" t="str">
        <f t="shared" si="40"/>
        <v/>
      </c>
      <c r="Z257" s="88" t="str">
        <f t="shared" si="40"/>
        <v/>
      </c>
      <c r="AA257" s="88" t="str">
        <f t="shared" si="40"/>
        <v/>
      </c>
      <c r="AB257" s="88" t="str">
        <f t="shared" si="40"/>
        <v/>
      </c>
      <c r="AC257" s="88" t="str">
        <f t="shared" si="40"/>
        <v/>
      </c>
      <c r="AD257" s="88" t="str">
        <f t="shared" si="40"/>
        <v/>
      </c>
      <c r="AE257" s="88" t="str">
        <f t="shared" si="40"/>
        <v/>
      </c>
      <c r="AF257" s="88" t="str">
        <f t="shared" si="40"/>
        <v/>
      </c>
      <c r="AG257" s="179"/>
      <c r="AH257" s="179"/>
      <c r="AJ257"/>
    </row>
    <row r="258" spans="1:36" x14ac:dyDescent="0.25">
      <c r="A258" s="88" t="str">
        <f>A225</f>
        <v>MRS</v>
      </c>
      <c r="B258" s="88" t="str">
        <f t="shared" ref="B258:AF258" si="41">IF(B225&lt;100,"",B225-330)</f>
        <v/>
      </c>
      <c r="C258" s="88" t="str">
        <f t="shared" si="41"/>
        <v/>
      </c>
      <c r="D258" s="88" t="str">
        <f t="shared" si="41"/>
        <v/>
      </c>
      <c r="E258" s="88" t="str">
        <f t="shared" si="41"/>
        <v/>
      </c>
      <c r="F258" s="88" t="str">
        <f t="shared" si="41"/>
        <v/>
      </c>
      <c r="G258" s="88" t="str">
        <f t="shared" si="41"/>
        <v/>
      </c>
      <c r="H258" s="88" t="str">
        <f t="shared" si="41"/>
        <v/>
      </c>
      <c r="I258" s="88" t="str">
        <f t="shared" si="41"/>
        <v/>
      </c>
      <c r="J258" s="88" t="str">
        <f t="shared" si="41"/>
        <v/>
      </c>
      <c r="K258" s="88" t="str">
        <f t="shared" si="41"/>
        <v/>
      </c>
      <c r="L258" s="88" t="str">
        <f t="shared" si="41"/>
        <v/>
      </c>
      <c r="M258" s="88" t="str">
        <f t="shared" si="41"/>
        <v/>
      </c>
      <c r="N258" s="88" t="str">
        <f t="shared" si="41"/>
        <v/>
      </c>
      <c r="O258" s="88" t="str">
        <f t="shared" si="41"/>
        <v/>
      </c>
      <c r="P258" s="88" t="str">
        <f t="shared" si="41"/>
        <v/>
      </c>
      <c r="Q258" s="88" t="str">
        <f t="shared" si="41"/>
        <v/>
      </c>
      <c r="R258" s="88" t="str">
        <f t="shared" si="41"/>
        <v/>
      </c>
      <c r="S258" s="88" t="str">
        <f t="shared" si="41"/>
        <v/>
      </c>
      <c r="T258" s="88" t="str">
        <f t="shared" si="41"/>
        <v/>
      </c>
      <c r="U258" s="88" t="str">
        <f t="shared" si="41"/>
        <v/>
      </c>
      <c r="V258" s="88" t="str">
        <f t="shared" si="41"/>
        <v/>
      </c>
      <c r="W258" s="88" t="str">
        <f t="shared" si="41"/>
        <v/>
      </c>
      <c r="X258" s="88" t="str">
        <f t="shared" si="41"/>
        <v/>
      </c>
      <c r="Y258" s="88" t="str">
        <f t="shared" si="41"/>
        <v/>
      </c>
      <c r="Z258" s="88" t="str">
        <f t="shared" si="41"/>
        <v/>
      </c>
      <c r="AA258" s="88" t="str">
        <f t="shared" si="41"/>
        <v/>
      </c>
      <c r="AB258" s="88" t="str">
        <f t="shared" si="41"/>
        <v/>
      </c>
      <c r="AC258" s="88" t="str">
        <f t="shared" si="41"/>
        <v/>
      </c>
      <c r="AD258" s="88" t="str">
        <f t="shared" si="41"/>
        <v/>
      </c>
      <c r="AE258" s="88" t="str">
        <f t="shared" si="41"/>
        <v/>
      </c>
      <c r="AF258" s="88" t="str">
        <f t="shared" si="41"/>
        <v/>
      </c>
      <c r="AG258" s="179"/>
      <c r="AH258" s="179"/>
      <c r="AJ258"/>
    </row>
    <row r="259" spans="1:36" x14ac:dyDescent="0.25">
      <c r="A259" s="88" t="str">
        <f>A226</f>
        <v>KL 1</v>
      </c>
      <c r="B259" s="88" t="str">
        <f>IF(B226&lt;100,"",B226-1500)</f>
        <v/>
      </c>
      <c r="C259" s="88" t="str">
        <f t="shared" ref="C259:AF259" si="42">IF(C226&lt;100,"",C226-1500)</f>
        <v/>
      </c>
      <c r="D259" s="88" t="str">
        <f t="shared" si="42"/>
        <v/>
      </c>
      <c r="E259" s="88" t="str">
        <f t="shared" si="42"/>
        <v/>
      </c>
      <c r="F259" s="88" t="str">
        <f t="shared" si="42"/>
        <v/>
      </c>
      <c r="G259" s="88" t="str">
        <f t="shared" si="42"/>
        <v/>
      </c>
      <c r="H259" s="88" t="str">
        <f t="shared" si="42"/>
        <v/>
      </c>
      <c r="I259" s="88" t="str">
        <f t="shared" si="42"/>
        <v/>
      </c>
      <c r="J259" s="88" t="str">
        <f t="shared" si="42"/>
        <v/>
      </c>
      <c r="K259" s="88" t="str">
        <f t="shared" si="42"/>
        <v/>
      </c>
      <c r="L259" s="88" t="str">
        <f t="shared" si="42"/>
        <v/>
      </c>
      <c r="M259" s="88" t="str">
        <f t="shared" si="42"/>
        <v/>
      </c>
      <c r="N259" s="88" t="str">
        <f t="shared" si="42"/>
        <v/>
      </c>
      <c r="O259" s="88" t="str">
        <f t="shared" si="42"/>
        <v/>
      </c>
      <c r="P259" s="88" t="str">
        <f t="shared" si="42"/>
        <v/>
      </c>
      <c r="Q259" s="88" t="str">
        <f t="shared" si="42"/>
        <v/>
      </c>
      <c r="R259" s="88" t="str">
        <f t="shared" si="42"/>
        <v/>
      </c>
      <c r="S259" s="88" t="str">
        <f t="shared" si="42"/>
        <v/>
      </c>
      <c r="T259" s="88" t="str">
        <f t="shared" si="42"/>
        <v/>
      </c>
      <c r="U259" s="88" t="str">
        <f t="shared" si="42"/>
        <v/>
      </c>
      <c r="V259" s="88" t="str">
        <f t="shared" si="42"/>
        <v/>
      </c>
      <c r="W259" s="88" t="str">
        <f t="shared" si="42"/>
        <v/>
      </c>
      <c r="X259" s="88" t="str">
        <f t="shared" si="42"/>
        <v/>
      </c>
      <c r="Y259" s="88" t="str">
        <f t="shared" si="42"/>
        <v/>
      </c>
      <c r="Z259" s="88" t="str">
        <f t="shared" si="42"/>
        <v/>
      </c>
      <c r="AA259" s="88" t="str">
        <f t="shared" si="42"/>
        <v/>
      </c>
      <c r="AB259" s="88" t="str">
        <f t="shared" si="42"/>
        <v/>
      </c>
      <c r="AC259" s="88" t="str">
        <f t="shared" si="42"/>
        <v/>
      </c>
      <c r="AD259" s="88" t="str">
        <f t="shared" si="42"/>
        <v/>
      </c>
      <c r="AE259" s="88" t="str">
        <f t="shared" si="42"/>
        <v/>
      </c>
      <c r="AF259" s="88" t="str">
        <f t="shared" si="42"/>
        <v/>
      </c>
      <c r="AG259" s="179"/>
      <c r="AH259" s="179"/>
      <c r="AJ259"/>
    </row>
    <row r="260" spans="1:36" x14ac:dyDescent="0.25"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  <c r="AC260" s="179"/>
      <c r="AD260" s="179"/>
      <c r="AE260" s="179"/>
      <c r="AF260" s="179"/>
      <c r="AG260" s="179"/>
      <c r="AH260" s="179"/>
      <c r="AJ260"/>
    </row>
    <row r="261" spans="1:36" x14ac:dyDescent="0.25"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  <c r="AJ261"/>
    </row>
    <row r="262" spans="1:36" x14ac:dyDescent="0.25"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  <c r="AE262" s="179"/>
      <c r="AF262" s="179"/>
      <c r="AG262" s="179"/>
      <c r="AH262" s="179"/>
      <c r="AJ262"/>
    </row>
    <row r="263" spans="1:36" x14ac:dyDescent="0.25"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  <c r="AC263" s="179"/>
      <c r="AD263" s="179"/>
      <c r="AE263" s="179"/>
      <c r="AF263" s="179"/>
      <c r="AG263" s="179"/>
      <c r="AH263" s="179"/>
      <c r="AJ263"/>
    </row>
    <row r="264" spans="1:36" x14ac:dyDescent="0.25"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  <c r="AC264" s="179"/>
      <c r="AD264" s="179"/>
      <c r="AE264" s="179"/>
      <c r="AF264" s="179"/>
      <c r="AG264" s="179"/>
      <c r="AH264" s="179"/>
      <c r="AJ264"/>
    </row>
    <row r="265" spans="1:36" x14ac:dyDescent="0.25"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  <c r="AC265" s="179"/>
      <c r="AD265" s="179"/>
      <c r="AE265" s="179"/>
      <c r="AF265" s="179"/>
      <c r="AG265" s="179"/>
      <c r="AH265" s="179"/>
      <c r="AJ265"/>
    </row>
    <row r="266" spans="1:36" x14ac:dyDescent="0.25"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  <c r="AC266" s="179"/>
      <c r="AD266" s="179"/>
      <c r="AE266" s="179"/>
      <c r="AF266" s="179"/>
      <c r="AJ266"/>
    </row>
    <row r="490" spans="36:38" x14ac:dyDescent="0.25">
      <c r="AK490" s="1"/>
    </row>
    <row r="491" spans="36:38" x14ac:dyDescent="0.25">
      <c r="AK491" s="1"/>
      <c r="AL491" s="1"/>
    </row>
    <row r="492" spans="36:38" x14ac:dyDescent="0.25">
      <c r="AJ49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1:B23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28">
      <iconSet iconSet="3TrafficLights2" reverse="1">
        <cfvo type="percent" val="0"/>
        <cfvo type="num" val="1"/>
        <cfvo type="num" val="1"/>
      </iconSet>
    </cfRule>
  </conditionalFormatting>
  <conditionalFormatting sqref="D214:AF220 B214:B220 B212:AF212 U233:AF233 B9:AF10 AA11:AF11 C99:AF105">
    <cfRule type="expression" dxfId="1424" priority="224">
      <formula>B$9&gt;=20/24</formula>
    </cfRule>
    <cfRule type="expression" dxfId="1423" priority="225">
      <formula>AND(B$9&gt;=14/24,B$9&lt;20/24)</formula>
    </cfRule>
    <cfRule type="expression" dxfId="1422" priority="226">
      <formula>AND(B$9&gt;=8/24,B$9&lt;14/24)</formula>
    </cfRule>
    <cfRule type="expression" dxfId="1421" priority="227">
      <formula>B$9&lt;8/24</formula>
    </cfRule>
  </conditionalFormatting>
  <conditionalFormatting sqref="AL4:AL6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1420" priority="219">
      <formula>S$9&gt;=20/24</formula>
    </cfRule>
    <cfRule type="expression" dxfId="1419" priority="220">
      <formula>AND(S$9&gt;=14/24,S$9&lt;20/24)</formula>
    </cfRule>
    <cfRule type="expression" dxfId="1418" priority="221">
      <formula>AND(S$9&gt;=8/24,S$9&lt;14/24)</formula>
    </cfRule>
    <cfRule type="expression" dxfId="1417" priority="222">
      <formula>S$9&lt;8/24</formula>
    </cfRule>
  </conditionalFormatting>
  <conditionalFormatting sqref="AG55 S37:AF37 D11:D15 B12:C16 D16:Z16 AA11:AF16 B35:AF35">
    <cfRule type="expression" dxfId="1416" priority="218">
      <formula>B11&gt;$AG11</formula>
    </cfRule>
  </conditionalFormatting>
  <conditionalFormatting sqref="A89:A102 A11:A14 A49:A76 A85:A87 A190:A220 A16:A30 A36:A47 A106:A177 A32:A33 A81:A83 A78:A79">
    <cfRule type="expression" dxfId="1415" priority="217">
      <formula>$AH11=0</formula>
    </cfRule>
  </conditionalFormatting>
  <conditionalFormatting sqref="A103">
    <cfRule type="expression" dxfId="1414" priority="216">
      <formula>$AH103=0</formula>
    </cfRule>
  </conditionalFormatting>
  <conditionalFormatting sqref="AL3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1413" priority="214">
      <formula>$AH35=0</formula>
    </cfRule>
  </conditionalFormatting>
  <conditionalFormatting sqref="A88">
    <cfRule type="expression" dxfId="1412" priority="213">
      <formula>$AH88=0</formula>
    </cfRule>
  </conditionalFormatting>
  <conditionalFormatting sqref="A15">
    <cfRule type="expression" dxfId="1411" priority="212">
      <formula>$AH15=0</formula>
    </cfRule>
  </conditionalFormatting>
  <conditionalFormatting sqref="A184:A189">
    <cfRule type="expression" dxfId="1410" priority="211">
      <formula>$AH184=0</formula>
    </cfRule>
  </conditionalFormatting>
  <conditionalFormatting sqref="A178:A183">
    <cfRule type="expression" dxfId="1409" priority="210">
      <formula>$AH178=0</formula>
    </cfRule>
  </conditionalFormatting>
  <conditionalFormatting sqref="A48">
    <cfRule type="expression" dxfId="1408" priority="209">
      <formula>$AH48=0</formula>
    </cfRule>
  </conditionalFormatting>
  <conditionalFormatting sqref="A84">
    <cfRule type="expression" dxfId="1407" priority="208">
      <formula>$AH84=0</formula>
    </cfRule>
  </conditionalFormatting>
  <conditionalFormatting sqref="C89:AF89">
    <cfRule type="expression" dxfId="1406" priority="204">
      <formula>C$9&gt;=20/24</formula>
    </cfRule>
    <cfRule type="expression" dxfId="1405" priority="205">
      <formula>AND(C$9&gt;=14/24,C$9&lt;20/24)</formula>
    </cfRule>
    <cfRule type="expression" dxfId="1404" priority="206">
      <formula>AND(C$9&gt;=8/24,C$9&lt;14/24)</formula>
    </cfRule>
    <cfRule type="expression" dxfId="1403" priority="207">
      <formula>C$9&lt;8/24</formula>
    </cfRule>
  </conditionalFormatting>
  <conditionalFormatting sqref="AL34">
    <cfRule type="iconSet" priority="20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402" priority="230">
      <formula>C$9&gt;=20/24</formula>
    </cfRule>
    <cfRule type="expression" dxfId="1401" priority="231">
      <formula>AND(C$9&gt;=14/24,C$9&lt;20/24)</formula>
    </cfRule>
    <cfRule type="expression" dxfId="1400" priority="232">
      <formula>AND(C$9&gt;=8/24,C$9&lt;14/24)</formula>
    </cfRule>
    <cfRule type="expression" dxfId="1399" priority="233">
      <formula>C$9&lt;8/24</formula>
    </cfRule>
  </conditionalFormatting>
  <conditionalFormatting sqref="A221">
    <cfRule type="expression" dxfId="1398" priority="234">
      <formula>$AH221=0</formula>
    </cfRule>
  </conditionalFormatting>
  <conditionalFormatting sqref="AG233">
    <cfRule type="expression" dxfId="1397" priority="235">
      <formula>B$9&gt;=20/24</formula>
    </cfRule>
    <cfRule type="expression" dxfId="1396" priority="236">
      <formula>AND(B$9&gt;=14/24,B$9&lt;20/24)</formula>
    </cfRule>
    <cfRule type="expression" dxfId="1395" priority="237">
      <formula>AND(B$9&gt;=8/24,B$9&lt;14/24)</formula>
    </cfRule>
    <cfRule type="expression" dxfId="1394" priority="238">
      <formula>B$9&lt;8/24</formula>
    </cfRule>
  </conditionalFormatting>
  <conditionalFormatting sqref="S8">
    <cfRule type="expression" dxfId="1393" priority="199">
      <formula>U$9&gt;=20/24</formula>
    </cfRule>
    <cfRule type="expression" dxfId="1392" priority="200">
      <formula>AND(U$9&gt;=14/24,U$9&lt;20/24)</formula>
    </cfRule>
    <cfRule type="expression" dxfId="1391" priority="201">
      <formula>AND(U$9&gt;=8/24,U$9&lt;14/24)</formula>
    </cfRule>
    <cfRule type="expression" dxfId="1390" priority="202">
      <formula>U$9&lt;8/24</formula>
    </cfRule>
  </conditionalFormatting>
  <conditionalFormatting sqref="AB8">
    <cfRule type="expression" dxfId="1389" priority="195">
      <formula>AD$9&gt;=20/24</formula>
    </cfRule>
    <cfRule type="expression" dxfId="1388" priority="196">
      <formula>AND(AD$9&gt;=14/24,AD$9&lt;20/24)</formula>
    </cfRule>
    <cfRule type="expression" dxfId="1387" priority="197">
      <formula>AND(AD$9&gt;=8/24,AD$9&lt;14/24)</formula>
    </cfRule>
    <cfRule type="expression" dxfId="1386" priority="198">
      <formula>AD$9&lt;8/24</formula>
    </cfRule>
  </conditionalFormatting>
  <conditionalFormatting sqref="AH233:AX233">
    <cfRule type="expression" dxfId="1385" priority="239">
      <formula>AG$9&gt;=20/24</formula>
    </cfRule>
    <cfRule type="expression" dxfId="1384" priority="240">
      <formula>AND(AG$9&gt;=14/24,AG$9&lt;20/24)</formula>
    </cfRule>
    <cfRule type="expression" dxfId="1383" priority="241">
      <formula>AND(AG$9&gt;=8/24,AG$9&lt;14/24)</formula>
    </cfRule>
    <cfRule type="expression" dxfId="1382" priority="242">
      <formula>AG$9&lt;8/24</formula>
    </cfRule>
  </conditionalFormatting>
  <conditionalFormatting sqref="T233">
    <cfRule type="expression" dxfId="1381" priority="243">
      <formula>AX$9&gt;=20/24</formula>
    </cfRule>
    <cfRule type="expression" dxfId="1380" priority="244">
      <formula>AND(AX$9&gt;=14/24,AX$9&lt;20/24)</formula>
    </cfRule>
    <cfRule type="expression" dxfId="1379" priority="245">
      <formula>AND(AX$9&gt;=8/24,AX$9&lt;14/24)</formula>
    </cfRule>
    <cfRule type="expression" dxfId="1378" priority="246">
      <formula>AX$9&lt;8/24</formula>
    </cfRule>
  </conditionalFormatting>
  <conditionalFormatting sqref="A104:A105">
    <cfRule type="expression" dxfId="1377" priority="194">
      <formula>$AH104=0</formula>
    </cfRule>
  </conditionalFormatting>
  <conditionalFormatting sqref="E44:L45 E11:Z11 C61:AF61 AA36:AF36 AA44:AF45">
    <cfRule type="expression" dxfId="1376" priority="190">
      <formula>C$9&gt;=20/24</formula>
    </cfRule>
    <cfRule type="expression" dxfId="1375" priority="191">
      <formula>AND(C$9&gt;=14/24,C$9&lt;20/24)</formula>
    </cfRule>
    <cfRule type="expression" dxfId="1374" priority="192">
      <formula>AND(C$9&gt;=8/24,C$9&lt;14/24)</formula>
    </cfRule>
    <cfRule type="expression" dxfId="1373" priority="193">
      <formula>C$9&lt;8/24</formula>
    </cfRule>
  </conditionalFormatting>
  <conditionalFormatting sqref="E43:L43 AA43:AF43">
    <cfRule type="expression" dxfId="1372" priority="186">
      <formula>E$9&gt;=20/24</formula>
    </cfRule>
    <cfRule type="expression" dxfId="1371" priority="187">
      <formula>AND(E$9&gt;=14/24,E$9&lt;20/24)</formula>
    </cfRule>
    <cfRule type="expression" dxfId="1370" priority="188">
      <formula>AND(E$9&gt;=8/24,E$9&lt;14/24)</formula>
    </cfRule>
    <cfRule type="expression" dxfId="1369" priority="189">
      <formula>E$9&lt;8/24</formula>
    </cfRule>
  </conditionalFormatting>
  <conditionalFormatting sqref="E43:L45 E11:Z11 AA36:AF36 AA43:AF45">
    <cfRule type="expression" dxfId="1368" priority="185">
      <formula>E11&gt;$AG11</formula>
    </cfRule>
  </conditionalFormatting>
  <conditionalFormatting sqref="C86:AF86 C62:U63 C76:AF76 M68:M70 F71:M71 F66:M67 N66:O71 F65:O65 P65:S71 E64:S64 N37:P37 F36:P36 Q36:R37 C90:AF96 T64:U71 F73:AF75 S36:Z36 V62:AF71 AA16:AF16 AA28:AF30 AA18:AF22 AA24:AF26 AA32:AF32 E12:AF14 F57:AF59">
    <cfRule type="expression" dxfId="1367" priority="181">
      <formula>C$9&gt;=20/24</formula>
    </cfRule>
    <cfRule type="expression" dxfId="1366" priority="182">
      <formula>AND(C$9&gt;=14/24,C$9&lt;20/24)</formula>
    </cfRule>
    <cfRule type="expression" dxfId="1365" priority="183">
      <formula>AND(C$9&gt;=8/24,C$9&lt;14/24)</formula>
    </cfRule>
    <cfRule type="expression" dxfId="1364" priority="184">
      <formula>C$9&lt;8/24</formula>
    </cfRule>
  </conditionalFormatting>
  <conditionalFormatting sqref="AA33:AF33">
    <cfRule type="expression" dxfId="1363" priority="177">
      <formula>AA$9&gt;=20/24</formula>
    </cfRule>
    <cfRule type="expression" dxfId="1362" priority="178">
      <formula>AND(AA$9&gt;=14/24,AA$9&lt;20/24)</formula>
    </cfRule>
    <cfRule type="expression" dxfId="1361" priority="179">
      <formula>AND(AA$9&gt;=8/24,AA$9&lt;14/24)</formula>
    </cfRule>
    <cfRule type="expression" dxfId="1360" priority="180">
      <formula>AA$9&lt;8/24</formula>
    </cfRule>
  </conditionalFormatting>
  <conditionalFormatting sqref="E46:F47 F48 C55:AF55 C37:L37 F36:L36 G46:L48 M36:R37 E12:Z15 S36:Z36 AA18:AF22 AA24:AF30 AA32:AF33 AB46:AF47 F57:AF59">
    <cfRule type="expression" dxfId="1359" priority="176">
      <formula>C12&gt;$AG12</formula>
    </cfRule>
  </conditionalFormatting>
  <conditionalFormatting sqref="AA35:AF35">
    <cfRule type="expression" dxfId="1358" priority="172">
      <formula>AA$9&gt;=20/24</formula>
    </cfRule>
    <cfRule type="expression" dxfId="1357" priority="173">
      <formula>AND(AA$9&gt;=14/24,AA$9&lt;20/24)</formula>
    </cfRule>
    <cfRule type="expression" dxfId="1356" priority="174">
      <formula>AND(AA$9&gt;=8/24,AA$9&lt;14/24)</formula>
    </cfRule>
    <cfRule type="expression" dxfId="1355" priority="175">
      <formula>AA$9&lt;8/24</formula>
    </cfRule>
  </conditionalFormatting>
  <conditionalFormatting sqref="E15:AF15">
    <cfRule type="expression" dxfId="1354" priority="168">
      <formula>E$9&gt;=20/24</formula>
    </cfRule>
    <cfRule type="expression" dxfId="1353" priority="169">
      <formula>AND(E$9&gt;=14/24,E$9&lt;20/24)</formula>
    </cfRule>
    <cfRule type="expression" dxfId="1352" priority="170">
      <formula>AND(E$9&gt;=8/24,E$9&lt;14/24)</formula>
    </cfRule>
    <cfRule type="expression" dxfId="1351" priority="171">
      <formula>E$9&lt;8/24</formula>
    </cfRule>
  </conditionalFormatting>
  <conditionalFormatting sqref="AA34:AF34">
    <cfRule type="expression" dxfId="1350" priority="164">
      <formula>AA$9&gt;=20/24</formula>
    </cfRule>
    <cfRule type="expression" dxfId="1349" priority="165">
      <formula>AND(AA$9&gt;=14/24,AA$9&lt;20/24)</formula>
    </cfRule>
    <cfRule type="expression" dxfId="1348" priority="166">
      <formula>AND(AA$9&gt;=8/24,AA$9&lt;14/24)</formula>
    </cfRule>
    <cfRule type="expression" dxfId="1347" priority="167">
      <formula>AA$9&lt;8/24</formula>
    </cfRule>
  </conditionalFormatting>
  <conditionalFormatting sqref="AA34:AF34">
    <cfRule type="expression" dxfId="1346" priority="163">
      <formula>AA34&gt;$AG34</formula>
    </cfRule>
  </conditionalFormatting>
  <conditionalFormatting sqref="AA46:AA47 AB48:AF54">
    <cfRule type="expression" dxfId="1345" priority="155">
      <formula>AA$9&gt;=20/24</formula>
    </cfRule>
    <cfRule type="expression" dxfId="1344" priority="156">
      <formula>AND(AA$9&gt;=14/24,AA$9&lt;20/24)</formula>
    </cfRule>
    <cfRule type="expression" dxfId="1343" priority="157">
      <formula>AND(AA$9&gt;=8/24,AA$9&lt;14/24)</formula>
    </cfRule>
    <cfRule type="expression" dxfId="1342" priority="158">
      <formula>AA$9&lt;8/24</formula>
    </cfRule>
  </conditionalFormatting>
  <conditionalFormatting sqref="AA46:AA47 AB48:AF54">
    <cfRule type="expression" dxfId="1341" priority="154">
      <formula>AA46&gt;$AG46</formula>
    </cfRule>
  </conditionalFormatting>
  <conditionalFormatting sqref="AA48:AA54 M43:Z54">
    <cfRule type="expression" dxfId="1340" priority="150">
      <formula>M$9&gt;=20/24</formula>
    </cfRule>
    <cfRule type="expression" dxfId="1339" priority="151">
      <formula>AND(M$9&gt;=14/24,M$9&lt;20/24)</formula>
    </cfRule>
    <cfRule type="expression" dxfId="1338" priority="152">
      <formula>AND(M$9&gt;=8/24,M$9&lt;14/24)</formula>
    </cfRule>
    <cfRule type="expression" dxfId="1337" priority="153">
      <formula>M$9&lt;8/24</formula>
    </cfRule>
  </conditionalFormatting>
  <conditionalFormatting sqref="AA48:AA54 M43:Z54">
    <cfRule type="expression" dxfId="1336" priority="149">
      <formula>M43&gt;$AG43</formula>
    </cfRule>
  </conditionalFormatting>
  <conditionalFormatting sqref="AA27:AF27">
    <cfRule type="expression" dxfId="1335" priority="145">
      <formula>AA$9&gt;=20/24</formula>
    </cfRule>
    <cfRule type="expression" dxfId="1334" priority="146">
      <formula>AND(AA$9&gt;=14/24,AA$9&lt;20/24)</formula>
    </cfRule>
    <cfRule type="expression" dxfId="1333" priority="147">
      <formula>AND(AA$9&gt;=8/24,AA$9&lt;14/24)</formula>
    </cfRule>
    <cfRule type="expression" dxfId="1332" priority="148">
      <formula>AA$9&lt;8/24</formula>
    </cfRule>
  </conditionalFormatting>
  <conditionalFormatting sqref="D11:D14 E16:F17 F18:F30 G16:Z30 F32:Z32 AA17:AF17 AA23:AF23">
    <cfRule type="expression" dxfId="1331" priority="141">
      <formula>D$9&gt;=20/24</formula>
    </cfRule>
    <cfRule type="expression" dxfId="1330" priority="142">
      <formula>AND(D$9&gt;=14/24,D$9&lt;20/24)</formula>
    </cfRule>
    <cfRule type="expression" dxfId="1329" priority="143">
      <formula>AND(D$9&gt;=8/24,D$9&lt;14/24)</formula>
    </cfRule>
    <cfRule type="expression" dxfId="1328" priority="144">
      <formula>D$9&lt;8/24</formula>
    </cfRule>
  </conditionalFormatting>
  <conditionalFormatting sqref="F33:Z33">
    <cfRule type="expression" dxfId="1327" priority="137">
      <formula>F$9&gt;=20/24</formula>
    </cfRule>
    <cfRule type="expression" dxfId="1326" priority="138">
      <formula>AND(F$9&gt;=14/24,F$9&lt;20/24)</formula>
    </cfRule>
    <cfRule type="expression" dxfId="1325" priority="139">
      <formula>AND(F$9&gt;=8/24,F$9&lt;14/24)</formula>
    </cfRule>
    <cfRule type="expression" dxfId="1324" priority="140">
      <formula>F$9&lt;8/24</formula>
    </cfRule>
  </conditionalFormatting>
  <conditionalFormatting sqref="E17:F17 F18:F30 G17:Z30 F32:Z33 AA17:AF17 AA23:AF23">
    <cfRule type="expression" dxfId="1323" priority="136">
      <formula>E17&gt;$AG17</formula>
    </cfRule>
  </conditionalFormatting>
  <conditionalFormatting sqref="F35:Z35">
    <cfRule type="expression" dxfId="1322" priority="132">
      <formula>F$9&gt;=20/24</formula>
    </cfRule>
    <cfRule type="expression" dxfId="1321" priority="133">
      <formula>AND(F$9&gt;=14/24,F$9&lt;20/24)</formula>
    </cfRule>
    <cfRule type="expression" dxfId="1320" priority="134">
      <formula>AND(F$9&gt;=8/24,F$9&lt;14/24)</formula>
    </cfRule>
    <cfRule type="expression" dxfId="1319" priority="135">
      <formula>F$9&lt;8/24</formula>
    </cfRule>
  </conditionalFormatting>
  <conditionalFormatting sqref="D15">
    <cfRule type="expression" dxfId="1318" priority="128">
      <formula>D$9&gt;=20/24</formula>
    </cfRule>
    <cfRule type="expression" dxfId="1317" priority="129">
      <formula>AND(D$9&gt;=14/24,D$9&lt;20/24)</formula>
    </cfRule>
    <cfRule type="expression" dxfId="1316" priority="130">
      <formula>AND(D$9&gt;=8/24,D$9&lt;14/24)</formula>
    </cfRule>
    <cfRule type="expression" dxfId="1315" priority="131">
      <formula>D$9&lt;8/24</formula>
    </cfRule>
  </conditionalFormatting>
  <conditionalFormatting sqref="F34:Z34">
    <cfRule type="expression" dxfId="1314" priority="124">
      <formula>F$9&gt;=20/24</formula>
    </cfRule>
    <cfRule type="expression" dxfId="1313" priority="125">
      <formula>AND(F$9&gt;=14/24,F$9&lt;20/24)</formula>
    </cfRule>
    <cfRule type="expression" dxfId="1312" priority="126">
      <formula>AND(F$9&gt;=8/24,F$9&lt;14/24)</formula>
    </cfRule>
    <cfRule type="expression" dxfId="1311" priority="127">
      <formula>F$9&lt;8/24</formula>
    </cfRule>
  </conditionalFormatting>
  <conditionalFormatting sqref="F34:Z34">
    <cfRule type="expression" dxfId="1310" priority="123">
      <formula>F34&gt;$AG34</formula>
    </cfRule>
  </conditionalFormatting>
  <conditionalFormatting sqref="C44:D45">
    <cfRule type="expression" dxfId="1309" priority="119">
      <formula>C$9&gt;=20/24</formula>
    </cfRule>
    <cfRule type="expression" dxfId="1308" priority="120">
      <formula>AND(C$9&gt;=14/24,C$9&lt;20/24)</formula>
    </cfRule>
    <cfRule type="expression" dxfId="1307" priority="121">
      <formula>AND(C$9&gt;=8/24,C$9&lt;14/24)</formula>
    </cfRule>
    <cfRule type="expression" dxfId="1306" priority="122">
      <formula>C$9&lt;8/24</formula>
    </cfRule>
  </conditionalFormatting>
  <conditionalFormatting sqref="C43:D43">
    <cfRule type="expression" dxfId="1305" priority="115">
      <formula>C$9&gt;=20/24</formula>
    </cfRule>
    <cfRule type="expression" dxfId="1304" priority="116">
      <formula>AND(C$9&gt;=14/24,C$9&lt;20/24)</formula>
    </cfRule>
    <cfRule type="expression" dxfId="1303" priority="117">
      <formula>AND(C$9&gt;=8/24,C$9&lt;14/24)</formula>
    </cfRule>
    <cfRule type="expression" dxfId="1302" priority="118">
      <formula>C$9&lt;8/24</formula>
    </cfRule>
  </conditionalFormatting>
  <conditionalFormatting sqref="C43:D45">
    <cfRule type="expression" dxfId="1301" priority="114">
      <formula>C43&gt;$AG43</formula>
    </cfRule>
  </conditionalFormatting>
  <conditionalFormatting sqref="F68:L70">
    <cfRule type="expression" dxfId="1300" priority="110">
      <formula>F$9&gt;=20/24</formula>
    </cfRule>
    <cfRule type="expression" dxfId="1299" priority="111">
      <formula>AND(F$9&gt;=14/24,F$9&lt;20/24)</formula>
    </cfRule>
    <cfRule type="expression" dxfId="1298" priority="112">
      <formula>AND(F$9&gt;=8/24,F$9&lt;14/24)</formula>
    </cfRule>
    <cfRule type="expression" dxfId="1297" priority="113">
      <formula>F$9&lt;8/24</formula>
    </cfRule>
  </conditionalFormatting>
  <conditionalFormatting sqref="C46:D47">
    <cfRule type="expression" dxfId="1296" priority="109">
      <formula>C46&gt;$AG46</formula>
    </cfRule>
  </conditionalFormatting>
  <conditionalFormatting sqref="E48:E54 F49:L54">
    <cfRule type="expression" dxfId="1295" priority="105">
      <formula>E$9&gt;=20/24</formula>
    </cfRule>
    <cfRule type="expression" dxfId="1294" priority="106">
      <formula>AND(E$9&gt;=14/24,E$9&lt;20/24)</formula>
    </cfRule>
    <cfRule type="expression" dxfId="1293" priority="107">
      <formula>AND(E$9&gt;=8/24,E$9&lt;14/24)</formula>
    </cfRule>
    <cfRule type="expression" dxfId="1292" priority="108">
      <formula>E$9&lt;8/24</formula>
    </cfRule>
  </conditionalFormatting>
  <conditionalFormatting sqref="E48:E54 F49:L54">
    <cfRule type="expression" dxfId="1291" priority="104">
      <formula>E48&gt;$AG48</formula>
    </cfRule>
  </conditionalFormatting>
  <conditionalFormatting sqref="B99:B105 B78:AF78 B87:AF87 B11:C11">
    <cfRule type="expression" dxfId="1290" priority="91">
      <formula>B$9&gt;=20/24</formula>
    </cfRule>
    <cfRule type="expression" dxfId="1289" priority="92">
      <formula>AND(B$9&gt;=14/24,B$9&lt;20/24)</formula>
    </cfRule>
    <cfRule type="expression" dxfId="1288" priority="93">
      <formula>AND(B$9&gt;=8/24,B$9&lt;14/24)</formula>
    </cfRule>
    <cfRule type="expression" dxfId="1287" priority="94">
      <formula>B$9&lt;8/24</formula>
    </cfRule>
  </conditionalFormatting>
  <conditionalFormatting sqref="B37">
    <cfRule type="expression" dxfId="1286" priority="87">
      <formula>B$9&gt;=20/24</formula>
    </cfRule>
    <cfRule type="expression" dxfId="1285" priority="88">
      <formula>AND(B$9&gt;=14/24,B$9&lt;20/24)</formula>
    </cfRule>
    <cfRule type="expression" dxfId="1284" priority="89">
      <formula>AND(B$9&gt;=8/24,B$9&lt;14/24)</formula>
    </cfRule>
    <cfRule type="expression" dxfId="1283" priority="90">
      <formula>B$9&lt;8/24</formula>
    </cfRule>
  </conditionalFormatting>
  <conditionalFormatting sqref="B37 B11:C11">
    <cfRule type="expression" dxfId="1282" priority="86">
      <formula>B11&gt;$AG11</formula>
    </cfRule>
  </conditionalFormatting>
  <conditionalFormatting sqref="B89">
    <cfRule type="expression" dxfId="1281" priority="82">
      <formula>B$9&gt;=20/24</formula>
    </cfRule>
    <cfRule type="expression" dxfId="1280" priority="83">
      <formula>AND(B$9&gt;=14/24,B$9&lt;20/24)</formula>
    </cfRule>
    <cfRule type="expression" dxfId="1279" priority="84">
      <formula>AND(B$9&gt;=8/24,B$9&lt;14/24)</formula>
    </cfRule>
    <cfRule type="expression" dxfId="1278" priority="85">
      <formula>B$9&lt;8/24</formula>
    </cfRule>
  </conditionalFormatting>
  <conditionalFormatting sqref="B44:B45 B61 B36:E36">
    <cfRule type="expression" dxfId="1277" priority="78">
      <formula>B$9&gt;=20/24</formula>
    </cfRule>
    <cfRule type="expression" dxfId="1276" priority="79">
      <formula>AND(B$9&gt;=14/24,B$9&lt;20/24)</formula>
    </cfRule>
    <cfRule type="expression" dxfId="1275" priority="80">
      <formula>AND(B$9&gt;=8/24,B$9&lt;14/24)</formula>
    </cfRule>
    <cfRule type="expression" dxfId="1274" priority="81">
      <formula>B$9&lt;8/24</formula>
    </cfRule>
  </conditionalFormatting>
  <conditionalFormatting sqref="B43">
    <cfRule type="expression" dxfId="1273" priority="74">
      <formula>B$9&gt;=20/24</formula>
    </cfRule>
    <cfRule type="expression" dxfId="1272" priority="75">
      <formula>AND(B$9&gt;=14/24,B$9&lt;20/24)</formula>
    </cfRule>
    <cfRule type="expression" dxfId="1271" priority="76">
      <formula>AND(B$9&gt;=8/24,B$9&lt;14/24)</formula>
    </cfRule>
    <cfRule type="expression" dxfId="1270" priority="77">
      <formula>B$9&lt;8/24</formula>
    </cfRule>
  </conditionalFormatting>
  <conditionalFormatting sqref="B43:B45 B36:E36">
    <cfRule type="expression" dxfId="1269" priority="73">
      <formula>B36&gt;$AG36</formula>
    </cfRule>
  </conditionalFormatting>
  <conditionalFormatting sqref="B90:B96 B57:B60 B62:B71 B73:B77 B79:AF79 B86 C60:AG60 C77:AG77 B88:AF88 B12:C14 B16:D16 C64:D71 B28:E30 B18:E22 B24:E26 B32:E32 C57:E59 E65:E71 C73:E75">
    <cfRule type="expression" dxfId="1268" priority="69">
      <formula>B$9&gt;=20/24</formula>
    </cfRule>
    <cfRule type="expression" dxfId="1267" priority="70">
      <formula>AND(B$9&gt;=14/24,B$9&lt;20/24)</formula>
    </cfRule>
    <cfRule type="expression" dxfId="1266" priority="71">
      <formula>AND(B$9&gt;=8/24,B$9&lt;14/24)</formula>
    </cfRule>
    <cfRule type="expression" dxfId="1265" priority="72">
      <formula>B$9&lt;8/24</formula>
    </cfRule>
  </conditionalFormatting>
  <conditionalFormatting sqref="B33:E33">
    <cfRule type="expression" dxfId="1264" priority="65">
      <formula>B$9&gt;=20/24</formula>
    </cfRule>
    <cfRule type="expression" dxfId="1263" priority="66">
      <formula>AND(B$9&gt;=14/24,B$9&lt;20/24)</formula>
    </cfRule>
    <cfRule type="expression" dxfId="1262" priority="67">
      <formula>AND(B$9&gt;=8/24,B$9&lt;14/24)</formula>
    </cfRule>
    <cfRule type="expression" dxfId="1261" priority="68">
      <formula>B$9&lt;8/24</formula>
    </cfRule>
  </conditionalFormatting>
  <conditionalFormatting sqref="B46:B47 B55:B60 B38:AG38 C56:AG56 C60:AG60 B18:E22 B24:E30 B32:E33 C57:E59">
    <cfRule type="expression" dxfId="1260" priority="64">
      <formula>B18&gt;$AG18</formula>
    </cfRule>
  </conditionalFormatting>
  <conditionalFormatting sqref="B35:E35">
    <cfRule type="expression" dxfId="1259" priority="60">
      <formula>B$9&gt;=20/24</formula>
    </cfRule>
    <cfRule type="expression" dxfId="1258" priority="61">
      <formula>AND(B$9&gt;=14/24,B$9&lt;20/24)</formula>
    </cfRule>
    <cfRule type="expression" dxfId="1257" priority="62">
      <formula>AND(B$9&gt;=8/24,B$9&lt;14/24)</formula>
    </cfRule>
    <cfRule type="expression" dxfId="1256" priority="63">
      <formula>B$9&lt;8/24</formula>
    </cfRule>
  </conditionalFormatting>
  <conditionalFormatting sqref="B15:C15">
    <cfRule type="expression" dxfId="1255" priority="56">
      <formula>B$9&gt;=20/24</formula>
    </cfRule>
    <cfRule type="expression" dxfId="1254" priority="57">
      <formula>AND(B$9&gt;=14/24,B$9&lt;20/24)</formula>
    </cfRule>
    <cfRule type="expression" dxfId="1253" priority="58">
      <formula>AND(B$9&gt;=8/24,B$9&lt;14/24)</formula>
    </cfRule>
    <cfRule type="expression" dxfId="1252" priority="59">
      <formula>B$9&lt;8/24</formula>
    </cfRule>
  </conditionalFormatting>
  <conditionalFormatting sqref="B34:E34">
    <cfRule type="expression" dxfId="1251" priority="52">
      <formula>B$9&gt;=20/24</formula>
    </cfRule>
    <cfRule type="expression" dxfId="1250" priority="53">
      <formula>AND(B$9&gt;=14/24,B$9&lt;20/24)</formula>
    </cfRule>
    <cfRule type="expression" dxfId="1249" priority="54">
      <formula>AND(B$9&gt;=8/24,B$9&lt;14/24)</formula>
    </cfRule>
    <cfRule type="expression" dxfId="1248" priority="55">
      <formula>B$9&lt;8/24</formula>
    </cfRule>
  </conditionalFormatting>
  <conditionalFormatting sqref="B34:E34">
    <cfRule type="expression" dxfId="1247" priority="51">
      <formula>B34&gt;$AG34</formula>
    </cfRule>
  </conditionalFormatting>
  <conditionalFormatting sqref="B48:D54">
    <cfRule type="expression" dxfId="1246" priority="47">
      <formula>B$9&gt;=20/24</formula>
    </cfRule>
    <cfRule type="expression" dxfId="1245" priority="48">
      <formula>AND(B$9&gt;=14/24,B$9&lt;20/24)</formula>
    </cfRule>
    <cfRule type="expression" dxfId="1244" priority="49">
      <formula>AND(B$9&gt;=8/24,B$9&lt;14/24)</formula>
    </cfRule>
    <cfRule type="expression" dxfId="1243" priority="50">
      <formula>B$9&lt;8/24</formula>
    </cfRule>
  </conditionalFormatting>
  <conditionalFormatting sqref="B48:D54">
    <cfRule type="expression" dxfId="1242" priority="46">
      <formula>B48&gt;$AG48</formula>
    </cfRule>
  </conditionalFormatting>
  <conditionalFormatting sqref="B27:E27">
    <cfRule type="expression" dxfId="1241" priority="42">
      <formula>B$9&gt;=20/24</formula>
    </cfRule>
    <cfRule type="expression" dxfId="1240" priority="43">
      <formula>AND(B$9&gt;=14/24,B$9&lt;20/24)</formula>
    </cfRule>
    <cfRule type="expression" dxfId="1239" priority="44">
      <formula>AND(B$9&gt;=8/24,B$9&lt;14/24)</formula>
    </cfRule>
    <cfRule type="expression" dxfId="1238" priority="45">
      <formula>B$9&lt;8/24</formula>
    </cfRule>
  </conditionalFormatting>
  <conditionalFormatting sqref="B17:D17 B23:E23">
    <cfRule type="expression" dxfId="1237" priority="38">
      <formula>B$9&gt;=20/24</formula>
    </cfRule>
    <cfRule type="expression" dxfId="1236" priority="39">
      <formula>AND(B$9&gt;=14/24,B$9&lt;20/24)</formula>
    </cfRule>
    <cfRule type="expression" dxfId="1235" priority="40">
      <formula>AND(B$9&gt;=8/24,B$9&lt;14/24)</formula>
    </cfRule>
    <cfRule type="expression" dxfId="1234" priority="41">
      <formula>B$9&lt;8/24</formula>
    </cfRule>
  </conditionalFormatting>
  <conditionalFormatting sqref="B17:D17 B23:E23">
    <cfRule type="expression" dxfId="1233" priority="37">
      <formula>B17&gt;$AG17</formula>
    </cfRule>
  </conditionalFormatting>
  <conditionalFormatting sqref="A34">
    <cfRule type="expression" dxfId="1232" priority="36">
      <formula>$AH34=0</formula>
    </cfRule>
  </conditionalFormatting>
  <conditionalFormatting sqref="B72:AF72">
    <cfRule type="expression" dxfId="1231" priority="32">
      <formula>B$9&gt;=20/24</formula>
    </cfRule>
    <cfRule type="expression" dxfId="1230" priority="33">
      <formula>AND(B$9&gt;=14/24,B$9&lt;20/24)</formula>
    </cfRule>
    <cfRule type="expression" dxfId="1229" priority="34">
      <formula>AND(B$9&gt;=8/24,B$9&lt;14/24)</formula>
    </cfRule>
    <cfRule type="expression" dxfId="1228" priority="35">
      <formula>B$9&lt;8/24</formula>
    </cfRule>
  </conditionalFormatting>
  <conditionalFormatting sqref="B81:AF85">
    <cfRule type="expression" dxfId="1227" priority="28">
      <formula>B$9&gt;=20/24</formula>
    </cfRule>
    <cfRule type="expression" dxfId="1226" priority="29">
      <formula>AND(B$9&gt;=14/24,B$9&lt;20/24)</formula>
    </cfRule>
    <cfRule type="expression" dxfId="1225" priority="30">
      <formula>AND(B$9&gt;=8/24,B$9&lt;14/24)</formula>
    </cfRule>
    <cfRule type="expression" dxfId="1224" priority="31">
      <formula>B$9&lt;8/24</formula>
    </cfRule>
  </conditionalFormatting>
  <conditionalFormatting sqref="AL35 AL7:AL30 AL32">
    <cfRule type="iconSet" priority="247">
      <iconSet iconSet="3TrafficLights2" reverse="1">
        <cfvo type="percent" val="0"/>
        <cfvo type="num" val="1"/>
        <cfvo type="num" val="1"/>
      </iconSet>
    </cfRule>
  </conditionalFormatting>
  <conditionalFormatting sqref="C39:AF41">
    <cfRule type="expression" dxfId="1223" priority="24">
      <formula>C$9&gt;=20/24</formula>
    </cfRule>
    <cfRule type="expression" dxfId="1222" priority="25">
      <formula>AND(C$9&gt;=14/24,C$9&lt;20/24)</formula>
    </cfRule>
    <cfRule type="expression" dxfId="1221" priority="26">
      <formula>AND(C$9&gt;=8/24,C$9&lt;14/24)</formula>
    </cfRule>
    <cfRule type="expression" dxfId="1220" priority="27">
      <formula>C$9&lt;8/24</formula>
    </cfRule>
  </conditionalFormatting>
  <conditionalFormatting sqref="C39:AF41">
    <cfRule type="expression" dxfId="1219" priority="23">
      <formula>C39&gt;$AG39</formula>
    </cfRule>
  </conditionalFormatting>
  <conditionalFormatting sqref="B39:B42 C42:AG42">
    <cfRule type="expression" dxfId="1218" priority="19">
      <formula>B$9&gt;=20/24</formula>
    </cfRule>
    <cfRule type="expression" dxfId="1217" priority="20">
      <formula>AND(B$9&gt;=14/24,B$9&lt;20/24)</formula>
    </cfRule>
    <cfRule type="expression" dxfId="1216" priority="21">
      <formula>AND(B$9&gt;=8/24,B$9&lt;14/24)</formula>
    </cfRule>
    <cfRule type="expression" dxfId="1215" priority="22">
      <formula>B$9&lt;8/24</formula>
    </cfRule>
  </conditionalFormatting>
  <conditionalFormatting sqref="B39:B42 C42:AG42">
    <cfRule type="expression" dxfId="1214" priority="18">
      <formula>B39&gt;$AG39</formula>
    </cfRule>
  </conditionalFormatting>
  <conditionalFormatting sqref="C97:AF97">
    <cfRule type="expression" dxfId="1213" priority="14">
      <formula>C$9&gt;=20/24</formula>
    </cfRule>
    <cfRule type="expression" dxfId="1212" priority="15">
      <formula>AND(C$9&gt;=14/24,C$9&lt;20/24)</formula>
    </cfRule>
    <cfRule type="expression" dxfId="1211" priority="16">
      <formula>AND(C$9&gt;=8/24,C$9&lt;14/24)</formula>
    </cfRule>
    <cfRule type="expression" dxfId="1210" priority="17">
      <formula>C$9&lt;8/24</formula>
    </cfRule>
  </conditionalFormatting>
  <conditionalFormatting sqref="B97">
    <cfRule type="expression" dxfId="1209" priority="10">
      <formula>B$9&gt;=20/24</formula>
    </cfRule>
    <cfRule type="expression" dxfId="1208" priority="11">
      <formula>AND(B$9&gt;=14/24,B$9&lt;20/24)</formula>
    </cfRule>
    <cfRule type="expression" dxfId="1207" priority="12">
      <formula>AND(B$9&gt;=8/24,B$9&lt;14/24)</formula>
    </cfRule>
    <cfRule type="expression" dxfId="1206" priority="13">
      <formula>B$9&lt;8/24</formula>
    </cfRule>
  </conditionalFormatting>
  <conditionalFormatting sqref="AL31">
    <cfRule type="iconSet" priority="9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1205" priority="3">
      <formula>$AH31=0</formula>
    </cfRule>
  </conditionalFormatting>
  <conditionalFormatting sqref="A80">
    <cfRule type="expression" dxfId="1204" priority="1">
      <formula>$AH80=0</formula>
    </cfRule>
  </conditionalFormatting>
  <conditionalFormatting sqref="A77">
    <cfRule type="expression" dxfId="1203" priority="2">
      <formula>$AH77=0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5EE8A5A5-7093-47CC-AFCB-FDCF56DC5227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" id="{1FEC1B14-8C18-434C-8631-95DDB7D38693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" id="{3905CE06-9B95-4CBF-844A-2AD09429B53B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" id="{50611894-50F4-4707-976B-897FB99F50E4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4" id="{5834B001-F788-4E51-A1D5-9ECE64055EF8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3"/>
  <sheetViews>
    <sheetView tabSelected="1" zoomScale="90" zoomScaleNormal="90" workbookViewId="0">
      <pane xSplit="1" ySplit="10" topLeftCell="B77" activePane="bottomRight" state="frozen"/>
      <selection activeCell="AF88" sqref="AF88"/>
      <selection pane="topRight" activeCell="AF88" sqref="AF88"/>
      <selection pane="bottomLeft" activeCell="AF88" sqref="AF88"/>
      <selection pane="bottomRight" activeCell="A90" sqref="A90:XFD91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7" max="37" width="24.7109375" bestFit="1" customWidth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2079/02/28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K4" s="183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39.5</v>
      </c>
      <c r="C5" s="32">
        <f t="shared" si="0"/>
        <v>28.8</v>
      </c>
      <c r="D5" s="32">
        <f t="shared" si="0"/>
        <v>29.5</v>
      </c>
      <c r="E5" s="32">
        <f t="shared" si="0"/>
        <v>5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16.899999999999999</v>
      </c>
      <c r="K5" s="32">
        <f t="shared" si="0"/>
        <v>16.600000000000001</v>
      </c>
      <c r="L5" s="32">
        <f t="shared" si="0"/>
        <v>47.7</v>
      </c>
      <c r="M5" s="32">
        <f t="shared" si="0"/>
        <v>58.9</v>
      </c>
      <c r="N5" s="32">
        <f t="shared" si="0"/>
        <v>48.9</v>
      </c>
      <c r="O5" s="32">
        <f t="shared" si="0"/>
        <v>70</v>
      </c>
      <c r="P5" s="32">
        <f t="shared" si="0"/>
        <v>70</v>
      </c>
      <c r="Q5" s="32">
        <f t="shared" si="0"/>
        <v>70</v>
      </c>
      <c r="R5" s="32">
        <f t="shared" si="0"/>
        <v>44.4</v>
      </c>
      <c r="S5" s="32">
        <f t="shared" si="0"/>
        <v>44.4</v>
      </c>
      <c r="T5" s="32">
        <f t="shared" si="0"/>
        <v>27</v>
      </c>
      <c r="U5" s="32">
        <f t="shared" si="0"/>
        <v>31.6</v>
      </c>
      <c r="V5" s="32">
        <f t="shared" si="0"/>
        <v>22</v>
      </c>
      <c r="W5" s="32">
        <f t="shared" si="0"/>
        <v>20.8</v>
      </c>
      <c r="X5" s="32">
        <f t="shared" si="0"/>
        <v>17.2</v>
      </c>
      <c r="Y5" s="32">
        <f t="shared" si="0"/>
        <v>53.8</v>
      </c>
      <c r="Z5" s="32">
        <f t="shared" si="0"/>
        <v>68</v>
      </c>
      <c r="AA5" s="32">
        <f t="shared" si="0"/>
        <v>71</v>
      </c>
      <c r="AB5" s="32">
        <f t="shared" si="0"/>
        <v>73.5</v>
      </c>
      <c r="AC5" s="32">
        <f t="shared" si="0"/>
        <v>75.7</v>
      </c>
      <c r="AD5" s="32">
        <f t="shared" si="0"/>
        <v>46.4</v>
      </c>
      <c r="AE5" s="32">
        <f t="shared" si="0"/>
        <v>48.6</v>
      </c>
      <c r="AF5" s="32">
        <f>B72</f>
        <v>45.7</v>
      </c>
      <c r="AG5" s="24"/>
      <c r="AH5" s="13"/>
      <c r="AI5" s="14"/>
      <c r="AK5" s="183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1880MW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Load=1698</v>
      </c>
      <c r="B7" s="37">
        <f>B79</f>
        <v>1830.98</v>
      </c>
      <c r="C7" s="37">
        <f t="shared" ref="C7:AF7" si="1">C79</f>
        <v>1814.78</v>
      </c>
      <c r="D7" s="37">
        <f t="shared" si="1"/>
        <v>1781.18</v>
      </c>
      <c r="E7" s="37">
        <f t="shared" si="1"/>
        <v>1784.78</v>
      </c>
      <c r="F7" s="37">
        <f t="shared" si="1"/>
        <v>1766.28</v>
      </c>
      <c r="G7" s="37">
        <f t="shared" si="1"/>
        <v>1761.28</v>
      </c>
      <c r="H7" s="37">
        <f t="shared" si="1"/>
        <v>1761.28</v>
      </c>
      <c r="I7" s="37">
        <f t="shared" si="1"/>
        <v>1697.58</v>
      </c>
      <c r="J7" s="37">
        <f t="shared" si="1"/>
        <v>1707.58</v>
      </c>
      <c r="K7" s="37">
        <f t="shared" si="1"/>
        <v>1734.48</v>
      </c>
      <c r="L7" s="37">
        <f t="shared" si="1"/>
        <v>1739.1799999999998</v>
      </c>
      <c r="M7" s="37">
        <f t="shared" si="1"/>
        <v>1774.28</v>
      </c>
      <c r="N7" s="37">
        <f t="shared" si="1"/>
        <v>1880.4800000000002</v>
      </c>
      <c r="O7" s="37">
        <f t="shared" si="1"/>
        <v>1888.4400000000003</v>
      </c>
      <c r="P7" s="37">
        <f t="shared" si="1"/>
        <v>1872.64</v>
      </c>
      <c r="Q7" s="37">
        <f t="shared" si="1"/>
        <v>1872.64</v>
      </c>
      <c r="R7" s="37">
        <f t="shared" si="1"/>
        <v>1872.64</v>
      </c>
      <c r="S7" s="37">
        <f t="shared" si="1"/>
        <v>1789.64</v>
      </c>
      <c r="T7" s="37">
        <f t="shared" si="1"/>
        <v>1772.94</v>
      </c>
      <c r="U7" s="37">
        <f t="shared" si="1"/>
        <v>1775.14</v>
      </c>
      <c r="V7" s="37">
        <f t="shared" si="1"/>
        <v>1785.34</v>
      </c>
      <c r="W7" s="37">
        <f t="shared" si="1"/>
        <v>1796.6399999999999</v>
      </c>
      <c r="X7" s="37">
        <f t="shared" si="1"/>
        <v>1813.04</v>
      </c>
      <c r="Y7" s="37">
        <f t="shared" si="1"/>
        <v>1809.44</v>
      </c>
      <c r="Z7" s="37">
        <f t="shared" si="1"/>
        <v>1838.04</v>
      </c>
      <c r="AA7" s="37">
        <f t="shared" si="1"/>
        <v>1912.84</v>
      </c>
      <c r="AB7" s="37">
        <f t="shared" si="1"/>
        <v>1889.34</v>
      </c>
      <c r="AC7" s="37">
        <f t="shared" si="1"/>
        <v>1867.1399999999999</v>
      </c>
      <c r="AD7" s="37">
        <f t="shared" si="1"/>
        <v>1868.04</v>
      </c>
      <c r="AE7" s="37">
        <f t="shared" si="1"/>
        <v>1864.5400000000002</v>
      </c>
      <c r="AF7" s="37">
        <f t="shared" si="1"/>
        <v>1833.34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179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0">
        <v>53.5</v>
      </c>
      <c r="C11" s="50">
        <v>53.5</v>
      </c>
      <c r="D11" s="50">
        <v>53.5</v>
      </c>
      <c r="E11" s="50">
        <v>53.5</v>
      </c>
      <c r="F11" s="50">
        <v>53.5</v>
      </c>
      <c r="G11" s="50">
        <v>53.5</v>
      </c>
      <c r="H11" s="50">
        <v>53.5</v>
      </c>
      <c r="I11" s="50">
        <v>53.5</v>
      </c>
      <c r="J11" s="50">
        <v>53.5</v>
      </c>
      <c r="K11" s="50">
        <v>53.5</v>
      </c>
      <c r="L11" s="50">
        <v>53.5</v>
      </c>
      <c r="M11" s="50">
        <v>53.5</v>
      </c>
      <c r="N11" s="50">
        <v>53.5</v>
      </c>
      <c r="O11" s="50">
        <v>53.5</v>
      </c>
      <c r="P11" s="50">
        <v>53.5</v>
      </c>
      <c r="Q11" s="50">
        <v>53.5</v>
      </c>
      <c r="R11" s="50">
        <v>53.5</v>
      </c>
      <c r="S11" s="50">
        <v>53.5</v>
      </c>
      <c r="T11" s="50">
        <v>53.5</v>
      </c>
      <c r="U11" s="50">
        <v>53.5</v>
      </c>
      <c r="V11" s="50">
        <v>53.5</v>
      </c>
      <c r="W11" s="50">
        <v>53.5</v>
      </c>
      <c r="X11" s="50">
        <v>53.5</v>
      </c>
      <c r="Y11" s="50">
        <v>53.5</v>
      </c>
      <c r="Z11" s="50">
        <v>53.5</v>
      </c>
      <c r="AA11" s="52">
        <v>53.5</v>
      </c>
      <c r="AB11" s="52">
        <v>53.4</v>
      </c>
      <c r="AC11" s="52">
        <v>53.4</v>
      </c>
      <c r="AD11" s="52">
        <v>53.4</v>
      </c>
      <c r="AE11" s="52">
        <v>53.3</v>
      </c>
      <c r="AF11" s="52">
        <v>53.4</v>
      </c>
      <c r="AG11" s="133">
        <v>52.4</v>
      </c>
      <c r="AH11" s="54">
        <f>MAX(B11:AF11)</f>
        <v>53.5</v>
      </c>
      <c r="AI11" s="55">
        <f>MIN(B11:AF11)</f>
        <v>53.3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50.4</v>
      </c>
      <c r="C12" s="50">
        <v>50.4</v>
      </c>
      <c r="D12" s="50">
        <v>50.4</v>
      </c>
      <c r="E12" s="50">
        <v>50.4</v>
      </c>
      <c r="F12" s="50">
        <v>50.4</v>
      </c>
      <c r="G12" s="50">
        <v>50.4</v>
      </c>
      <c r="H12" s="50">
        <v>50.4</v>
      </c>
      <c r="I12" s="50">
        <v>50.4</v>
      </c>
      <c r="J12" s="50">
        <v>50.4</v>
      </c>
      <c r="K12" s="50">
        <v>50.4</v>
      </c>
      <c r="L12" s="50">
        <v>50.4</v>
      </c>
      <c r="M12" s="50">
        <v>50.4</v>
      </c>
      <c r="N12" s="50">
        <v>50.4</v>
      </c>
      <c r="O12" s="50">
        <v>50.4</v>
      </c>
      <c r="P12" s="50">
        <v>50.4</v>
      </c>
      <c r="Q12" s="50">
        <v>50.4</v>
      </c>
      <c r="R12" s="50">
        <v>50.4</v>
      </c>
      <c r="S12" s="50">
        <v>50.4</v>
      </c>
      <c r="T12" s="50">
        <v>50.4</v>
      </c>
      <c r="U12" s="50">
        <v>50.4</v>
      </c>
      <c r="V12" s="50">
        <v>50.4</v>
      </c>
      <c r="W12" s="50">
        <v>50.4</v>
      </c>
      <c r="X12" s="50">
        <v>50.4</v>
      </c>
      <c r="Y12" s="50">
        <v>50.4</v>
      </c>
      <c r="Z12" s="50">
        <v>50.4</v>
      </c>
      <c r="AA12" s="50">
        <v>50.4</v>
      </c>
      <c r="AB12" s="50">
        <v>50.4</v>
      </c>
      <c r="AC12" s="50">
        <v>50.4</v>
      </c>
      <c r="AD12" s="50">
        <v>50.3</v>
      </c>
      <c r="AE12" s="50">
        <v>50.5</v>
      </c>
      <c r="AF12" s="50">
        <v>50.4</v>
      </c>
      <c r="AG12" s="134">
        <v>50</v>
      </c>
      <c r="AH12" s="54">
        <f t="shared" ref="AH12:AH79" si="2">MAX(B12:AF12)</f>
        <v>50.5</v>
      </c>
      <c r="AI12" s="55">
        <f t="shared" ref="AI12:AI79" si="3">MIN(B12:AF12)</f>
        <v>50.3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45.8</v>
      </c>
      <c r="C13" s="50">
        <v>45.8</v>
      </c>
      <c r="D13" s="50">
        <v>45.8</v>
      </c>
      <c r="E13" s="50">
        <v>45.8</v>
      </c>
      <c r="F13" s="50">
        <v>45.8</v>
      </c>
      <c r="G13" s="50">
        <v>45.8</v>
      </c>
      <c r="H13" s="50">
        <v>45.8</v>
      </c>
      <c r="I13" s="50">
        <v>45.8</v>
      </c>
      <c r="J13" s="50">
        <v>45.8</v>
      </c>
      <c r="K13" s="50">
        <v>45.8</v>
      </c>
      <c r="L13" s="50">
        <v>45.8</v>
      </c>
      <c r="M13" s="50">
        <v>45.8</v>
      </c>
      <c r="N13" s="50">
        <v>45.8</v>
      </c>
      <c r="O13" s="50">
        <v>45.8</v>
      </c>
      <c r="P13" s="50">
        <v>45.8</v>
      </c>
      <c r="Q13" s="50">
        <v>45.8</v>
      </c>
      <c r="R13" s="50">
        <v>45.8</v>
      </c>
      <c r="S13" s="50">
        <v>26.4</v>
      </c>
      <c r="T13" s="50">
        <v>26.4</v>
      </c>
      <c r="U13" s="50">
        <v>30.1</v>
      </c>
      <c r="V13" s="50">
        <v>0</v>
      </c>
      <c r="W13" s="50">
        <v>0</v>
      </c>
      <c r="X13" s="50">
        <v>45.7</v>
      </c>
      <c r="Y13" s="50">
        <v>45.7</v>
      </c>
      <c r="Z13" s="50">
        <v>45.7</v>
      </c>
      <c r="AA13" s="50">
        <v>45.7</v>
      </c>
      <c r="AB13" s="50">
        <v>45.8</v>
      </c>
      <c r="AC13" s="50">
        <v>45.8</v>
      </c>
      <c r="AD13" s="50">
        <v>46</v>
      </c>
      <c r="AE13" s="50">
        <v>45.6</v>
      </c>
      <c r="AF13" s="50">
        <v>45.6</v>
      </c>
      <c r="AG13" s="134">
        <v>45</v>
      </c>
      <c r="AH13" s="54">
        <f t="shared" si="2"/>
        <v>46</v>
      </c>
      <c r="AI13" s="55">
        <f t="shared" si="3"/>
        <v>0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40</v>
      </c>
      <c r="C14" s="50">
        <v>40</v>
      </c>
      <c r="D14" s="50">
        <v>40</v>
      </c>
      <c r="E14" s="50">
        <v>35</v>
      </c>
      <c r="F14" s="50">
        <v>41</v>
      </c>
      <c r="G14" s="50">
        <v>41</v>
      </c>
      <c r="H14" s="50">
        <v>41</v>
      </c>
      <c r="I14" s="50">
        <v>41</v>
      </c>
      <c r="J14" s="50">
        <v>41</v>
      </c>
      <c r="K14" s="50">
        <v>41</v>
      </c>
      <c r="L14" s="50">
        <v>41</v>
      </c>
      <c r="M14" s="50">
        <v>35</v>
      </c>
      <c r="N14" s="50">
        <v>35</v>
      </c>
      <c r="O14" s="50">
        <v>38</v>
      </c>
      <c r="P14" s="50">
        <v>38</v>
      </c>
      <c r="Q14" s="50">
        <v>38</v>
      </c>
      <c r="R14" s="50">
        <v>38</v>
      </c>
      <c r="S14" s="50">
        <v>40</v>
      </c>
      <c r="T14" s="50">
        <v>36</v>
      </c>
      <c r="U14" s="50">
        <v>36</v>
      </c>
      <c r="V14" s="50">
        <v>36</v>
      </c>
      <c r="W14" s="50">
        <v>36</v>
      </c>
      <c r="X14" s="50">
        <v>36</v>
      </c>
      <c r="Y14" s="50">
        <v>36</v>
      </c>
      <c r="Z14" s="50">
        <v>36</v>
      </c>
      <c r="AA14" s="50">
        <v>41</v>
      </c>
      <c r="AB14" s="50">
        <v>38</v>
      </c>
      <c r="AC14" s="50">
        <v>38</v>
      </c>
      <c r="AD14" s="50">
        <v>30</v>
      </c>
      <c r="AE14" s="50">
        <v>30</v>
      </c>
      <c r="AF14" s="50">
        <v>30</v>
      </c>
      <c r="AG14" s="134">
        <v>42</v>
      </c>
      <c r="AH14" s="54">
        <f t="shared" si="2"/>
        <v>41</v>
      </c>
      <c r="AI14" s="55">
        <f t="shared" si="3"/>
        <v>30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30</v>
      </c>
      <c r="C15" s="50">
        <v>20</v>
      </c>
      <c r="D15" s="50">
        <v>20</v>
      </c>
      <c r="E15" s="50">
        <v>10</v>
      </c>
      <c r="F15" s="50">
        <v>10</v>
      </c>
      <c r="G15" s="50">
        <v>10</v>
      </c>
      <c r="H15" s="50">
        <v>10</v>
      </c>
      <c r="I15" s="50">
        <v>10</v>
      </c>
      <c r="J15" s="50">
        <v>20</v>
      </c>
      <c r="K15" s="50">
        <v>30</v>
      </c>
      <c r="L15" s="50">
        <v>30</v>
      </c>
      <c r="M15" s="50">
        <v>30</v>
      </c>
      <c r="N15" s="50">
        <v>30</v>
      </c>
      <c r="O15" s="50">
        <v>30</v>
      </c>
      <c r="P15" s="50">
        <v>30</v>
      </c>
      <c r="Q15" s="50">
        <v>30</v>
      </c>
      <c r="R15" s="50">
        <v>30</v>
      </c>
      <c r="S15" s="50">
        <v>30</v>
      </c>
      <c r="T15" s="50">
        <v>30</v>
      </c>
      <c r="U15" s="50">
        <v>30</v>
      </c>
      <c r="V15" s="50">
        <v>30</v>
      </c>
      <c r="W15" s="50">
        <v>30</v>
      </c>
      <c r="X15" s="50">
        <v>30</v>
      </c>
      <c r="Y15" s="50">
        <v>30</v>
      </c>
      <c r="Z15" s="50">
        <v>30</v>
      </c>
      <c r="AA15" s="50">
        <v>30</v>
      </c>
      <c r="AB15" s="50">
        <v>30</v>
      </c>
      <c r="AC15" s="50">
        <v>30</v>
      </c>
      <c r="AD15" s="50">
        <v>30</v>
      </c>
      <c r="AE15" s="50">
        <v>30</v>
      </c>
      <c r="AF15" s="50">
        <v>30</v>
      </c>
      <c r="AG15" s="135">
        <v>30</v>
      </c>
      <c r="AH15" s="54">
        <f t="shared" si="2"/>
        <v>30</v>
      </c>
      <c r="AI15" s="55">
        <f t="shared" si="3"/>
        <v>10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26.3</v>
      </c>
      <c r="C16" s="50">
        <v>26.3</v>
      </c>
      <c r="D16" s="50">
        <v>26.3</v>
      </c>
      <c r="E16" s="50">
        <v>26.3</v>
      </c>
      <c r="F16" s="50">
        <v>26.3</v>
      </c>
      <c r="G16" s="50">
        <v>26.3</v>
      </c>
      <c r="H16" s="50">
        <v>26.3</v>
      </c>
      <c r="I16" s="50">
        <v>26.3</v>
      </c>
      <c r="J16" s="50">
        <v>26.3</v>
      </c>
      <c r="K16" s="50">
        <v>26.3</v>
      </c>
      <c r="L16" s="50">
        <v>26.3</v>
      </c>
      <c r="M16" s="50">
        <v>26.3</v>
      </c>
      <c r="N16" s="50">
        <v>26.3</v>
      </c>
      <c r="O16" s="50">
        <v>26.3</v>
      </c>
      <c r="P16" s="50">
        <v>26.3</v>
      </c>
      <c r="Q16" s="50">
        <v>26.3</v>
      </c>
      <c r="R16" s="50">
        <v>26.3</v>
      </c>
      <c r="S16" s="50">
        <v>26.3</v>
      </c>
      <c r="T16" s="50">
        <v>26.3</v>
      </c>
      <c r="U16" s="50">
        <v>26.3</v>
      </c>
      <c r="V16" s="50">
        <v>26.3</v>
      </c>
      <c r="W16" s="50">
        <v>26.3</v>
      </c>
      <c r="X16" s="50">
        <v>26.3</v>
      </c>
      <c r="Y16" s="50">
        <v>26.3</v>
      </c>
      <c r="Z16" s="50">
        <v>26.3</v>
      </c>
      <c r="AA16" s="50">
        <v>26.3</v>
      </c>
      <c r="AB16" s="50">
        <v>26.3</v>
      </c>
      <c r="AC16" s="50">
        <v>26.3</v>
      </c>
      <c r="AD16" s="50">
        <v>26.2</v>
      </c>
      <c r="AE16" s="50">
        <v>26.3</v>
      </c>
      <c r="AF16" s="50">
        <v>26.3</v>
      </c>
      <c r="AG16" s="134">
        <v>25</v>
      </c>
      <c r="AH16" s="54">
        <f t="shared" si="2"/>
        <v>26.3</v>
      </c>
      <c r="AI16" s="55">
        <f t="shared" si="3"/>
        <v>26.2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25</v>
      </c>
      <c r="D18" s="50">
        <v>25</v>
      </c>
      <c r="E18" s="50">
        <v>25</v>
      </c>
      <c r="F18" s="50">
        <v>25</v>
      </c>
      <c r="G18" s="50">
        <v>25</v>
      </c>
      <c r="H18" s="50">
        <v>25</v>
      </c>
      <c r="I18" s="50">
        <v>25</v>
      </c>
      <c r="J18" s="50">
        <v>25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12.5</v>
      </c>
      <c r="U18" s="50">
        <v>12.5</v>
      </c>
      <c r="V18" s="50">
        <v>0</v>
      </c>
      <c r="W18" s="50">
        <v>0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0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33</v>
      </c>
      <c r="C19" s="50">
        <v>33</v>
      </c>
      <c r="D19" s="50">
        <v>33</v>
      </c>
      <c r="E19" s="50">
        <v>33</v>
      </c>
      <c r="F19" s="50">
        <v>33</v>
      </c>
      <c r="G19" s="50">
        <v>33</v>
      </c>
      <c r="H19" s="50">
        <v>33</v>
      </c>
      <c r="I19" s="50">
        <v>33</v>
      </c>
      <c r="J19" s="50">
        <v>33</v>
      </c>
      <c r="K19" s="50">
        <v>33</v>
      </c>
      <c r="L19" s="50">
        <v>33</v>
      </c>
      <c r="M19" s="50">
        <v>33</v>
      </c>
      <c r="N19" s="50">
        <v>33.1</v>
      </c>
      <c r="O19" s="50">
        <v>33.1</v>
      </c>
      <c r="P19" s="50">
        <v>33.1</v>
      </c>
      <c r="Q19" s="50">
        <v>33.1</v>
      </c>
      <c r="R19" s="50">
        <v>33.1</v>
      </c>
      <c r="S19" s="50">
        <v>33.1</v>
      </c>
      <c r="T19" s="50">
        <v>33.1</v>
      </c>
      <c r="U19" s="50">
        <v>33.1</v>
      </c>
      <c r="V19" s="50">
        <v>33.1</v>
      </c>
      <c r="W19" s="50">
        <v>33.1</v>
      </c>
      <c r="X19" s="50">
        <v>33.1</v>
      </c>
      <c r="Y19" s="50">
        <v>33.1</v>
      </c>
      <c r="Z19" s="50">
        <v>33.1</v>
      </c>
      <c r="AA19" s="50">
        <v>33.1</v>
      </c>
      <c r="AB19" s="50">
        <v>25.3</v>
      </c>
      <c r="AC19" s="50">
        <v>25.3</v>
      </c>
      <c r="AD19" s="50">
        <v>25.3</v>
      </c>
      <c r="AE19" s="50">
        <v>33.200000000000003</v>
      </c>
      <c r="AF19" s="50">
        <v>33.200000000000003</v>
      </c>
      <c r="AG19" s="134">
        <v>24.2</v>
      </c>
      <c r="AH19" s="54">
        <f t="shared" si="2"/>
        <v>33.200000000000003</v>
      </c>
      <c r="AI19" s="55">
        <f t="shared" si="3"/>
        <v>25.3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23.4</v>
      </c>
      <c r="C20" s="50">
        <v>23.4</v>
      </c>
      <c r="D20" s="50">
        <v>23.4</v>
      </c>
      <c r="E20" s="50">
        <v>23.4</v>
      </c>
      <c r="F20" s="50">
        <v>23.4</v>
      </c>
      <c r="G20" s="50">
        <v>23.4</v>
      </c>
      <c r="H20" s="50">
        <v>23.4</v>
      </c>
      <c r="I20" s="50">
        <v>23.4</v>
      </c>
      <c r="J20" s="50">
        <v>23.4</v>
      </c>
      <c r="K20" s="50">
        <v>23.4</v>
      </c>
      <c r="L20" s="50">
        <v>23.4</v>
      </c>
      <c r="M20" s="50">
        <v>23.4</v>
      </c>
      <c r="N20" s="50">
        <v>23.4</v>
      </c>
      <c r="O20" s="50">
        <v>23.4</v>
      </c>
      <c r="P20" s="50">
        <v>23.4</v>
      </c>
      <c r="Q20" s="50">
        <v>23.4</v>
      </c>
      <c r="R20" s="50">
        <v>23.4</v>
      </c>
      <c r="S20" s="50">
        <v>23.4</v>
      </c>
      <c r="T20" s="50">
        <v>23.4</v>
      </c>
      <c r="U20" s="50">
        <v>23.4</v>
      </c>
      <c r="V20" s="50">
        <v>23.4</v>
      </c>
      <c r="W20" s="50">
        <v>23.4</v>
      </c>
      <c r="X20" s="50">
        <v>23.4</v>
      </c>
      <c r="Y20" s="50">
        <v>23.4</v>
      </c>
      <c r="Z20" s="50">
        <v>23.4</v>
      </c>
      <c r="AA20" s="50">
        <v>23.4</v>
      </c>
      <c r="AB20" s="50">
        <v>23.5</v>
      </c>
      <c r="AC20" s="50">
        <v>23.5</v>
      </c>
      <c r="AD20" s="50">
        <v>23.7</v>
      </c>
      <c r="AE20" s="50">
        <v>23.7</v>
      </c>
      <c r="AF20" s="50">
        <v>23.7</v>
      </c>
      <c r="AG20" s="134">
        <v>23.5</v>
      </c>
      <c r="AH20" s="54">
        <f t="shared" si="2"/>
        <v>23.7</v>
      </c>
      <c r="AI20" s="55">
        <f t="shared" si="3"/>
        <v>23.4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16</v>
      </c>
      <c r="C21" s="50">
        <v>16</v>
      </c>
      <c r="D21" s="50">
        <v>16</v>
      </c>
      <c r="E21" s="50">
        <v>16</v>
      </c>
      <c r="F21" s="50">
        <v>16</v>
      </c>
      <c r="G21" s="50">
        <v>16</v>
      </c>
      <c r="H21" s="50">
        <v>16</v>
      </c>
      <c r="I21" s="50">
        <v>16</v>
      </c>
      <c r="J21" s="50">
        <v>16</v>
      </c>
      <c r="K21" s="50">
        <v>16</v>
      </c>
      <c r="L21" s="50">
        <v>16</v>
      </c>
      <c r="M21" s="50">
        <v>16</v>
      </c>
      <c r="N21" s="50">
        <v>16</v>
      </c>
      <c r="O21" s="50">
        <v>16</v>
      </c>
      <c r="P21" s="50">
        <v>16</v>
      </c>
      <c r="Q21" s="50">
        <v>16</v>
      </c>
      <c r="R21" s="50">
        <v>16</v>
      </c>
      <c r="S21" s="50">
        <v>16</v>
      </c>
      <c r="T21" s="50">
        <v>16</v>
      </c>
      <c r="U21" s="50">
        <v>16</v>
      </c>
      <c r="V21" s="50">
        <v>0</v>
      </c>
      <c r="W21" s="50">
        <v>0</v>
      </c>
      <c r="X21" s="50">
        <v>16</v>
      </c>
      <c r="Y21" s="50">
        <v>16</v>
      </c>
      <c r="Z21" s="50">
        <v>16</v>
      </c>
      <c r="AA21" s="50">
        <v>19</v>
      </c>
      <c r="AB21" s="50">
        <v>19</v>
      </c>
      <c r="AC21" s="50">
        <v>19</v>
      </c>
      <c r="AD21" s="50">
        <v>19</v>
      </c>
      <c r="AE21" s="50">
        <v>19</v>
      </c>
      <c r="AF21" s="50">
        <v>19</v>
      </c>
      <c r="AG21" s="134">
        <v>22.2</v>
      </c>
      <c r="AH21" s="54">
        <f t="shared" si="2"/>
        <v>19</v>
      </c>
      <c r="AI21" s="55">
        <f t="shared" si="3"/>
        <v>0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134">
        <v>22.1</v>
      </c>
      <c r="AH22" s="54">
        <f t="shared" si="2"/>
        <v>22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22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22</v>
      </c>
      <c r="AI24" s="55">
        <f t="shared" si="3"/>
        <v>22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0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5</v>
      </c>
      <c r="M25" s="50">
        <v>5</v>
      </c>
      <c r="N25" s="50">
        <v>5</v>
      </c>
      <c r="O25" s="50">
        <v>5</v>
      </c>
      <c r="P25" s="50">
        <v>5</v>
      </c>
      <c r="Q25" s="50">
        <v>5</v>
      </c>
      <c r="R25" s="50">
        <v>5</v>
      </c>
      <c r="S25" s="50">
        <v>10</v>
      </c>
      <c r="T25" s="50">
        <v>10</v>
      </c>
      <c r="U25" s="50">
        <v>10</v>
      </c>
      <c r="V25" s="50">
        <v>10</v>
      </c>
      <c r="W25" s="50">
        <v>10</v>
      </c>
      <c r="X25" s="50">
        <v>10</v>
      </c>
      <c r="Y25" s="50">
        <v>10</v>
      </c>
      <c r="Z25" s="50">
        <v>10</v>
      </c>
      <c r="AA25" s="50">
        <v>10</v>
      </c>
      <c r="AB25" s="50">
        <v>17</v>
      </c>
      <c r="AC25" s="50">
        <v>17</v>
      </c>
      <c r="AD25" s="50">
        <v>14</v>
      </c>
      <c r="AE25" s="50">
        <v>14</v>
      </c>
      <c r="AF25" s="50">
        <v>14</v>
      </c>
      <c r="AG25" s="134">
        <v>20</v>
      </c>
      <c r="AH25" s="54">
        <f t="shared" si="2"/>
        <v>17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14.9</v>
      </c>
      <c r="C26" s="50">
        <v>14.9</v>
      </c>
      <c r="D26" s="50">
        <v>14.9</v>
      </c>
      <c r="E26" s="50">
        <v>14.9</v>
      </c>
      <c r="F26" s="50">
        <v>14.9</v>
      </c>
      <c r="G26" s="50">
        <v>14.9</v>
      </c>
      <c r="H26" s="50">
        <v>14.9</v>
      </c>
      <c r="I26" s="50">
        <v>14.9</v>
      </c>
      <c r="J26" s="50">
        <v>14.9</v>
      </c>
      <c r="K26" s="50">
        <v>14.9</v>
      </c>
      <c r="L26" s="50">
        <v>14.9</v>
      </c>
      <c r="M26" s="50">
        <v>14.9</v>
      </c>
      <c r="N26" s="50">
        <v>14.9</v>
      </c>
      <c r="O26" s="50">
        <v>14.9</v>
      </c>
      <c r="P26" s="50">
        <v>14.9</v>
      </c>
      <c r="Q26" s="50">
        <v>14.9</v>
      </c>
      <c r="R26" s="50">
        <v>14.9</v>
      </c>
      <c r="S26" s="50">
        <v>14.9</v>
      </c>
      <c r="T26" s="50">
        <v>14.9</v>
      </c>
      <c r="U26" s="50">
        <v>14.9</v>
      </c>
      <c r="V26" s="50">
        <v>14.9</v>
      </c>
      <c r="W26" s="50">
        <v>14.9</v>
      </c>
      <c r="X26" s="50">
        <v>14.9</v>
      </c>
      <c r="Y26" s="50">
        <v>14.9</v>
      </c>
      <c r="Z26" s="50">
        <v>14.9</v>
      </c>
      <c r="AA26" s="50">
        <v>14.9</v>
      </c>
      <c r="AB26" s="50">
        <v>14.9</v>
      </c>
      <c r="AC26" s="50">
        <v>14.9</v>
      </c>
      <c r="AD26" s="50">
        <v>14.9</v>
      </c>
      <c r="AE26" s="50">
        <v>14.9</v>
      </c>
      <c r="AF26" s="50">
        <v>14.9</v>
      </c>
      <c r="AG26" s="134">
        <v>14.9</v>
      </c>
      <c r="AH26" s="54">
        <f t="shared" si="2"/>
        <v>14.9</v>
      </c>
      <c r="AI26" s="55">
        <f t="shared" si="3"/>
        <v>14.9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12</v>
      </c>
      <c r="C27" s="50">
        <v>12</v>
      </c>
      <c r="D27" s="50">
        <v>12</v>
      </c>
      <c r="E27" s="50">
        <v>12</v>
      </c>
      <c r="F27" s="50">
        <v>12</v>
      </c>
      <c r="G27" s="50">
        <v>12</v>
      </c>
      <c r="H27" s="50">
        <v>12</v>
      </c>
      <c r="I27" s="50">
        <v>12</v>
      </c>
      <c r="J27" s="50">
        <v>12</v>
      </c>
      <c r="K27" s="50">
        <v>12</v>
      </c>
      <c r="L27" s="50">
        <v>12</v>
      </c>
      <c r="M27" s="50">
        <v>12</v>
      </c>
      <c r="N27" s="50">
        <v>12</v>
      </c>
      <c r="O27" s="50">
        <v>12</v>
      </c>
      <c r="P27" s="50">
        <v>12</v>
      </c>
      <c r="Q27" s="50">
        <v>12</v>
      </c>
      <c r="R27" s="50">
        <v>12</v>
      </c>
      <c r="S27" s="50">
        <v>12</v>
      </c>
      <c r="T27" s="50">
        <v>12</v>
      </c>
      <c r="U27" s="50">
        <v>12</v>
      </c>
      <c r="V27" s="50">
        <v>12</v>
      </c>
      <c r="W27" s="50">
        <v>12</v>
      </c>
      <c r="X27" s="50">
        <v>12</v>
      </c>
      <c r="Y27" s="50">
        <v>12</v>
      </c>
      <c r="Z27" s="50">
        <v>12</v>
      </c>
      <c r="AA27" s="50">
        <v>12</v>
      </c>
      <c r="AB27" s="50">
        <v>12</v>
      </c>
      <c r="AC27" s="50">
        <v>12</v>
      </c>
      <c r="AD27" s="50">
        <v>12</v>
      </c>
      <c r="AE27" s="50">
        <v>12</v>
      </c>
      <c r="AF27" s="50">
        <v>12</v>
      </c>
      <c r="AG27" s="134">
        <v>13.6</v>
      </c>
      <c r="AH27" s="54">
        <f t="shared" si="2"/>
        <v>12</v>
      </c>
      <c r="AI27" s="55">
        <f t="shared" si="3"/>
        <v>12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13</v>
      </c>
      <c r="C28" s="50">
        <v>13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134">
        <v>13</v>
      </c>
      <c r="AH28" s="54">
        <f t="shared" si="2"/>
        <v>13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0</v>
      </c>
      <c r="C29" s="50">
        <v>0</v>
      </c>
      <c r="D29" s="50">
        <v>0</v>
      </c>
      <c r="E29" s="50">
        <v>8</v>
      </c>
      <c r="F29" s="50">
        <v>8</v>
      </c>
      <c r="G29" s="50">
        <v>8</v>
      </c>
      <c r="H29" s="50">
        <v>8</v>
      </c>
      <c r="I29" s="50">
        <v>8</v>
      </c>
      <c r="J29" s="50">
        <v>8</v>
      </c>
      <c r="K29" s="50">
        <v>8</v>
      </c>
      <c r="L29" s="50">
        <v>8</v>
      </c>
      <c r="M29" s="50">
        <v>8</v>
      </c>
      <c r="N29" s="50">
        <v>8</v>
      </c>
      <c r="O29" s="50">
        <v>8</v>
      </c>
      <c r="P29" s="50">
        <v>8</v>
      </c>
      <c r="Q29" s="50">
        <v>8</v>
      </c>
      <c r="R29" s="50">
        <v>8</v>
      </c>
      <c r="S29" s="50">
        <v>8</v>
      </c>
      <c r="T29" s="50">
        <v>8</v>
      </c>
      <c r="U29" s="50">
        <v>8</v>
      </c>
      <c r="V29" s="50">
        <v>8</v>
      </c>
      <c r="W29" s="50">
        <v>8</v>
      </c>
      <c r="X29" s="50">
        <v>8</v>
      </c>
      <c r="Y29" s="50">
        <v>8</v>
      </c>
      <c r="Z29" s="50">
        <v>8</v>
      </c>
      <c r="AA29" s="50">
        <v>8</v>
      </c>
      <c r="AB29" s="50">
        <v>8</v>
      </c>
      <c r="AC29" s="50">
        <v>8</v>
      </c>
      <c r="AD29" s="50">
        <v>8</v>
      </c>
      <c r="AE29" s="50">
        <v>8</v>
      </c>
      <c r="AF29" s="50">
        <v>8</v>
      </c>
      <c r="AG29" s="134">
        <v>12</v>
      </c>
      <c r="AH29" s="54">
        <f t="shared" si="2"/>
        <v>8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2</v>
      </c>
      <c r="C30" s="50">
        <v>2</v>
      </c>
      <c r="D30" s="50">
        <v>2</v>
      </c>
      <c r="E30" s="50">
        <v>2</v>
      </c>
      <c r="F30" s="50">
        <v>2</v>
      </c>
      <c r="G30" s="50">
        <v>2</v>
      </c>
      <c r="H30" s="50">
        <v>2</v>
      </c>
      <c r="I30" s="50">
        <v>2</v>
      </c>
      <c r="J30" s="50">
        <v>2</v>
      </c>
      <c r="K30" s="50">
        <v>2</v>
      </c>
      <c r="L30" s="50">
        <v>2</v>
      </c>
      <c r="M30" s="50">
        <v>2</v>
      </c>
      <c r="N30" s="50">
        <v>2</v>
      </c>
      <c r="O30" s="50">
        <v>2</v>
      </c>
      <c r="P30" s="50">
        <v>2</v>
      </c>
      <c r="Q30" s="50">
        <v>2</v>
      </c>
      <c r="R30" s="50">
        <v>2</v>
      </c>
      <c r="S30" s="50">
        <v>2</v>
      </c>
      <c r="T30" s="50">
        <v>2</v>
      </c>
      <c r="U30" s="50">
        <v>2</v>
      </c>
      <c r="V30" s="50">
        <v>2</v>
      </c>
      <c r="W30" s="50">
        <v>2</v>
      </c>
      <c r="X30" s="50">
        <v>2</v>
      </c>
      <c r="Y30" s="50">
        <v>2</v>
      </c>
      <c r="Z30" s="50">
        <v>2</v>
      </c>
      <c r="AA30" s="50">
        <v>2</v>
      </c>
      <c r="AB30" s="50">
        <v>2</v>
      </c>
      <c r="AC30" s="50">
        <v>2</v>
      </c>
      <c r="AD30" s="50">
        <v>2</v>
      </c>
      <c r="AE30" s="50">
        <v>2</v>
      </c>
      <c r="AF30" s="50">
        <v>2</v>
      </c>
      <c r="AG30" s="134">
        <v>12</v>
      </c>
      <c r="AH30" s="54">
        <f t="shared" si="2"/>
        <v>2</v>
      </c>
      <c r="AI30" s="55">
        <f t="shared" si="3"/>
        <v>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12</v>
      </c>
      <c r="C31" s="50">
        <v>12</v>
      </c>
      <c r="D31" s="50">
        <v>12</v>
      </c>
      <c r="E31" s="50">
        <v>12</v>
      </c>
      <c r="F31" s="50">
        <v>12</v>
      </c>
      <c r="G31" s="50">
        <v>12</v>
      </c>
      <c r="H31" s="50">
        <v>12</v>
      </c>
      <c r="I31" s="50">
        <v>12</v>
      </c>
      <c r="J31" s="50">
        <v>12</v>
      </c>
      <c r="K31" s="50">
        <v>12</v>
      </c>
      <c r="L31" s="50">
        <v>12</v>
      </c>
      <c r="M31" s="50">
        <v>12</v>
      </c>
      <c r="N31" s="50">
        <v>12</v>
      </c>
      <c r="O31" s="50">
        <v>12</v>
      </c>
      <c r="P31" s="50">
        <v>12</v>
      </c>
      <c r="Q31" s="50">
        <v>12</v>
      </c>
      <c r="R31" s="50">
        <v>12</v>
      </c>
      <c r="S31" s="50">
        <v>12</v>
      </c>
      <c r="T31" s="50">
        <v>12</v>
      </c>
      <c r="U31" s="50">
        <v>12</v>
      </c>
      <c r="V31" s="50">
        <v>12</v>
      </c>
      <c r="W31" s="50">
        <v>12</v>
      </c>
      <c r="X31" s="50">
        <v>12</v>
      </c>
      <c r="Y31" s="50">
        <v>12</v>
      </c>
      <c r="Z31" s="50">
        <v>12</v>
      </c>
      <c r="AA31" s="50">
        <v>12</v>
      </c>
      <c r="AB31" s="50">
        <v>12</v>
      </c>
      <c r="AC31" s="50">
        <v>12</v>
      </c>
      <c r="AD31" s="50">
        <v>12</v>
      </c>
      <c r="AE31" s="50">
        <v>12</v>
      </c>
      <c r="AF31" s="50">
        <v>12</v>
      </c>
      <c r="AG31" s="178">
        <v>22</v>
      </c>
      <c r="AH31" s="54">
        <f>MAX(B31:AF31)</f>
        <v>12</v>
      </c>
      <c r="AI31" s="55">
        <f>MIN(B31:AF31)</f>
        <v>12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11.5</v>
      </c>
      <c r="C32" s="50">
        <v>11.5</v>
      </c>
      <c r="D32" s="50">
        <v>11.5</v>
      </c>
      <c r="E32" s="50">
        <v>11.5</v>
      </c>
      <c r="F32" s="50">
        <v>11.5</v>
      </c>
      <c r="G32" s="50">
        <v>11.5</v>
      </c>
      <c r="H32" s="50">
        <v>11.5</v>
      </c>
      <c r="I32" s="50">
        <v>11.5</v>
      </c>
      <c r="J32" s="50">
        <v>11.5</v>
      </c>
      <c r="K32" s="50">
        <v>11.5</v>
      </c>
      <c r="L32" s="50">
        <v>11.5</v>
      </c>
      <c r="M32" s="50">
        <v>11.5</v>
      </c>
      <c r="N32" s="50">
        <v>11.5</v>
      </c>
      <c r="O32" s="50">
        <v>11.5</v>
      </c>
      <c r="P32" s="50">
        <v>11.5</v>
      </c>
      <c r="Q32" s="50">
        <v>11.5</v>
      </c>
      <c r="R32" s="50">
        <v>11.5</v>
      </c>
      <c r="S32" s="50">
        <v>11.5</v>
      </c>
      <c r="T32" s="50">
        <v>11.5</v>
      </c>
      <c r="U32" s="50">
        <v>11.5</v>
      </c>
      <c r="V32" s="50">
        <v>11.5</v>
      </c>
      <c r="W32" s="50">
        <v>11.5</v>
      </c>
      <c r="X32" s="50">
        <v>11.5</v>
      </c>
      <c r="Y32" s="50">
        <v>11.5</v>
      </c>
      <c r="Z32" s="50">
        <v>11.5</v>
      </c>
      <c r="AA32" s="50">
        <v>11.5</v>
      </c>
      <c r="AB32" s="50">
        <v>11.5</v>
      </c>
      <c r="AC32" s="50">
        <v>11.5</v>
      </c>
      <c r="AD32" s="50">
        <v>11.5</v>
      </c>
      <c r="AE32" s="50">
        <v>11.5</v>
      </c>
      <c r="AF32" s="50">
        <v>11.5</v>
      </c>
      <c r="AG32" s="135">
        <v>11.88</v>
      </c>
      <c r="AH32" s="54">
        <f t="shared" si="2"/>
        <v>11.5</v>
      </c>
      <c r="AI32" s="55">
        <f t="shared" si="3"/>
        <v>11.5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11</v>
      </c>
      <c r="D33" s="50">
        <v>11</v>
      </c>
      <c r="E33" s="50">
        <v>11</v>
      </c>
      <c r="F33" s="50">
        <v>11</v>
      </c>
      <c r="G33" s="50">
        <v>11</v>
      </c>
      <c r="H33" s="50">
        <v>11</v>
      </c>
      <c r="I33" s="50">
        <v>11</v>
      </c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9</v>
      </c>
      <c r="V33" s="50">
        <v>0</v>
      </c>
      <c r="W33" s="50">
        <v>0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10</v>
      </c>
      <c r="C34" s="50">
        <v>10</v>
      </c>
      <c r="D34" s="50">
        <v>10</v>
      </c>
      <c r="E34" s="50">
        <v>10</v>
      </c>
      <c r="F34" s="50">
        <v>10</v>
      </c>
      <c r="G34" s="50">
        <v>10</v>
      </c>
      <c r="H34" s="50">
        <v>10</v>
      </c>
      <c r="I34" s="50">
        <v>10</v>
      </c>
      <c r="J34" s="50">
        <v>10</v>
      </c>
      <c r="K34" s="50">
        <v>10</v>
      </c>
      <c r="L34" s="50">
        <v>10</v>
      </c>
      <c r="M34" s="50">
        <v>10</v>
      </c>
      <c r="N34" s="50">
        <v>10</v>
      </c>
      <c r="O34" s="50">
        <v>10</v>
      </c>
      <c r="P34" s="50">
        <v>10</v>
      </c>
      <c r="Q34" s="50">
        <v>10</v>
      </c>
      <c r="R34" s="50">
        <v>10</v>
      </c>
      <c r="S34" s="50">
        <v>10</v>
      </c>
      <c r="T34" s="50">
        <v>10</v>
      </c>
      <c r="U34" s="50">
        <v>10</v>
      </c>
      <c r="V34" s="50">
        <v>10</v>
      </c>
      <c r="W34" s="50">
        <v>10</v>
      </c>
      <c r="X34" s="50">
        <v>10</v>
      </c>
      <c r="Y34" s="50">
        <v>10</v>
      </c>
      <c r="Z34" s="50">
        <v>10</v>
      </c>
      <c r="AA34" s="50">
        <v>10</v>
      </c>
      <c r="AB34" s="50">
        <v>10</v>
      </c>
      <c r="AC34" s="50">
        <v>10</v>
      </c>
      <c r="AD34" s="50">
        <v>10</v>
      </c>
      <c r="AE34" s="50">
        <v>10</v>
      </c>
      <c r="AF34" s="50">
        <v>10</v>
      </c>
      <c r="AG34" s="136">
        <v>10</v>
      </c>
      <c r="AH34" s="54">
        <f t="shared" si="2"/>
        <v>10</v>
      </c>
      <c r="AI34" s="55">
        <f t="shared" si="3"/>
        <v>10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136">
        <v>10</v>
      </c>
      <c r="AH35" s="54">
        <f t="shared" si="2"/>
        <v>2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300</v>
      </c>
      <c r="C36" s="62">
        <v>300</v>
      </c>
      <c r="D36" s="62">
        <v>300</v>
      </c>
      <c r="E36" s="62">
        <v>300</v>
      </c>
      <c r="F36" s="62">
        <v>300</v>
      </c>
      <c r="G36" s="62">
        <v>300</v>
      </c>
      <c r="H36" s="62">
        <v>300</v>
      </c>
      <c r="I36" s="62">
        <v>300</v>
      </c>
      <c r="J36" s="62">
        <v>300</v>
      </c>
      <c r="K36" s="62">
        <v>300</v>
      </c>
      <c r="L36" s="62">
        <v>300</v>
      </c>
      <c r="M36" s="62">
        <v>300</v>
      </c>
      <c r="N36" s="62">
        <f>373</f>
        <v>373</v>
      </c>
      <c r="O36" s="62">
        <f>373</f>
        <v>373</v>
      </c>
      <c r="P36" s="62">
        <f>373</f>
        <v>373</v>
      </c>
      <c r="Q36" s="62">
        <f>373</f>
        <v>373</v>
      </c>
      <c r="R36" s="62">
        <f>373</f>
        <v>373</v>
      </c>
      <c r="S36" s="62">
        <v>300</v>
      </c>
      <c r="T36" s="62">
        <v>300</v>
      </c>
      <c r="U36" s="62">
        <v>300</v>
      </c>
      <c r="V36" s="62">
        <v>300</v>
      </c>
      <c r="W36" s="62">
        <v>300</v>
      </c>
      <c r="X36" s="62">
        <v>300</v>
      </c>
      <c r="Y36" s="62">
        <v>300</v>
      </c>
      <c r="Z36" s="62">
        <v>300</v>
      </c>
      <c r="AA36" s="62">
        <v>300</v>
      </c>
      <c r="AB36" s="62">
        <v>300</v>
      </c>
      <c r="AC36" s="62">
        <v>300</v>
      </c>
      <c r="AD36" s="62">
        <v>300</v>
      </c>
      <c r="AE36" s="62">
        <v>300</v>
      </c>
      <c r="AF36" s="62">
        <v>300</v>
      </c>
      <c r="AG36" s="136">
        <v>85</v>
      </c>
      <c r="AH36" s="54">
        <f t="shared" si="2"/>
        <v>373</v>
      </c>
      <c r="AI36" s="55">
        <f t="shared" si="3"/>
        <v>300</v>
      </c>
      <c r="AK36" s="56"/>
    </row>
    <row r="37" spans="1:88" ht="15.75" thickBot="1" x14ac:dyDescent="0.3">
      <c r="A37" s="63" t="s">
        <v>21</v>
      </c>
      <c r="B37" s="64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136">
        <v>240</v>
      </c>
      <c r="AH37" s="54">
        <f t="shared" si="2"/>
        <v>0</v>
      </c>
      <c r="AI37" s="55">
        <f t="shared" si="3"/>
        <v>0</v>
      </c>
      <c r="AK37" s="56"/>
    </row>
    <row r="38" spans="1:88" ht="15.75" thickBot="1" x14ac:dyDescent="0.3">
      <c r="A38" s="131" t="s">
        <v>22</v>
      </c>
      <c r="B38" s="66">
        <f t="shared" ref="B38:AG38" si="4">SUM(B11:B36)</f>
        <v>820.8</v>
      </c>
      <c r="C38" s="66">
        <f t="shared" si="4"/>
        <v>810.8</v>
      </c>
      <c r="D38" s="66">
        <f t="shared" si="4"/>
        <v>797.8</v>
      </c>
      <c r="E38" s="66">
        <f t="shared" si="4"/>
        <v>790.8</v>
      </c>
      <c r="F38" s="66">
        <f t="shared" si="4"/>
        <v>796.8</v>
      </c>
      <c r="G38" s="66">
        <f t="shared" si="4"/>
        <v>796.8</v>
      </c>
      <c r="H38" s="66">
        <f t="shared" si="4"/>
        <v>796.8</v>
      </c>
      <c r="I38" s="66">
        <f t="shared" si="4"/>
        <v>796.8</v>
      </c>
      <c r="J38" s="66">
        <f t="shared" si="4"/>
        <v>806.8</v>
      </c>
      <c r="K38" s="66">
        <f t="shared" si="4"/>
        <v>816.8</v>
      </c>
      <c r="L38" s="66">
        <f t="shared" si="4"/>
        <v>821.8</v>
      </c>
      <c r="M38" s="66">
        <f t="shared" si="4"/>
        <v>817.8</v>
      </c>
      <c r="N38" s="66">
        <f t="shared" si="4"/>
        <v>890.9</v>
      </c>
      <c r="O38" s="66">
        <f t="shared" si="4"/>
        <v>893.9</v>
      </c>
      <c r="P38" s="66">
        <f t="shared" si="4"/>
        <v>893.9</v>
      </c>
      <c r="Q38" s="66">
        <f t="shared" si="4"/>
        <v>893.9</v>
      </c>
      <c r="R38" s="66">
        <f t="shared" si="4"/>
        <v>893.9</v>
      </c>
      <c r="S38" s="66">
        <f t="shared" si="4"/>
        <v>808.5</v>
      </c>
      <c r="T38" s="66">
        <f t="shared" si="4"/>
        <v>792</v>
      </c>
      <c r="U38" s="66">
        <f t="shared" si="4"/>
        <v>793.7</v>
      </c>
      <c r="V38" s="66">
        <f t="shared" si="4"/>
        <v>726.09999999999991</v>
      </c>
      <c r="W38" s="66">
        <f t="shared" si="4"/>
        <v>726.09999999999991</v>
      </c>
      <c r="X38" s="66">
        <f t="shared" si="4"/>
        <v>823.8</v>
      </c>
      <c r="Y38" s="66">
        <f t="shared" si="4"/>
        <v>823.8</v>
      </c>
      <c r="Z38" s="66">
        <f t="shared" si="4"/>
        <v>823.8</v>
      </c>
      <c r="AA38" s="66">
        <f t="shared" si="4"/>
        <v>829.8</v>
      </c>
      <c r="AB38" s="66">
        <f t="shared" si="4"/>
        <v>826.09999999999991</v>
      </c>
      <c r="AC38" s="66">
        <f t="shared" si="4"/>
        <v>826.09999999999991</v>
      </c>
      <c r="AD38" s="66">
        <f t="shared" si="4"/>
        <v>815.3</v>
      </c>
      <c r="AE38" s="66">
        <f t="shared" si="4"/>
        <v>823</v>
      </c>
      <c r="AF38" s="66">
        <f t="shared" ref="AF38" si="5">SUM(AF11:AF36)</f>
        <v>823</v>
      </c>
      <c r="AG38" s="143">
        <f t="shared" si="4"/>
        <v>665.78</v>
      </c>
      <c r="AH38" s="54">
        <f t="shared" si="2"/>
        <v>893.9</v>
      </c>
      <c r="AI38" s="55">
        <f t="shared" si="3"/>
        <v>726.09999999999991</v>
      </c>
      <c r="AK38" s="56"/>
    </row>
    <row r="39" spans="1:88" x14ac:dyDescent="0.25">
      <c r="A39" s="159" t="s">
        <v>130</v>
      </c>
      <c r="B39" s="50">
        <v>456</v>
      </c>
      <c r="C39" s="50">
        <v>456</v>
      </c>
      <c r="D39" s="50">
        <v>456</v>
      </c>
      <c r="E39" s="50">
        <v>456</v>
      </c>
      <c r="F39" s="50">
        <v>456</v>
      </c>
      <c r="G39" s="50">
        <v>456</v>
      </c>
      <c r="H39" s="50">
        <v>456</v>
      </c>
      <c r="I39" s="50">
        <v>456</v>
      </c>
      <c r="J39" s="50">
        <v>456</v>
      </c>
      <c r="K39" s="50">
        <v>456</v>
      </c>
      <c r="L39" s="50">
        <v>456</v>
      </c>
      <c r="M39" s="50">
        <v>456</v>
      </c>
      <c r="N39" s="50">
        <v>456</v>
      </c>
      <c r="O39" s="50">
        <v>456</v>
      </c>
      <c r="P39" s="50">
        <v>456</v>
      </c>
      <c r="Q39" s="50">
        <v>456</v>
      </c>
      <c r="R39" s="50">
        <v>456</v>
      </c>
      <c r="S39" s="50">
        <v>456</v>
      </c>
      <c r="T39" s="50">
        <v>456</v>
      </c>
      <c r="U39" s="50">
        <v>456</v>
      </c>
      <c r="V39" s="50">
        <v>456</v>
      </c>
      <c r="W39" s="50">
        <v>456</v>
      </c>
      <c r="X39" s="50">
        <v>456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456</v>
      </c>
      <c r="AF39" s="50">
        <v>456</v>
      </c>
      <c r="AG39" s="135">
        <v>456</v>
      </c>
      <c r="AH39" s="54">
        <f t="shared" si="2"/>
        <v>456</v>
      </c>
      <c r="AI39" s="55">
        <f t="shared" si="3"/>
        <v>456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f>SUM(B39:B41)</f>
        <v>538</v>
      </c>
      <c r="C42" s="66">
        <f t="shared" ref="C42:AG42" si="6">SUM(C39:C41)</f>
        <v>538</v>
      </c>
      <c r="D42" s="66">
        <f t="shared" si="6"/>
        <v>538</v>
      </c>
      <c r="E42" s="66">
        <f t="shared" si="6"/>
        <v>538</v>
      </c>
      <c r="F42" s="66">
        <f t="shared" si="6"/>
        <v>538</v>
      </c>
      <c r="G42" s="66">
        <f t="shared" si="6"/>
        <v>538</v>
      </c>
      <c r="H42" s="66">
        <f t="shared" si="6"/>
        <v>538</v>
      </c>
      <c r="I42" s="66">
        <f t="shared" si="6"/>
        <v>538</v>
      </c>
      <c r="J42" s="66">
        <f t="shared" si="6"/>
        <v>538</v>
      </c>
      <c r="K42" s="66">
        <f t="shared" si="6"/>
        <v>538</v>
      </c>
      <c r="L42" s="66">
        <f t="shared" si="6"/>
        <v>538</v>
      </c>
      <c r="M42" s="66">
        <f t="shared" si="6"/>
        <v>538</v>
      </c>
      <c r="N42" s="66">
        <f t="shared" si="6"/>
        <v>538</v>
      </c>
      <c r="O42" s="66">
        <f t="shared" si="6"/>
        <v>538</v>
      </c>
      <c r="P42" s="66">
        <f t="shared" si="6"/>
        <v>538</v>
      </c>
      <c r="Q42" s="66">
        <f t="shared" si="6"/>
        <v>538</v>
      </c>
      <c r="R42" s="66">
        <f t="shared" si="6"/>
        <v>538</v>
      </c>
      <c r="S42" s="66">
        <f t="shared" si="6"/>
        <v>538</v>
      </c>
      <c r="T42" s="66">
        <f t="shared" si="6"/>
        <v>538</v>
      </c>
      <c r="U42" s="66">
        <f t="shared" si="6"/>
        <v>538</v>
      </c>
      <c r="V42" s="66">
        <f t="shared" si="6"/>
        <v>538</v>
      </c>
      <c r="W42" s="66">
        <f t="shared" si="6"/>
        <v>538</v>
      </c>
      <c r="X42" s="66">
        <f t="shared" si="6"/>
        <v>538</v>
      </c>
      <c r="Y42" s="66">
        <f t="shared" si="6"/>
        <v>538</v>
      </c>
      <c r="Z42" s="66">
        <f t="shared" si="6"/>
        <v>538</v>
      </c>
      <c r="AA42" s="66">
        <f t="shared" si="6"/>
        <v>538</v>
      </c>
      <c r="AB42" s="66">
        <f t="shared" si="6"/>
        <v>538</v>
      </c>
      <c r="AC42" s="66">
        <f t="shared" si="6"/>
        <v>538</v>
      </c>
      <c r="AD42" s="66">
        <f t="shared" si="6"/>
        <v>538</v>
      </c>
      <c r="AE42" s="66">
        <f t="shared" si="6"/>
        <v>538</v>
      </c>
      <c r="AF42" s="66">
        <f t="shared" si="6"/>
        <v>538</v>
      </c>
      <c r="AG42" s="143">
        <f t="shared" si="6"/>
        <v>538.1</v>
      </c>
      <c r="AH42" s="54">
        <f t="shared" si="2"/>
        <v>538</v>
      </c>
      <c r="AI42" s="55">
        <f t="shared" si="3"/>
        <v>538</v>
      </c>
      <c r="AK42" s="56"/>
    </row>
    <row r="43" spans="1:88" x14ac:dyDescent="0.25">
      <c r="A43" s="57" t="s">
        <v>23</v>
      </c>
      <c r="B43" s="50">
        <v>141</v>
      </c>
      <c r="C43" s="50">
        <v>141</v>
      </c>
      <c r="D43" s="50">
        <v>141</v>
      </c>
      <c r="E43" s="50">
        <v>141</v>
      </c>
      <c r="F43" s="50">
        <v>141</v>
      </c>
      <c r="G43" s="50">
        <v>141</v>
      </c>
      <c r="H43" s="50">
        <v>141</v>
      </c>
      <c r="I43" s="50">
        <v>141</v>
      </c>
      <c r="J43" s="50">
        <v>141</v>
      </c>
      <c r="K43" s="50">
        <v>141</v>
      </c>
      <c r="L43" s="50">
        <v>141</v>
      </c>
      <c r="M43" s="50">
        <v>141</v>
      </c>
      <c r="N43" s="50">
        <v>141.19999999999999</v>
      </c>
      <c r="O43" s="50">
        <v>141.4</v>
      </c>
      <c r="P43" s="50">
        <v>141.4</v>
      </c>
      <c r="Q43" s="50">
        <v>141.4</v>
      </c>
      <c r="R43" s="50">
        <v>141.4</v>
      </c>
      <c r="S43" s="50">
        <v>136.1</v>
      </c>
      <c r="T43" s="50">
        <v>140</v>
      </c>
      <c r="U43" s="50">
        <v>141.30000000000001</v>
      </c>
      <c r="V43" s="50">
        <v>141.30000000000001</v>
      </c>
      <c r="W43" s="50">
        <v>141.30000000000001</v>
      </c>
      <c r="X43" s="50">
        <v>141.30000000000001</v>
      </c>
      <c r="Y43" s="50">
        <v>141.30000000000001</v>
      </c>
      <c r="Z43" s="50">
        <v>141.30000000000001</v>
      </c>
      <c r="AA43" s="50">
        <v>141.30000000000001</v>
      </c>
      <c r="AB43" s="50">
        <v>141.5</v>
      </c>
      <c r="AC43" s="50">
        <v>141.5</v>
      </c>
      <c r="AD43" s="50">
        <v>141.30000000000001</v>
      </c>
      <c r="AE43" s="50">
        <v>142.4</v>
      </c>
      <c r="AF43" s="50">
        <v>142.4</v>
      </c>
      <c r="AG43" s="135">
        <v>144</v>
      </c>
      <c r="AH43" s="54">
        <f t="shared" si="2"/>
        <v>142.4</v>
      </c>
      <c r="AI43" s="55">
        <f t="shared" si="3"/>
        <v>136.1</v>
      </c>
      <c r="AK43" s="56"/>
    </row>
    <row r="44" spans="1:88" x14ac:dyDescent="0.25">
      <c r="A44" s="60" t="s">
        <v>24</v>
      </c>
      <c r="B44" s="48">
        <v>73.7</v>
      </c>
      <c r="C44" s="48">
        <v>73.7</v>
      </c>
      <c r="D44" s="48">
        <v>73.7</v>
      </c>
      <c r="E44" s="48">
        <v>73.7</v>
      </c>
      <c r="F44" s="48">
        <v>73.7</v>
      </c>
      <c r="G44" s="48">
        <v>73.7</v>
      </c>
      <c r="H44" s="48">
        <v>73.7</v>
      </c>
      <c r="I44" s="48">
        <v>73.7</v>
      </c>
      <c r="J44" s="48">
        <v>73.7</v>
      </c>
      <c r="K44" s="48">
        <v>73.7</v>
      </c>
      <c r="L44" s="48">
        <v>73.7</v>
      </c>
      <c r="M44" s="48">
        <v>73.7</v>
      </c>
      <c r="N44" s="48">
        <v>71.400000000000006</v>
      </c>
      <c r="O44" s="48">
        <v>73.099999999999994</v>
      </c>
      <c r="P44" s="48">
        <v>73.099999999999994</v>
      </c>
      <c r="Q44" s="48">
        <v>73.099999999999994</v>
      </c>
      <c r="R44" s="48">
        <v>73.099999999999994</v>
      </c>
      <c r="S44" s="48">
        <v>73.099999999999994</v>
      </c>
      <c r="T44" s="48">
        <v>73.099999999999994</v>
      </c>
      <c r="U44" s="48">
        <v>73.099999999999994</v>
      </c>
      <c r="V44" s="48">
        <v>73.099999999999994</v>
      </c>
      <c r="W44" s="48">
        <v>73.099999999999994</v>
      </c>
      <c r="X44" s="48">
        <v>73.099999999999994</v>
      </c>
      <c r="Y44" s="48">
        <v>73.099999999999994</v>
      </c>
      <c r="Z44" s="48">
        <v>73.099999999999994</v>
      </c>
      <c r="AA44" s="48">
        <v>73.099999999999994</v>
      </c>
      <c r="AB44" s="48">
        <v>73.599999999999994</v>
      </c>
      <c r="AC44" s="48">
        <v>73.599999999999994</v>
      </c>
      <c r="AD44" s="48">
        <v>73.8</v>
      </c>
      <c r="AE44" s="48">
        <v>73.599999999999994</v>
      </c>
      <c r="AF44" s="48">
        <v>73.599999999999994</v>
      </c>
      <c r="AG44" s="136">
        <v>70</v>
      </c>
      <c r="AH44" s="54">
        <f t="shared" si="2"/>
        <v>73.8</v>
      </c>
      <c r="AI44" s="55">
        <f t="shared" si="3"/>
        <v>71.400000000000006</v>
      </c>
      <c r="AK44" s="56"/>
    </row>
    <row r="45" spans="1:88" x14ac:dyDescent="0.25">
      <c r="A45" s="60" t="s">
        <v>25</v>
      </c>
      <c r="B45" s="48">
        <v>63.7</v>
      </c>
      <c r="C45" s="48">
        <v>63.7</v>
      </c>
      <c r="D45" s="48">
        <v>63.7</v>
      </c>
      <c r="E45" s="48">
        <v>63.7</v>
      </c>
      <c r="F45" s="48">
        <v>63.7</v>
      </c>
      <c r="G45" s="48">
        <v>63.7</v>
      </c>
      <c r="H45" s="48">
        <v>63.7</v>
      </c>
      <c r="I45" s="48">
        <v>0</v>
      </c>
      <c r="J45" s="48">
        <v>0</v>
      </c>
      <c r="K45" s="48">
        <v>0</v>
      </c>
      <c r="L45" s="48">
        <v>0</v>
      </c>
      <c r="M45" s="48">
        <v>0</v>
      </c>
      <c r="N45" s="48">
        <v>0</v>
      </c>
      <c r="O45" s="48">
        <v>0</v>
      </c>
      <c r="P45" s="48">
        <v>0</v>
      </c>
      <c r="Q45" s="48">
        <v>0</v>
      </c>
      <c r="R45" s="48">
        <v>0</v>
      </c>
      <c r="S45" s="48">
        <v>63.6</v>
      </c>
      <c r="T45" s="48">
        <v>63.6</v>
      </c>
      <c r="U45" s="48">
        <v>63.6</v>
      </c>
      <c r="V45" s="48">
        <v>63.6</v>
      </c>
      <c r="W45" s="48">
        <v>63.6</v>
      </c>
      <c r="X45" s="48">
        <v>63.6</v>
      </c>
      <c r="Y45" s="48">
        <v>63.6</v>
      </c>
      <c r="Z45" s="48">
        <v>63.6</v>
      </c>
      <c r="AA45" s="48">
        <v>63.6</v>
      </c>
      <c r="AB45" s="48">
        <v>64.099999999999994</v>
      </c>
      <c r="AC45" s="48">
        <v>64.099999999999994</v>
      </c>
      <c r="AD45" s="48">
        <v>63.1</v>
      </c>
      <c r="AE45" s="48">
        <v>63.1</v>
      </c>
      <c r="AF45" s="48">
        <v>63.1</v>
      </c>
      <c r="AG45" s="136">
        <v>69</v>
      </c>
      <c r="AH45" s="54">
        <f t="shared" si="2"/>
        <v>64.099999999999994</v>
      </c>
      <c r="AI45" s="55">
        <f t="shared" si="3"/>
        <v>0</v>
      </c>
      <c r="AK45" s="56"/>
    </row>
    <row r="46" spans="1:88" x14ac:dyDescent="0.25">
      <c r="A46" s="60" t="s">
        <v>26</v>
      </c>
      <c r="B46" s="62">
        <v>61.34</v>
      </c>
      <c r="C46" s="62">
        <v>61.34</v>
      </c>
      <c r="D46" s="62">
        <v>61.34</v>
      </c>
      <c r="E46" s="62">
        <v>61.34</v>
      </c>
      <c r="F46" s="62">
        <v>61.34</v>
      </c>
      <c r="G46" s="62">
        <v>61.34</v>
      </c>
      <c r="H46" s="62">
        <v>61.34</v>
      </c>
      <c r="I46" s="62">
        <v>61.34</v>
      </c>
      <c r="J46" s="62">
        <v>61.34</v>
      </c>
      <c r="K46" s="62">
        <v>61.34</v>
      </c>
      <c r="L46" s="62">
        <v>61.34</v>
      </c>
      <c r="M46" s="62">
        <v>61.34</v>
      </c>
      <c r="N46" s="62">
        <v>61.34</v>
      </c>
      <c r="O46" s="62">
        <v>61.4</v>
      </c>
      <c r="P46" s="62">
        <v>61.4</v>
      </c>
      <c r="Q46" s="62">
        <v>61.4</v>
      </c>
      <c r="R46" s="62">
        <v>61.4</v>
      </c>
      <c r="S46" s="62">
        <v>61.4</v>
      </c>
      <c r="T46" s="62">
        <v>60</v>
      </c>
      <c r="U46" s="62">
        <v>60</v>
      </c>
      <c r="V46" s="62">
        <v>60</v>
      </c>
      <c r="W46" s="62">
        <v>60</v>
      </c>
      <c r="X46" s="62">
        <v>60</v>
      </c>
      <c r="Y46" s="62">
        <v>60</v>
      </c>
      <c r="Z46" s="62">
        <v>60</v>
      </c>
      <c r="AA46" s="48">
        <v>60</v>
      </c>
      <c r="AB46" s="62">
        <v>60.9</v>
      </c>
      <c r="AC46" s="62">
        <v>60.9</v>
      </c>
      <c r="AD46" s="62">
        <v>61.2</v>
      </c>
      <c r="AE46" s="62">
        <v>60.9</v>
      </c>
      <c r="AF46" s="62">
        <v>60.9</v>
      </c>
      <c r="AG46" s="136">
        <v>60</v>
      </c>
      <c r="AH46" s="54">
        <f t="shared" si="2"/>
        <v>61.4</v>
      </c>
      <c r="AI46" s="55">
        <f t="shared" si="3"/>
        <v>60</v>
      </c>
      <c r="AK46" s="56"/>
    </row>
    <row r="47" spans="1:88" x14ac:dyDescent="0.25">
      <c r="A47" s="60" t="s">
        <v>27</v>
      </c>
      <c r="B47" s="62">
        <v>28.7</v>
      </c>
      <c r="C47" s="62">
        <v>28.7</v>
      </c>
      <c r="D47" s="62">
        <v>28.7</v>
      </c>
      <c r="E47" s="62">
        <v>28.7</v>
      </c>
      <c r="F47" s="62">
        <v>28.7</v>
      </c>
      <c r="G47" s="62">
        <v>28.7</v>
      </c>
      <c r="H47" s="62">
        <v>28.7</v>
      </c>
      <c r="I47" s="62">
        <v>28.7</v>
      </c>
      <c r="J47" s="62">
        <v>28.7</v>
      </c>
      <c r="K47" s="62">
        <v>28.7</v>
      </c>
      <c r="L47" s="62">
        <v>28.7</v>
      </c>
      <c r="M47" s="62">
        <v>28.7</v>
      </c>
      <c r="N47" s="62">
        <v>28.7</v>
      </c>
      <c r="O47" s="62">
        <v>28.8</v>
      </c>
      <c r="P47" s="62">
        <v>28.8</v>
      </c>
      <c r="Q47" s="62">
        <v>28.8</v>
      </c>
      <c r="R47" s="62">
        <v>28.8</v>
      </c>
      <c r="S47" s="62">
        <v>0</v>
      </c>
      <c r="T47" s="62">
        <v>0</v>
      </c>
      <c r="U47" s="62">
        <v>14.6</v>
      </c>
      <c r="V47" s="62">
        <v>28.6</v>
      </c>
      <c r="W47" s="62">
        <v>28.6</v>
      </c>
      <c r="X47" s="62">
        <v>28.6</v>
      </c>
      <c r="Y47" s="62">
        <v>28.6</v>
      </c>
      <c r="Z47" s="62">
        <v>28.6</v>
      </c>
      <c r="AA47" s="48">
        <v>28.6</v>
      </c>
      <c r="AB47" s="62">
        <v>28.8</v>
      </c>
      <c r="AC47" s="62">
        <v>28.8</v>
      </c>
      <c r="AD47" s="62">
        <v>28.8</v>
      </c>
      <c r="AE47" s="62">
        <v>28.8</v>
      </c>
      <c r="AF47" s="62">
        <v>28.8</v>
      </c>
      <c r="AG47" s="136">
        <v>30</v>
      </c>
      <c r="AH47" s="54">
        <f t="shared" si="2"/>
        <v>28.8</v>
      </c>
      <c r="AI47" s="55">
        <f t="shared" si="3"/>
        <v>0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48">
        <v>0</v>
      </c>
      <c r="M48" s="48">
        <v>8</v>
      </c>
      <c r="N48" s="48">
        <v>8</v>
      </c>
      <c r="O48" s="48">
        <v>8</v>
      </c>
      <c r="P48" s="48">
        <v>8</v>
      </c>
      <c r="Q48" s="48">
        <v>8</v>
      </c>
      <c r="R48" s="48">
        <v>8</v>
      </c>
      <c r="S48" s="48">
        <v>8</v>
      </c>
      <c r="T48" s="48">
        <v>8</v>
      </c>
      <c r="U48" s="48">
        <v>8</v>
      </c>
      <c r="V48" s="48">
        <v>8</v>
      </c>
      <c r="W48" s="48">
        <v>8</v>
      </c>
      <c r="X48" s="48">
        <v>8</v>
      </c>
      <c r="Y48" s="48">
        <v>8</v>
      </c>
      <c r="Z48" s="48">
        <v>0</v>
      </c>
      <c r="AA48" s="50">
        <v>0</v>
      </c>
      <c r="AB48" s="48">
        <v>0</v>
      </c>
      <c r="AC48" s="48">
        <v>0</v>
      </c>
      <c r="AD48" s="48">
        <v>0</v>
      </c>
      <c r="AE48" s="48">
        <v>0</v>
      </c>
      <c r="AF48" s="48">
        <v>0</v>
      </c>
      <c r="AG48" s="136">
        <v>25</v>
      </c>
      <c r="AH48" s="54">
        <f t="shared" si="2"/>
        <v>8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14.8</v>
      </c>
      <c r="C49" s="48">
        <v>14.8</v>
      </c>
      <c r="D49" s="48">
        <v>14.8</v>
      </c>
      <c r="E49" s="48">
        <v>14.8</v>
      </c>
      <c r="F49" s="48">
        <v>14.8</v>
      </c>
      <c r="G49" s="48">
        <v>14.8</v>
      </c>
      <c r="H49" s="48">
        <v>14.8</v>
      </c>
      <c r="I49" s="48">
        <v>14.8</v>
      </c>
      <c r="J49" s="48">
        <v>14.8</v>
      </c>
      <c r="K49" s="48">
        <v>14.8</v>
      </c>
      <c r="L49" s="48">
        <v>14.8</v>
      </c>
      <c r="M49" s="48">
        <v>14.8</v>
      </c>
      <c r="N49" s="48">
        <v>14.8</v>
      </c>
      <c r="O49" s="48">
        <v>14.8</v>
      </c>
      <c r="P49" s="48">
        <v>14.8</v>
      </c>
      <c r="Q49" s="48">
        <v>14.8</v>
      </c>
      <c r="R49" s="48">
        <v>14.8</v>
      </c>
      <c r="S49" s="48">
        <v>14</v>
      </c>
      <c r="T49" s="48">
        <v>11.4</v>
      </c>
      <c r="U49" s="48">
        <v>13.4</v>
      </c>
      <c r="V49" s="48">
        <v>13.4</v>
      </c>
      <c r="W49" s="48">
        <v>13.4</v>
      </c>
      <c r="X49" s="48">
        <v>13.4</v>
      </c>
      <c r="Y49" s="48">
        <v>13.4</v>
      </c>
      <c r="Z49" s="48">
        <v>13.4</v>
      </c>
      <c r="AA49" s="50">
        <v>13.4</v>
      </c>
      <c r="AB49" s="48">
        <v>13.4</v>
      </c>
      <c r="AC49" s="48">
        <v>13.4</v>
      </c>
      <c r="AD49" s="48">
        <v>13.4</v>
      </c>
      <c r="AE49" s="48">
        <v>13.4</v>
      </c>
      <c r="AF49" s="48">
        <v>13.4</v>
      </c>
      <c r="AG49" s="136">
        <v>24</v>
      </c>
      <c r="AH49" s="54">
        <f t="shared" si="2"/>
        <v>14.8</v>
      </c>
      <c r="AI49" s="55">
        <f t="shared" si="3"/>
        <v>11.4</v>
      </c>
      <c r="AK49" s="56"/>
    </row>
    <row r="50" spans="1:41" x14ac:dyDescent="0.25">
      <c r="A50" s="60" t="s">
        <v>30</v>
      </c>
      <c r="B50" s="48">
        <v>3</v>
      </c>
      <c r="C50" s="48">
        <v>3</v>
      </c>
      <c r="D50" s="48">
        <v>3</v>
      </c>
      <c r="E50" s="48">
        <v>3</v>
      </c>
      <c r="F50" s="48">
        <v>3</v>
      </c>
      <c r="G50" s="48">
        <v>3</v>
      </c>
      <c r="H50" s="48">
        <v>3</v>
      </c>
      <c r="I50" s="48">
        <v>3</v>
      </c>
      <c r="J50" s="48">
        <v>3</v>
      </c>
      <c r="K50" s="48">
        <v>3</v>
      </c>
      <c r="L50" s="48">
        <v>3</v>
      </c>
      <c r="M50" s="48">
        <v>3</v>
      </c>
      <c r="N50" s="48">
        <v>3</v>
      </c>
      <c r="O50" s="48">
        <v>3</v>
      </c>
      <c r="P50" s="48">
        <v>3</v>
      </c>
      <c r="Q50" s="48">
        <v>3</v>
      </c>
      <c r="R50" s="48">
        <v>3</v>
      </c>
      <c r="S50" s="48">
        <v>3</v>
      </c>
      <c r="T50" s="48">
        <v>3</v>
      </c>
      <c r="U50" s="48">
        <v>3</v>
      </c>
      <c r="V50" s="48">
        <v>3</v>
      </c>
      <c r="W50" s="48">
        <v>3</v>
      </c>
      <c r="X50" s="48">
        <v>3</v>
      </c>
      <c r="Y50" s="48">
        <v>3</v>
      </c>
      <c r="Z50" s="48">
        <v>3</v>
      </c>
      <c r="AA50" s="50">
        <v>3</v>
      </c>
      <c r="AB50" s="48">
        <v>3</v>
      </c>
      <c r="AC50" s="48">
        <v>3</v>
      </c>
      <c r="AD50" s="48">
        <v>3</v>
      </c>
      <c r="AE50" s="48">
        <v>3</v>
      </c>
      <c r="AF50" s="48">
        <v>3</v>
      </c>
      <c r="AG50" s="136">
        <v>15</v>
      </c>
      <c r="AH50" s="54">
        <f t="shared" si="2"/>
        <v>3</v>
      </c>
      <c r="AI50" s="55">
        <f t="shared" si="3"/>
        <v>3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10.6</v>
      </c>
      <c r="C51" s="48">
        <v>10.6</v>
      </c>
      <c r="D51" s="48">
        <v>10.6</v>
      </c>
      <c r="E51" s="48">
        <v>10.6</v>
      </c>
      <c r="F51" s="48">
        <v>10.6</v>
      </c>
      <c r="G51" s="48">
        <v>10.6</v>
      </c>
      <c r="H51" s="48">
        <v>10.6</v>
      </c>
      <c r="I51" s="48">
        <v>10.6</v>
      </c>
      <c r="J51" s="48">
        <v>10.6</v>
      </c>
      <c r="K51" s="48">
        <v>10.6</v>
      </c>
      <c r="L51" s="48">
        <v>10.6</v>
      </c>
      <c r="M51" s="48">
        <v>10.6</v>
      </c>
      <c r="N51" s="48">
        <v>10.6</v>
      </c>
      <c r="O51" s="48">
        <v>10.6</v>
      </c>
      <c r="P51" s="48">
        <v>10.6</v>
      </c>
      <c r="Q51" s="48">
        <v>10.6</v>
      </c>
      <c r="R51" s="48">
        <v>10.6</v>
      </c>
      <c r="S51" s="48">
        <v>9.6999999999999993</v>
      </c>
      <c r="T51" s="48">
        <v>9.6999999999999993</v>
      </c>
      <c r="U51" s="48">
        <v>9.6999999999999993</v>
      </c>
      <c r="V51" s="48">
        <v>9.6999999999999993</v>
      </c>
      <c r="W51" s="48">
        <v>9.6999999999999993</v>
      </c>
      <c r="X51" s="48">
        <v>9.6999999999999993</v>
      </c>
      <c r="Y51" s="48">
        <v>9.6999999999999993</v>
      </c>
      <c r="Z51" s="48">
        <v>9.6999999999999993</v>
      </c>
      <c r="AA51" s="50">
        <v>9.6999999999999993</v>
      </c>
      <c r="AB51" s="48">
        <v>8.1999999999999993</v>
      </c>
      <c r="AC51" s="48">
        <v>8.1999999999999993</v>
      </c>
      <c r="AD51" s="48">
        <v>8.6</v>
      </c>
      <c r="AE51" s="48">
        <v>8.8000000000000007</v>
      </c>
      <c r="AF51" s="48">
        <v>8.8000000000000007</v>
      </c>
      <c r="AG51" s="136">
        <v>14.1</v>
      </c>
      <c r="AH51" s="54">
        <f t="shared" si="2"/>
        <v>10.6</v>
      </c>
      <c r="AI51" s="55">
        <f t="shared" si="3"/>
        <v>8.1999999999999993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13.9</v>
      </c>
      <c r="C52" s="48">
        <v>13.9</v>
      </c>
      <c r="D52" s="48">
        <v>4</v>
      </c>
      <c r="E52" s="48">
        <v>13.9</v>
      </c>
      <c r="F52" s="48">
        <v>13.9</v>
      </c>
      <c r="G52" s="48">
        <v>13.9</v>
      </c>
      <c r="H52" s="48">
        <v>13.9</v>
      </c>
      <c r="I52" s="48">
        <v>13.9</v>
      </c>
      <c r="J52" s="48">
        <v>13.9</v>
      </c>
      <c r="K52" s="48">
        <v>13.9</v>
      </c>
      <c r="L52" s="48">
        <v>13.9</v>
      </c>
      <c r="M52" s="48">
        <v>13.9</v>
      </c>
      <c r="N52" s="48">
        <v>13.9</v>
      </c>
      <c r="O52" s="48">
        <v>13.9</v>
      </c>
      <c r="P52" s="48">
        <v>13.9</v>
      </c>
      <c r="Q52" s="48">
        <v>13.9</v>
      </c>
      <c r="R52" s="48">
        <v>13.9</v>
      </c>
      <c r="S52" s="48">
        <v>14.1</v>
      </c>
      <c r="T52" s="48">
        <v>14</v>
      </c>
      <c r="U52" s="48">
        <v>14</v>
      </c>
      <c r="V52" s="48">
        <v>14</v>
      </c>
      <c r="W52" s="48">
        <v>14</v>
      </c>
      <c r="X52" s="48">
        <v>14</v>
      </c>
      <c r="Y52" s="48">
        <v>14</v>
      </c>
      <c r="Z52" s="48">
        <v>14</v>
      </c>
      <c r="AA52" s="50">
        <v>14</v>
      </c>
      <c r="AB52" s="48">
        <v>4.0999999999999996</v>
      </c>
      <c r="AC52" s="48">
        <v>4.0999999999999996</v>
      </c>
      <c r="AD52" s="48">
        <v>14</v>
      </c>
      <c r="AE52" s="48">
        <v>14</v>
      </c>
      <c r="AF52" s="48">
        <v>14</v>
      </c>
      <c r="AG52" s="136">
        <v>14</v>
      </c>
      <c r="AH52" s="54">
        <f t="shared" si="2"/>
        <v>14.1</v>
      </c>
      <c r="AI52" s="55">
        <f t="shared" si="3"/>
        <v>4</v>
      </c>
      <c r="AK52" s="56"/>
    </row>
    <row r="53" spans="1:41" x14ac:dyDescent="0.25">
      <c r="A53" s="60" t="s">
        <v>33</v>
      </c>
      <c r="B53" s="48">
        <v>6</v>
      </c>
      <c r="C53" s="48">
        <v>6</v>
      </c>
      <c r="D53" s="48">
        <v>6</v>
      </c>
      <c r="E53" s="48">
        <v>6</v>
      </c>
      <c r="F53" s="48">
        <v>6</v>
      </c>
      <c r="G53" s="48">
        <v>6</v>
      </c>
      <c r="H53" s="48">
        <v>6</v>
      </c>
      <c r="I53" s="48">
        <v>6</v>
      </c>
      <c r="J53" s="48">
        <v>6</v>
      </c>
      <c r="K53" s="48">
        <v>6</v>
      </c>
      <c r="L53" s="48">
        <v>6</v>
      </c>
      <c r="M53" s="48">
        <v>6</v>
      </c>
      <c r="N53" s="48">
        <v>6</v>
      </c>
      <c r="O53" s="48">
        <v>6</v>
      </c>
      <c r="P53" s="48">
        <v>6</v>
      </c>
      <c r="Q53" s="48">
        <v>6</v>
      </c>
      <c r="R53" s="48">
        <v>6</v>
      </c>
      <c r="S53" s="48">
        <v>6</v>
      </c>
      <c r="T53" s="48">
        <v>6</v>
      </c>
      <c r="U53" s="48">
        <v>6</v>
      </c>
      <c r="V53" s="48">
        <v>6</v>
      </c>
      <c r="W53" s="48">
        <v>6</v>
      </c>
      <c r="X53" s="48">
        <v>6</v>
      </c>
      <c r="Y53" s="48">
        <v>6</v>
      </c>
      <c r="Z53" s="48">
        <v>6</v>
      </c>
      <c r="AA53" s="50">
        <v>6</v>
      </c>
      <c r="AB53" s="48">
        <v>6</v>
      </c>
      <c r="AC53" s="48">
        <v>6</v>
      </c>
      <c r="AD53" s="48">
        <v>6</v>
      </c>
      <c r="AE53" s="48">
        <v>6</v>
      </c>
      <c r="AF53" s="48">
        <v>6</v>
      </c>
      <c r="AG53" s="136">
        <v>10.050000000000001</v>
      </c>
      <c r="AH53" s="54">
        <f t="shared" si="2"/>
        <v>6</v>
      </c>
      <c r="AI53" s="55">
        <f t="shared" si="3"/>
        <v>6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48">
        <v>6.2</v>
      </c>
      <c r="N54" s="48">
        <v>6.2</v>
      </c>
      <c r="O54" s="48">
        <v>6.2</v>
      </c>
      <c r="P54" s="48">
        <v>6.2</v>
      </c>
      <c r="Q54" s="48">
        <v>6.2</v>
      </c>
      <c r="R54" s="48">
        <v>6.2</v>
      </c>
      <c r="S54" s="48">
        <v>6.2</v>
      </c>
      <c r="T54" s="48">
        <v>6.2</v>
      </c>
      <c r="U54" s="48">
        <v>6.2</v>
      </c>
      <c r="V54" s="48">
        <v>6.2</v>
      </c>
      <c r="W54" s="48">
        <v>6.2</v>
      </c>
      <c r="X54" s="48">
        <v>6.2</v>
      </c>
      <c r="Y54" s="48">
        <v>6.2</v>
      </c>
      <c r="Z54" s="48">
        <v>6.2</v>
      </c>
      <c r="AA54" s="50">
        <v>6.2</v>
      </c>
      <c r="AB54" s="48">
        <v>6.2</v>
      </c>
      <c r="AC54" s="48">
        <v>6.2</v>
      </c>
      <c r="AD54" s="48">
        <v>6.2</v>
      </c>
      <c r="AE54" s="48">
        <v>6.2</v>
      </c>
      <c r="AF54" s="48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7">AG221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>SUM(B43:B55)</f>
        <v>426.48</v>
      </c>
      <c r="C56" s="66">
        <f t="shared" ref="C56:AG56" si="8">SUM(C43:C55)</f>
        <v>426.48</v>
      </c>
      <c r="D56" s="66">
        <f t="shared" si="8"/>
        <v>416.58000000000004</v>
      </c>
      <c r="E56" s="66">
        <f t="shared" si="8"/>
        <v>426.48</v>
      </c>
      <c r="F56" s="66">
        <f t="shared" si="8"/>
        <v>426.48</v>
      </c>
      <c r="G56" s="66">
        <f t="shared" si="8"/>
        <v>426.48</v>
      </c>
      <c r="H56" s="66">
        <f t="shared" si="8"/>
        <v>426.48</v>
      </c>
      <c r="I56" s="66">
        <f t="shared" si="8"/>
        <v>362.78</v>
      </c>
      <c r="J56" s="66">
        <f t="shared" si="8"/>
        <v>362.78</v>
      </c>
      <c r="K56" s="66">
        <f t="shared" si="8"/>
        <v>362.78</v>
      </c>
      <c r="L56" s="66">
        <f t="shared" si="8"/>
        <v>362.78</v>
      </c>
      <c r="M56" s="66">
        <f t="shared" si="8"/>
        <v>370.78</v>
      </c>
      <c r="N56" s="66">
        <f t="shared" si="8"/>
        <v>368.68</v>
      </c>
      <c r="O56" s="66">
        <f t="shared" si="8"/>
        <v>370.74</v>
      </c>
      <c r="P56" s="66">
        <f t="shared" si="8"/>
        <v>370.74</v>
      </c>
      <c r="Q56" s="66">
        <f t="shared" si="8"/>
        <v>370.74</v>
      </c>
      <c r="R56" s="66">
        <f t="shared" si="8"/>
        <v>370.74</v>
      </c>
      <c r="S56" s="66">
        <f t="shared" si="8"/>
        <v>398.74</v>
      </c>
      <c r="T56" s="66">
        <f t="shared" si="8"/>
        <v>398.53999999999996</v>
      </c>
      <c r="U56" s="66">
        <f t="shared" si="8"/>
        <v>416.44</v>
      </c>
      <c r="V56" s="66">
        <f t="shared" si="8"/>
        <v>430.44</v>
      </c>
      <c r="W56" s="66">
        <f t="shared" si="8"/>
        <v>430.44</v>
      </c>
      <c r="X56" s="66">
        <f t="shared" si="8"/>
        <v>430.44</v>
      </c>
      <c r="Y56" s="66">
        <f t="shared" si="8"/>
        <v>430.44</v>
      </c>
      <c r="Z56" s="66">
        <f t="shared" si="8"/>
        <v>422.44</v>
      </c>
      <c r="AA56" s="66">
        <f t="shared" si="8"/>
        <v>422.44</v>
      </c>
      <c r="AB56" s="66">
        <f t="shared" si="8"/>
        <v>413.34</v>
      </c>
      <c r="AC56" s="66">
        <f t="shared" si="8"/>
        <v>413.34</v>
      </c>
      <c r="AD56" s="66">
        <f t="shared" si="8"/>
        <v>422.94000000000005</v>
      </c>
      <c r="AE56" s="66">
        <f t="shared" si="8"/>
        <v>423.74</v>
      </c>
      <c r="AF56" s="66">
        <f t="shared" si="8"/>
        <v>423.74</v>
      </c>
      <c r="AG56" s="143">
        <f t="shared" si="8"/>
        <v>489.91</v>
      </c>
      <c r="AH56" s="54">
        <f t="shared" si="2"/>
        <v>430.44</v>
      </c>
      <c r="AI56" s="55">
        <f t="shared" si="3"/>
        <v>362.78</v>
      </c>
      <c r="AK56" s="56"/>
    </row>
    <row r="57" spans="1:41" x14ac:dyDescent="0.25">
      <c r="A57" s="57" t="s">
        <v>37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14</v>
      </c>
      <c r="O57" s="50">
        <v>20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43.1</v>
      </c>
      <c r="W57" s="50">
        <v>50.6</v>
      </c>
      <c r="X57" s="50">
        <v>0</v>
      </c>
      <c r="Y57" s="50">
        <v>0</v>
      </c>
      <c r="Z57" s="50">
        <v>0</v>
      </c>
      <c r="AA57" s="50">
        <v>34.200000000000003</v>
      </c>
      <c r="AB57" s="50">
        <v>20</v>
      </c>
      <c r="AC57" s="50">
        <v>10.199999999999999</v>
      </c>
      <c r="AD57" s="50">
        <v>10.199999999999999</v>
      </c>
      <c r="AE57" s="50">
        <v>20</v>
      </c>
      <c r="AF57" s="50">
        <v>0</v>
      </c>
      <c r="AG57" s="135">
        <v>60</v>
      </c>
      <c r="AH57" s="54">
        <f t="shared" si="2"/>
        <v>50.6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7</v>
      </c>
      <c r="O58" s="48">
        <v>12.3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11.8</v>
      </c>
      <c r="W58" s="48">
        <v>21.6</v>
      </c>
      <c r="X58" s="48">
        <v>0</v>
      </c>
      <c r="Y58" s="48">
        <v>0</v>
      </c>
      <c r="Z58" s="48">
        <v>0</v>
      </c>
      <c r="AA58" s="48">
        <v>15</v>
      </c>
      <c r="AB58" s="48">
        <v>15.3</v>
      </c>
      <c r="AC58" s="48">
        <v>4.4000000000000004</v>
      </c>
      <c r="AD58" s="48">
        <v>4.3</v>
      </c>
      <c r="AE58" s="48">
        <v>9.8000000000000007</v>
      </c>
      <c r="AF58" s="48">
        <v>0</v>
      </c>
      <c r="AG58" s="136">
        <v>32</v>
      </c>
      <c r="AH58" s="54">
        <f t="shared" si="2"/>
        <v>21.6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3</v>
      </c>
      <c r="O59" s="70">
        <v>4.5999999999999996</v>
      </c>
      <c r="P59" s="70">
        <v>0</v>
      </c>
      <c r="Q59" s="70">
        <v>0</v>
      </c>
      <c r="R59" s="70">
        <v>0</v>
      </c>
      <c r="S59" s="70">
        <v>0</v>
      </c>
      <c r="T59" s="70">
        <v>0</v>
      </c>
      <c r="U59" s="70">
        <v>0</v>
      </c>
      <c r="V59" s="70">
        <v>4.3</v>
      </c>
      <c r="W59" s="70">
        <v>7.9</v>
      </c>
      <c r="X59" s="70">
        <v>0</v>
      </c>
      <c r="Y59" s="70">
        <v>0</v>
      </c>
      <c r="Z59" s="70">
        <v>0</v>
      </c>
      <c r="AA59" s="70">
        <v>5.4</v>
      </c>
      <c r="AB59" s="70">
        <v>5.6</v>
      </c>
      <c r="AC59" s="70">
        <v>1.6</v>
      </c>
      <c r="AD59" s="70">
        <v>1.6</v>
      </c>
      <c r="AE59" s="70">
        <v>3.6</v>
      </c>
      <c r="AF59" s="70">
        <v>0</v>
      </c>
      <c r="AG59" s="137">
        <v>14</v>
      </c>
      <c r="AH59" s="54">
        <f t="shared" si="2"/>
        <v>7.9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>SUM(B57:B59)</f>
        <v>0</v>
      </c>
      <c r="C60" s="66">
        <f t="shared" ref="C60:AG60" si="9">SUM(C57:C59)</f>
        <v>0</v>
      </c>
      <c r="D60" s="66">
        <f t="shared" si="9"/>
        <v>0</v>
      </c>
      <c r="E60" s="66">
        <f t="shared" si="9"/>
        <v>0</v>
      </c>
      <c r="F60" s="66">
        <f t="shared" si="9"/>
        <v>0</v>
      </c>
      <c r="G60" s="66">
        <f t="shared" si="9"/>
        <v>0</v>
      </c>
      <c r="H60" s="66">
        <f t="shared" si="9"/>
        <v>0</v>
      </c>
      <c r="I60" s="66">
        <f t="shared" si="9"/>
        <v>0</v>
      </c>
      <c r="J60" s="66">
        <f t="shared" si="9"/>
        <v>0</v>
      </c>
      <c r="K60" s="66">
        <f t="shared" si="9"/>
        <v>0</v>
      </c>
      <c r="L60" s="66">
        <f t="shared" si="9"/>
        <v>0</v>
      </c>
      <c r="M60" s="66">
        <f t="shared" si="9"/>
        <v>0</v>
      </c>
      <c r="N60" s="66">
        <f t="shared" si="9"/>
        <v>24</v>
      </c>
      <c r="O60" s="66">
        <f t="shared" si="9"/>
        <v>36.9</v>
      </c>
      <c r="P60" s="66">
        <f t="shared" si="9"/>
        <v>0</v>
      </c>
      <c r="Q60" s="66">
        <f t="shared" si="9"/>
        <v>0</v>
      </c>
      <c r="R60" s="66">
        <f t="shared" si="9"/>
        <v>0</v>
      </c>
      <c r="S60" s="66">
        <f t="shared" si="9"/>
        <v>0</v>
      </c>
      <c r="T60" s="66">
        <f t="shared" si="9"/>
        <v>0</v>
      </c>
      <c r="U60" s="66">
        <f t="shared" si="9"/>
        <v>0</v>
      </c>
      <c r="V60" s="66">
        <f t="shared" si="9"/>
        <v>59.2</v>
      </c>
      <c r="W60" s="66">
        <f t="shared" si="9"/>
        <v>80.100000000000009</v>
      </c>
      <c r="X60" s="66">
        <f t="shared" si="9"/>
        <v>0</v>
      </c>
      <c r="Y60" s="66">
        <f t="shared" si="9"/>
        <v>0</v>
      </c>
      <c r="Z60" s="66">
        <f t="shared" si="9"/>
        <v>0</v>
      </c>
      <c r="AA60" s="66">
        <f t="shared" si="9"/>
        <v>54.6</v>
      </c>
      <c r="AB60" s="66">
        <f t="shared" si="9"/>
        <v>40.9</v>
      </c>
      <c r="AC60" s="66">
        <f t="shared" si="9"/>
        <v>16.2</v>
      </c>
      <c r="AD60" s="66">
        <f t="shared" si="9"/>
        <v>16.100000000000001</v>
      </c>
      <c r="AE60" s="66">
        <f t="shared" si="9"/>
        <v>33.4</v>
      </c>
      <c r="AF60" s="66">
        <f t="shared" si="9"/>
        <v>0</v>
      </c>
      <c r="AG60" s="143">
        <f t="shared" si="9"/>
        <v>106</v>
      </c>
      <c r="AH60" s="54">
        <f t="shared" si="2"/>
        <v>80.100000000000009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40.700000000000003</v>
      </c>
      <c r="C61" s="50">
        <v>34.5</v>
      </c>
      <c r="D61" s="50">
        <v>23.8</v>
      </c>
      <c r="E61" s="50">
        <v>24.5</v>
      </c>
      <c r="F61" s="50">
        <v>0</v>
      </c>
      <c r="G61" s="50">
        <v>0</v>
      </c>
      <c r="H61" s="50">
        <v>-0.9</v>
      </c>
      <c r="I61" s="50">
        <v>-4.4000000000000004</v>
      </c>
      <c r="J61" s="50">
        <v>0</v>
      </c>
      <c r="K61" s="50">
        <v>16.899999999999999</v>
      </c>
      <c r="L61" s="50">
        <v>16.600000000000001</v>
      </c>
      <c r="M61" s="50">
        <v>47.7</v>
      </c>
      <c r="N61" s="50">
        <v>48.9</v>
      </c>
      <c r="O61" s="50">
        <v>38.9</v>
      </c>
      <c r="P61" s="50">
        <v>60</v>
      </c>
      <c r="Q61" s="50">
        <v>60</v>
      </c>
      <c r="R61" s="50">
        <v>60</v>
      </c>
      <c r="S61" s="50">
        <v>34.4</v>
      </c>
      <c r="T61" s="50">
        <v>34.4</v>
      </c>
      <c r="U61" s="50">
        <v>17</v>
      </c>
      <c r="V61" s="50">
        <v>21.6</v>
      </c>
      <c r="W61" s="50">
        <v>22</v>
      </c>
      <c r="X61" s="50">
        <v>20.8</v>
      </c>
      <c r="Y61" s="50">
        <v>17.2</v>
      </c>
      <c r="Z61" s="50">
        <v>53.8</v>
      </c>
      <c r="AA61" s="50">
        <v>68</v>
      </c>
      <c r="AB61" s="50">
        <v>71</v>
      </c>
      <c r="AC61" s="50">
        <v>73.5</v>
      </c>
      <c r="AD61" s="50">
        <v>75.7</v>
      </c>
      <c r="AE61" s="50">
        <v>46.4</v>
      </c>
      <c r="AF61" s="50">
        <v>48.6</v>
      </c>
      <c r="AG61" s="135"/>
      <c r="AH61" s="54">
        <f t="shared" si="2"/>
        <v>75.7</v>
      </c>
      <c r="AI61" s="55">
        <f t="shared" si="3"/>
        <v>-4.4000000000000004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-356.4</v>
      </c>
      <c r="C63" s="48">
        <v>-352.2</v>
      </c>
      <c r="D63" s="48">
        <v>-352.2</v>
      </c>
      <c r="E63" s="48">
        <v>-384.8</v>
      </c>
      <c r="F63" s="48">
        <v>-385</v>
      </c>
      <c r="G63" s="48">
        <v>-388</v>
      </c>
      <c r="H63" s="48">
        <v>-412</v>
      </c>
      <c r="I63" s="48">
        <v>-376.2</v>
      </c>
      <c r="J63" s="48">
        <v>-368.1</v>
      </c>
      <c r="K63" s="48">
        <v>-377.4</v>
      </c>
      <c r="L63" s="48">
        <v>-321.2</v>
      </c>
      <c r="M63" s="48">
        <v>-367</v>
      </c>
      <c r="N63" s="48">
        <v>-377</v>
      </c>
      <c r="O63" s="48">
        <v>-340</v>
      </c>
      <c r="P63" s="48">
        <v>-349</v>
      </c>
      <c r="Q63" s="48">
        <v>-336</v>
      </c>
      <c r="R63" s="48">
        <v>-336</v>
      </c>
      <c r="S63" s="48">
        <v>-272</v>
      </c>
      <c r="T63" s="48">
        <v>-319</v>
      </c>
      <c r="U63" s="48">
        <v>-329</v>
      </c>
      <c r="V63" s="48">
        <v>-353</v>
      </c>
      <c r="W63" s="48">
        <v>-352</v>
      </c>
      <c r="X63" s="48">
        <v>-375</v>
      </c>
      <c r="Y63" s="48">
        <v>-318</v>
      </c>
      <c r="Z63" s="48">
        <v>-310</v>
      </c>
      <c r="AA63" s="48">
        <v>-262</v>
      </c>
      <c r="AB63" s="48">
        <v>-220</v>
      </c>
      <c r="AC63" s="48">
        <v>-275</v>
      </c>
      <c r="AD63" s="48">
        <v>-279</v>
      </c>
      <c r="AE63" s="48">
        <v>-315</v>
      </c>
      <c r="AF63" s="48">
        <v>-398</v>
      </c>
      <c r="AG63" s="140"/>
      <c r="AH63" s="54">
        <f t="shared" si="2"/>
        <v>-220</v>
      </c>
      <c r="AI63" s="55">
        <f t="shared" si="3"/>
        <v>-412</v>
      </c>
      <c r="AK63" s="56"/>
    </row>
    <row r="64" spans="1:41" x14ac:dyDescent="0.25">
      <c r="A64" s="60" t="s">
        <v>44</v>
      </c>
      <c r="B64" s="71">
        <v>0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10</v>
      </c>
      <c r="O64" s="71">
        <v>10</v>
      </c>
      <c r="P64" s="71">
        <v>10</v>
      </c>
      <c r="Q64" s="71">
        <v>10</v>
      </c>
      <c r="R64" s="71">
        <v>10</v>
      </c>
      <c r="S64" s="71">
        <v>10</v>
      </c>
      <c r="T64" s="71">
        <v>10</v>
      </c>
      <c r="U64" s="71">
        <v>10</v>
      </c>
      <c r="V64" s="71">
        <v>10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140"/>
      <c r="AH64" s="54">
        <f t="shared" si="2"/>
        <v>10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5</v>
      </c>
      <c r="C66" s="72">
        <v>5</v>
      </c>
      <c r="D66" s="72">
        <v>5</v>
      </c>
      <c r="E66" s="72">
        <v>5</v>
      </c>
      <c r="F66" s="72">
        <v>5</v>
      </c>
      <c r="G66" s="72">
        <v>0</v>
      </c>
      <c r="H66" s="72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0</v>
      </c>
      <c r="AD66" s="72">
        <v>0</v>
      </c>
      <c r="AE66" s="72">
        <v>0</v>
      </c>
      <c r="AF66" s="72">
        <v>0</v>
      </c>
      <c r="AG66" s="140"/>
      <c r="AH66" s="54">
        <f t="shared" si="2"/>
        <v>5</v>
      </c>
      <c r="AI66" s="55">
        <f t="shared" si="3"/>
        <v>0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1">
        <v>0</v>
      </c>
      <c r="D68" s="71">
        <v>0</v>
      </c>
      <c r="E68" s="71">
        <v>0</v>
      </c>
      <c r="F68" s="71">
        <v>0</v>
      </c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2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1">
        <v>0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2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4">
        <v>0</v>
      </c>
      <c r="C70" s="74">
        <v>0</v>
      </c>
      <c r="D70" s="74">
        <v>0</v>
      </c>
      <c r="E70" s="74">
        <v>0</v>
      </c>
      <c r="F70" s="74">
        <v>0</v>
      </c>
      <c r="G70" s="74">
        <v>0</v>
      </c>
      <c r="H70" s="74">
        <v>0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2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4">
        <v>0</v>
      </c>
      <c r="C71" s="74">
        <v>0</v>
      </c>
      <c r="D71" s="74">
        <v>0</v>
      </c>
      <c r="E71" s="74">
        <v>0</v>
      </c>
      <c r="F71" s="74">
        <v>0</v>
      </c>
      <c r="G71" s="74">
        <v>0</v>
      </c>
      <c r="H71" s="74">
        <v>0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2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>SUMIF(B61:B71,"&gt;0")</f>
        <v>45.7</v>
      </c>
      <c r="C72" s="66">
        <f t="shared" ref="C72:L72" si="10">SUMIF(C61:C71,"&gt;0")</f>
        <v>39.5</v>
      </c>
      <c r="D72" s="66">
        <f t="shared" si="10"/>
        <v>28.8</v>
      </c>
      <c r="E72" s="66">
        <f t="shared" si="10"/>
        <v>29.5</v>
      </c>
      <c r="F72" s="66">
        <f t="shared" si="10"/>
        <v>5</v>
      </c>
      <c r="G72" s="66">
        <f t="shared" si="10"/>
        <v>0</v>
      </c>
      <c r="H72" s="66">
        <f t="shared" si="10"/>
        <v>0</v>
      </c>
      <c r="I72" s="66">
        <f t="shared" si="10"/>
        <v>0</v>
      </c>
      <c r="J72" s="66">
        <f t="shared" si="10"/>
        <v>0</v>
      </c>
      <c r="K72" s="66">
        <f t="shared" si="10"/>
        <v>16.899999999999999</v>
      </c>
      <c r="L72" s="66">
        <f t="shared" si="10"/>
        <v>16.600000000000001</v>
      </c>
      <c r="M72" s="66">
        <f>SUMIF(M61:M71,"&gt;0")</f>
        <v>47.7</v>
      </c>
      <c r="N72" s="66">
        <f t="shared" ref="N72:AF72" si="11">SUMIF(N61:N71,"&gt;0")</f>
        <v>58.9</v>
      </c>
      <c r="O72" s="66">
        <f t="shared" si="11"/>
        <v>48.9</v>
      </c>
      <c r="P72" s="66">
        <f t="shared" si="11"/>
        <v>70</v>
      </c>
      <c r="Q72" s="66">
        <f t="shared" si="11"/>
        <v>70</v>
      </c>
      <c r="R72" s="66">
        <f t="shared" si="11"/>
        <v>70</v>
      </c>
      <c r="S72" s="66">
        <f t="shared" si="11"/>
        <v>44.4</v>
      </c>
      <c r="T72" s="66">
        <f t="shared" si="11"/>
        <v>44.4</v>
      </c>
      <c r="U72" s="66">
        <f t="shared" si="11"/>
        <v>27</v>
      </c>
      <c r="V72" s="66">
        <f t="shared" si="11"/>
        <v>31.6</v>
      </c>
      <c r="W72" s="66">
        <f t="shared" si="11"/>
        <v>22</v>
      </c>
      <c r="X72" s="66">
        <f t="shared" si="11"/>
        <v>20.8</v>
      </c>
      <c r="Y72" s="66">
        <f t="shared" si="11"/>
        <v>17.2</v>
      </c>
      <c r="Z72" s="66">
        <f t="shared" si="11"/>
        <v>53.8</v>
      </c>
      <c r="AA72" s="66">
        <f t="shared" si="11"/>
        <v>68</v>
      </c>
      <c r="AB72" s="66">
        <f t="shared" si="11"/>
        <v>71</v>
      </c>
      <c r="AC72" s="66">
        <f t="shared" si="11"/>
        <v>73.5</v>
      </c>
      <c r="AD72" s="66">
        <f t="shared" si="11"/>
        <v>75.7</v>
      </c>
      <c r="AE72" s="66">
        <f t="shared" si="11"/>
        <v>46.4</v>
      </c>
      <c r="AF72" s="66">
        <f t="shared" si="11"/>
        <v>48.6</v>
      </c>
      <c r="AG72" s="138">
        <f>SUM(AG61:AG71)</f>
        <v>0</v>
      </c>
      <c r="AH72" s="54">
        <f t="shared" si="2"/>
        <v>75.7</v>
      </c>
      <c r="AI72" s="55">
        <f t="shared" si="3"/>
        <v>0</v>
      </c>
      <c r="AK72" s="56"/>
    </row>
    <row r="73" spans="1:88" x14ac:dyDescent="0.25">
      <c r="A73" s="57" t="s">
        <v>53</v>
      </c>
      <c r="B73" s="71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/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/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>
        <v>0</v>
      </c>
      <c r="C75" s="74">
        <v>0</v>
      </c>
      <c r="D75" s="74">
        <v>0</v>
      </c>
      <c r="E75" s="74">
        <v>0</v>
      </c>
      <c r="F75" s="74">
        <v>0</v>
      </c>
      <c r="G75" s="74">
        <v>0</v>
      </c>
      <c r="H75" s="74">
        <v>0</v>
      </c>
      <c r="I75" s="74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/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>B38+B42+B60+B56+B72+B76</f>
        <v>1830.98</v>
      </c>
      <c r="C77" s="75">
        <f t="shared" ref="C77:AF77" si="12">C38+C42+C60+C56+C72+C76</f>
        <v>1814.78</v>
      </c>
      <c r="D77" s="75">
        <f t="shared" si="12"/>
        <v>1781.18</v>
      </c>
      <c r="E77" s="75">
        <f t="shared" si="12"/>
        <v>1784.78</v>
      </c>
      <c r="F77" s="75">
        <f t="shared" si="12"/>
        <v>1766.28</v>
      </c>
      <c r="G77" s="75">
        <f t="shared" si="12"/>
        <v>1761.28</v>
      </c>
      <c r="H77" s="75">
        <f t="shared" si="12"/>
        <v>1761.28</v>
      </c>
      <c r="I77" s="75">
        <f t="shared" si="12"/>
        <v>1697.58</v>
      </c>
      <c r="J77" s="75">
        <f t="shared" si="12"/>
        <v>1707.58</v>
      </c>
      <c r="K77" s="75">
        <f t="shared" si="12"/>
        <v>1734.48</v>
      </c>
      <c r="L77" s="75">
        <f t="shared" si="12"/>
        <v>1739.1799999999998</v>
      </c>
      <c r="M77" s="75">
        <f t="shared" si="12"/>
        <v>1774.28</v>
      </c>
      <c r="N77" s="75">
        <f t="shared" si="12"/>
        <v>1880.4800000000002</v>
      </c>
      <c r="O77" s="75">
        <f t="shared" si="12"/>
        <v>1888.4400000000003</v>
      </c>
      <c r="P77" s="75">
        <f t="shared" si="12"/>
        <v>1872.64</v>
      </c>
      <c r="Q77" s="75">
        <f t="shared" si="12"/>
        <v>1872.64</v>
      </c>
      <c r="R77" s="75">
        <f t="shared" si="12"/>
        <v>1872.64</v>
      </c>
      <c r="S77" s="75">
        <f t="shared" si="12"/>
        <v>1789.64</v>
      </c>
      <c r="T77" s="75">
        <f t="shared" si="12"/>
        <v>1772.94</v>
      </c>
      <c r="U77" s="75">
        <f t="shared" si="12"/>
        <v>1775.14</v>
      </c>
      <c r="V77" s="75">
        <f t="shared" si="12"/>
        <v>1785.34</v>
      </c>
      <c r="W77" s="75">
        <f t="shared" si="12"/>
        <v>1796.6399999999999</v>
      </c>
      <c r="X77" s="75">
        <f t="shared" si="12"/>
        <v>1813.04</v>
      </c>
      <c r="Y77" s="75">
        <f t="shared" si="12"/>
        <v>1809.44</v>
      </c>
      <c r="Z77" s="75">
        <f t="shared" si="12"/>
        <v>1838.04</v>
      </c>
      <c r="AA77" s="75">
        <f t="shared" si="12"/>
        <v>1912.84</v>
      </c>
      <c r="AB77" s="75">
        <f t="shared" si="12"/>
        <v>1889.34</v>
      </c>
      <c r="AC77" s="75">
        <f t="shared" si="12"/>
        <v>1867.1399999999999</v>
      </c>
      <c r="AD77" s="75">
        <f t="shared" si="12"/>
        <v>1868.04</v>
      </c>
      <c r="AE77" s="75">
        <f t="shared" si="12"/>
        <v>1864.5400000000002</v>
      </c>
      <c r="AF77" s="75">
        <f t="shared" si="12"/>
        <v>1833.34</v>
      </c>
      <c r="AG77" s="143">
        <f>AG38+AG42+AG60+AG56+AG72+AG76</f>
        <v>1855.1900000000003</v>
      </c>
      <c r="AH77" s="54">
        <f t="shared" si="2"/>
        <v>1912.84</v>
      </c>
      <c r="AI77" s="55">
        <f t="shared" si="3"/>
        <v>1697.58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0</v>
      </c>
      <c r="AI78" s="55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>B77+B78</f>
        <v>1830.98</v>
      </c>
      <c r="C79" s="75">
        <f t="shared" ref="C79:AF79" si="13">C77+C78</f>
        <v>1814.78</v>
      </c>
      <c r="D79" s="75">
        <f t="shared" si="13"/>
        <v>1781.18</v>
      </c>
      <c r="E79" s="75">
        <f t="shared" si="13"/>
        <v>1784.78</v>
      </c>
      <c r="F79" s="75">
        <f t="shared" si="13"/>
        <v>1766.28</v>
      </c>
      <c r="G79" s="75">
        <f t="shared" si="13"/>
        <v>1761.28</v>
      </c>
      <c r="H79" s="75">
        <f t="shared" si="13"/>
        <v>1761.28</v>
      </c>
      <c r="I79" s="75">
        <f t="shared" si="13"/>
        <v>1697.58</v>
      </c>
      <c r="J79" s="75">
        <f t="shared" si="13"/>
        <v>1707.58</v>
      </c>
      <c r="K79" s="75">
        <f t="shared" si="13"/>
        <v>1734.48</v>
      </c>
      <c r="L79" s="75">
        <f t="shared" si="13"/>
        <v>1739.1799999999998</v>
      </c>
      <c r="M79" s="75">
        <f t="shared" si="13"/>
        <v>1774.28</v>
      </c>
      <c r="N79" s="75">
        <f t="shared" si="13"/>
        <v>1880.4800000000002</v>
      </c>
      <c r="O79" s="75">
        <f t="shared" si="13"/>
        <v>1888.4400000000003</v>
      </c>
      <c r="P79" s="75">
        <f t="shared" si="13"/>
        <v>1872.64</v>
      </c>
      <c r="Q79" s="75">
        <f t="shared" si="13"/>
        <v>1872.64</v>
      </c>
      <c r="R79" s="75">
        <f t="shared" si="13"/>
        <v>1872.64</v>
      </c>
      <c r="S79" s="75">
        <f t="shared" si="13"/>
        <v>1789.64</v>
      </c>
      <c r="T79" s="75">
        <f t="shared" si="13"/>
        <v>1772.94</v>
      </c>
      <c r="U79" s="75">
        <f t="shared" si="13"/>
        <v>1775.14</v>
      </c>
      <c r="V79" s="75">
        <f t="shared" si="13"/>
        <v>1785.34</v>
      </c>
      <c r="W79" s="75">
        <f t="shared" si="13"/>
        <v>1796.6399999999999</v>
      </c>
      <c r="X79" s="75">
        <f t="shared" si="13"/>
        <v>1813.04</v>
      </c>
      <c r="Y79" s="75">
        <f t="shared" si="13"/>
        <v>1809.44</v>
      </c>
      <c r="Z79" s="75">
        <f t="shared" si="13"/>
        <v>1838.04</v>
      </c>
      <c r="AA79" s="75">
        <f t="shared" si="13"/>
        <v>1912.84</v>
      </c>
      <c r="AB79" s="75">
        <f t="shared" si="13"/>
        <v>1889.34</v>
      </c>
      <c r="AC79" s="75">
        <f t="shared" si="13"/>
        <v>1867.1399999999999</v>
      </c>
      <c r="AD79" s="75">
        <f t="shared" si="13"/>
        <v>1868.04</v>
      </c>
      <c r="AE79" s="75">
        <f t="shared" si="13"/>
        <v>1864.5400000000002</v>
      </c>
      <c r="AF79" s="75">
        <f t="shared" si="13"/>
        <v>1833.34</v>
      </c>
      <c r="AG79" s="138">
        <f>AG76+AG72+AG60+AG56+AG38+AG78</f>
        <v>1317.0900000000001</v>
      </c>
      <c r="AH79" s="54">
        <f t="shared" si="2"/>
        <v>1912.84</v>
      </c>
      <c r="AI79" s="55">
        <f t="shared" si="3"/>
        <v>1697.58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:AF80" si="14">B79-B87</f>
        <v>1474.58</v>
      </c>
      <c r="C80" s="75">
        <f t="shared" si="14"/>
        <v>1462.58</v>
      </c>
      <c r="D80" s="75">
        <f t="shared" si="14"/>
        <v>1428.98</v>
      </c>
      <c r="E80" s="75">
        <f t="shared" si="14"/>
        <v>1399.98</v>
      </c>
      <c r="F80" s="75">
        <f t="shared" si="14"/>
        <v>1381.28</v>
      </c>
      <c r="G80" s="75">
        <f t="shared" si="14"/>
        <v>1373.28</v>
      </c>
      <c r="H80" s="75">
        <f t="shared" si="14"/>
        <v>1348.38</v>
      </c>
      <c r="I80" s="75">
        <f t="shared" si="14"/>
        <v>1316.98</v>
      </c>
      <c r="J80" s="75">
        <f t="shared" si="14"/>
        <v>1339.48</v>
      </c>
      <c r="K80" s="75">
        <f t="shared" si="14"/>
        <v>1357.08</v>
      </c>
      <c r="L80" s="75">
        <f t="shared" si="14"/>
        <v>1417.9799999999998</v>
      </c>
      <c r="M80" s="75">
        <f t="shared" si="14"/>
        <v>1407.28</v>
      </c>
      <c r="N80" s="75">
        <f t="shared" si="14"/>
        <v>1503.4800000000002</v>
      </c>
      <c r="O80" s="75">
        <f t="shared" si="14"/>
        <v>1548.4400000000003</v>
      </c>
      <c r="P80" s="75">
        <f t="shared" si="14"/>
        <v>1523.64</v>
      </c>
      <c r="Q80" s="75">
        <f t="shared" si="14"/>
        <v>1536.64</v>
      </c>
      <c r="R80" s="75">
        <f t="shared" si="14"/>
        <v>1536.64</v>
      </c>
      <c r="S80" s="75">
        <f t="shared" si="14"/>
        <v>1517.64</v>
      </c>
      <c r="T80" s="75">
        <f t="shared" si="14"/>
        <v>1453.94</v>
      </c>
      <c r="U80" s="75">
        <f t="shared" si="14"/>
        <v>1446.14</v>
      </c>
      <c r="V80" s="75">
        <f t="shared" si="14"/>
        <v>1432.34</v>
      </c>
      <c r="W80" s="75">
        <f t="shared" si="14"/>
        <v>1444.6399999999999</v>
      </c>
      <c r="X80" s="75">
        <f t="shared" si="14"/>
        <v>1438.04</v>
      </c>
      <c r="Y80" s="75">
        <f t="shared" si="14"/>
        <v>1491.44</v>
      </c>
      <c r="Z80" s="75">
        <f t="shared" si="14"/>
        <v>1528.04</v>
      </c>
      <c r="AA80" s="75">
        <f t="shared" si="14"/>
        <v>1650.84</v>
      </c>
      <c r="AB80" s="75">
        <f t="shared" si="14"/>
        <v>1669.34</v>
      </c>
      <c r="AC80" s="75">
        <f t="shared" si="14"/>
        <v>1592.1399999999999</v>
      </c>
      <c r="AD80" s="75">
        <f t="shared" si="14"/>
        <v>1589.04</v>
      </c>
      <c r="AE80" s="75">
        <f t="shared" si="14"/>
        <v>1549.5400000000002</v>
      </c>
      <c r="AF80" s="75">
        <f t="shared" si="14"/>
        <v>1435.34</v>
      </c>
      <c r="AG80" s="138"/>
      <c r="AH80" s="54">
        <f t="shared" ref="AH80:AH97" si="15">MAX(B80:AF80)</f>
        <v>1669.34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>IF(B64&lt;0,B64*-1,0)</f>
        <v>0</v>
      </c>
      <c r="C81" s="71">
        <f t="shared" ref="C81:AF81" si="16">IF(C64&lt;0,C64*-1,0)</f>
        <v>0</v>
      </c>
      <c r="D81" s="71">
        <f t="shared" si="16"/>
        <v>0</v>
      </c>
      <c r="E81" s="71">
        <f t="shared" si="16"/>
        <v>0</v>
      </c>
      <c r="F81" s="71">
        <f t="shared" si="16"/>
        <v>0</v>
      </c>
      <c r="G81" s="71">
        <f t="shared" si="16"/>
        <v>0</v>
      </c>
      <c r="H81" s="71">
        <f t="shared" si="16"/>
        <v>0</v>
      </c>
      <c r="I81" s="71">
        <f t="shared" si="16"/>
        <v>0</v>
      </c>
      <c r="J81" s="71">
        <f t="shared" si="16"/>
        <v>0</v>
      </c>
      <c r="K81" s="71">
        <f t="shared" si="16"/>
        <v>0</v>
      </c>
      <c r="L81" s="71">
        <f t="shared" si="16"/>
        <v>0</v>
      </c>
      <c r="M81" s="71">
        <f t="shared" si="16"/>
        <v>0</v>
      </c>
      <c r="N81" s="71">
        <f t="shared" si="16"/>
        <v>0</v>
      </c>
      <c r="O81" s="71">
        <f t="shared" si="16"/>
        <v>0</v>
      </c>
      <c r="P81" s="71">
        <f t="shared" si="16"/>
        <v>0</v>
      </c>
      <c r="Q81" s="71">
        <f t="shared" si="16"/>
        <v>0</v>
      </c>
      <c r="R81" s="71">
        <f t="shared" si="16"/>
        <v>0</v>
      </c>
      <c r="S81" s="71">
        <f t="shared" si="16"/>
        <v>0</v>
      </c>
      <c r="T81" s="71">
        <f t="shared" si="16"/>
        <v>0</v>
      </c>
      <c r="U81" s="71">
        <f t="shared" si="16"/>
        <v>0</v>
      </c>
      <c r="V81" s="71">
        <f t="shared" si="16"/>
        <v>0</v>
      </c>
      <c r="W81" s="71">
        <f t="shared" si="16"/>
        <v>0</v>
      </c>
      <c r="X81" s="71">
        <f t="shared" si="16"/>
        <v>0</v>
      </c>
      <c r="Y81" s="71">
        <f t="shared" si="16"/>
        <v>0</v>
      </c>
      <c r="Z81" s="71">
        <f t="shared" si="16"/>
        <v>0</v>
      </c>
      <c r="AA81" s="71">
        <f t="shared" si="16"/>
        <v>0</v>
      </c>
      <c r="AB81" s="71">
        <f t="shared" si="16"/>
        <v>0</v>
      </c>
      <c r="AC81" s="71">
        <f t="shared" si="16"/>
        <v>0</v>
      </c>
      <c r="AD81" s="71">
        <f t="shared" si="16"/>
        <v>0</v>
      </c>
      <c r="AE81" s="71">
        <f t="shared" si="16"/>
        <v>0</v>
      </c>
      <c r="AF81" s="71">
        <f t="shared" si="16"/>
        <v>0</v>
      </c>
      <c r="AG81" s="135"/>
      <c r="AH81" s="54">
        <f t="shared" si="15"/>
        <v>0</v>
      </c>
      <c r="AI81" s="55">
        <f t="shared" ref="AI81:AI97" si="17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>IF(B62&lt;0,B62*-1,0)</f>
        <v>0</v>
      </c>
      <c r="C82" s="71">
        <f t="shared" ref="C82:AF82" si="18">IF(C62&lt;0,C62*-1,0)</f>
        <v>0</v>
      </c>
      <c r="D82" s="71">
        <f t="shared" si="18"/>
        <v>0</v>
      </c>
      <c r="E82" s="71">
        <f t="shared" si="18"/>
        <v>0</v>
      </c>
      <c r="F82" s="71">
        <f t="shared" si="18"/>
        <v>0</v>
      </c>
      <c r="G82" s="71">
        <f t="shared" si="18"/>
        <v>0</v>
      </c>
      <c r="H82" s="71">
        <f t="shared" si="18"/>
        <v>0</v>
      </c>
      <c r="I82" s="71">
        <f t="shared" si="18"/>
        <v>0</v>
      </c>
      <c r="J82" s="71">
        <f t="shared" si="18"/>
        <v>0</v>
      </c>
      <c r="K82" s="71">
        <f t="shared" si="18"/>
        <v>0</v>
      </c>
      <c r="L82" s="71">
        <f t="shared" si="18"/>
        <v>0</v>
      </c>
      <c r="M82" s="71">
        <f t="shared" si="18"/>
        <v>0</v>
      </c>
      <c r="N82" s="71">
        <f t="shared" si="18"/>
        <v>0</v>
      </c>
      <c r="O82" s="71">
        <f t="shared" si="18"/>
        <v>0</v>
      </c>
      <c r="P82" s="71">
        <f t="shared" si="18"/>
        <v>0</v>
      </c>
      <c r="Q82" s="71">
        <f t="shared" si="18"/>
        <v>0</v>
      </c>
      <c r="R82" s="71">
        <f t="shared" si="18"/>
        <v>0</v>
      </c>
      <c r="S82" s="71">
        <f t="shared" si="18"/>
        <v>0</v>
      </c>
      <c r="T82" s="71">
        <f t="shared" si="18"/>
        <v>0</v>
      </c>
      <c r="U82" s="71">
        <f t="shared" si="18"/>
        <v>0</v>
      </c>
      <c r="V82" s="71">
        <f t="shared" si="18"/>
        <v>0</v>
      </c>
      <c r="W82" s="71">
        <f t="shared" si="18"/>
        <v>0</v>
      </c>
      <c r="X82" s="71">
        <f t="shared" si="18"/>
        <v>0</v>
      </c>
      <c r="Y82" s="71">
        <f t="shared" si="18"/>
        <v>0</v>
      </c>
      <c r="Z82" s="71">
        <f t="shared" si="18"/>
        <v>0</v>
      </c>
      <c r="AA82" s="71">
        <f t="shared" si="18"/>
        <v>0</v>
      </c>
      <c r="AB82" s="71">
        <f t="shared" si="18"/>
        <v>0</v>
      </c>
      <c r="AC82" s="71">
        <f t="shared" si="18"/>
        <v>0</v>
      </c>
      <c r="AD82" s="71">
        <f t="shared" si="18"/>
        <v>0</v>
      </c>
      <c r="AE82" s="71">
        <f t="shared" si="18"/>
        <v>0</v>
      </c>
      <c r="AF82" s="71">
        <f t="shared" si="18"/>
        <v>0</v>
      </c>
      <c r="AG82" s="136"/>
      <c r="AH82" s="54">
        <f t="shared" si="15"/>
        <v>0</v>
      </c>
      <c r="AI82" s="55">
        <f t="shared" si="17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>IF(B65&lt;0,B65*-1,0)</f>
        <v>0</v>
      </c>
      <c r="C83" s="71">
        <f t="shared" ref="C83:AF83" si="19">IF(C65&lt;0,C65*-1,0)</f>
        <v>0</v>
      </c>
      <c r="D83" s="71">
        <f t="shared" si="19"/>
        <v>0</v>
      </c>
      <c r="E83" s="71">
        <f t="shared" si="19"/>
        <v>0</v>
      </c>
      <c r="F83" s="71">
        <f t="shared" si="19"/>
        <v>0</v>
      </c>
      <c r="G83" s="71">
        <f t="shared" si="19"/>
        <v>0</v>
      </c>
      <c r="H83" s="71">
        <f t="shared" si="19"/>
        <v>0</v>
      </c>
      <c r="I83" s="71">
        <f t="shared" si="19"/>
        <v>0</v>
      </c>
      <c r="J83" s="71">
        <f t="shared" si="19"/>
        <v>0</v>
      </c>
      <c r="K83" s="71">
        <f t="shared" si="19"/>
        <v>0</v>
      </c>
      <c r="L83" s="71">
        <f t="shared" si="19"/>
        <v>0</v>
      </c>
      <c r="M83" s="71">
        <f t="shared" si="19"/>
        <v>0</v>
      </c>
      <c r="N83" s="71">
        <f t="shared" si="19"/>
        <v>0</v>
      </c>
      <c r="O83" s="71">
        <f t="shared" si="19"/>
        <v>0</v>
      </c>
      <c r="P83" s="71">
        <f t="shared" si="19"/>
        <v>0</v>
      </c>
      <c r="Q83" s="71">
        <f t="shared" si="19"/>
        <v>0</v>
      </c>
      <c r="R83" s="71">
        <f t="shared" si="19"/>
        <v>0</v>
      </c>
      <c r="S83" s="71">
        <f t="shared" si="19"/>
        <v>0</v>
      </c>
      <c r="T83" s="71">
        <f t="shared" si="19"/>
        <v>0</v>
      </c>
      <c r="U83" s="71">
        <f t="shared" si="19"/>
        <v>0</v>
      </c>
      <c r="V83" s="71">
        <f t="shared" si="19"/>
        <v>0</v>
      </c>
      <c r="W83" s="71">
        <f t="shared" si="19"/>
        <v>0</v>
      </c>
      <c r="X83" s="71">
        <f t="shared" si="19"/>
        <v>0</v>
      </c>
      <c r="Y83" s="71">
        <f t="shared" si="19"/>
        <v>0</v>
      </c>
      <c r="Z83" s="71">
        <f t="shared" si="19"/>
        <v>0</v>
      </c>
      <c r="AA83" s="71">
        <f t="shared" si="19"/>
        <v>0</v>
      </c>
      <c r="AB83" s="71">
        <f t="shared" si="19"/>
        <v>0</v>
      </c>
      <c r="AC83" s="71">
        <f t="shared" si="19"/>
        <v>0</v>
      </c>
      <c r="AD83" s="71">
        <f t="shared" si="19"/>
        <v>0</v>
      </c>
      <c r="AE83" s="71">
        <f t="shared" si="19"/>
        <v>0</v>
      </c>
      <c r="AF83" s="71">
        <f t="shared" si="19"/>
        <v>0</v>
      </c>
      <c r="AG83" s="144"/>
      <c r="AH83" s="54">
        <f t="shared" si="15"/>
        <v>0</v>
      </c>
      <c r="AI83" s="55">
        <f t="shared" si="17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>IF(B63&lt;0,B63*-1,0)</f>
        <v>356.4</v>
      </c>
      <c r="C84" s="71">
        <f t="shared" ref="C84:AF84" si="20">IF(C63&lt;0,C63*-1,0)</f>
        <v>352.2</v>
      </c>
      <c r="D84" s="71">
        <f t="shared" si="20"/>
        <v>352.2</v>
      </c>
      <c r="E84" s="71">
        <f t="shared" si="20"/>
        <v>384.8</v>
      </c>
      <c r="F84" s="71">
        <f t="shared" si="20"/>
        <v>385</v>
      </c>
      <c r="G84" s="71">
        <f t="shared" si="20"/>
        <v>388</v>
      </c>
      <c r="H84" s="71">
        <f t="shared" si="20"/>
        <v>412</v>
      </c>
      <c r="I84" s="71">
        <f t="shared" si="20"/>
        <v>376.2</v>
      </c>
      <c r="J84" s="71">
        <f t="shared" si="20"/>
        <v>368.1</v>
      </c>
      <c r="K84" s="71">
        <f t="shared" si="20"/>
        <v>377.4</v>
      </c>
      <c r="L84" s="71">
        <f t="shared" si="20"/>
        <v>321.2</v>
      </c>
      <c r="M84" s="71">
        <f t="shared" si="20"/>
        <v>367</v>
      </c>
      <c r="N84" s="71">
        <f t="shared" si="20"/>
        <v>377</v>
      </c>
      <c r="O84" s="71">
        <f t="shared" si="20"/>
        <v>340</v>
      </c>
      <c r="P84" s="71">
        <f t="shared" si="20"/>
        <v>349</v>
      </c>
      <c r="Q84" s="71">
        <f t="shared" si="20"/>
        <v>336</v>
      </c>
      <c r="R84" s="71">
        <f t="shared" si="20"/>
        <v>336</v>
      </c>
      <c r="S84" s="71">
        <f t="shared" si="20"/>
        <v>272</v>
      </c>
      <c r="T84" s="71">
        <f t="shared" si="20"/>
        <v>319</v>
      </c>
      <c r="U84" s="71">
        <f t="shared" si="20"/>
        <v>329</v>
      </c>
      <c r="V84" s="71">
        <f t="shared" si="20"/>
        <v>353</v>
      </c>
      <c r="W84" s="71">
        <f t="shared" si="20"/>
        <v>352</v>
      </c>
      <c r="X84" s="71">
        <f t="shared" si="20"/>
        <v>375</v>
      </c>
      <c r="Y84" s="71">
        <f t="shared" si="20"/>
        <v>318</v>
      </c>
      <c r="Z84" s="71">
        <f t="shared" si="20"/>
        <v>310</v>
      </c>
      <c r="AA84" s="71">
        <f t="shared" si="20"/>
        <v>262</v>
      </c>
      <c r="AB84" s="71">
        <f t="shared" si="20"/>
        <v>220</v>
      </c>
      <c r="AC84" s="71">
        <f t="shared" si="20"/>
        <v>275</v>
      </c>
      <c r="AD84" s="71">
        <f t="shared" si="20"/>
        <v>279</v>
      </c>
      <c r="AE84" s="71">
        <f t="shared" si="20"/>
        <v>315</v>
      </c>
      <c r="AF84" s="71">
        <f t="shared" si="20"/>
        <v>398</v>
      </c>
      <c r="AG84" s="144"/>
      <c r="AH84" s="54">
        <f t="shared" si="15"/>
        <v>412</v>
      </c>
      <c r="AI84" s="55">
        <f t="shared" si="17"/>
        <v>220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>IF(B61&lt;0,B61*-1,0)</f>
        <v>0</v>
      </c>
      <c r="C85" s="71">
        <f t="shared" ref="C85:AF85" si="21">IF(C61&lt;0,C61*-1,0)</f>
        <v>0</v>
      </c>
      <c r="D85" s="71">
        <f t="shared" si="21"/>
        <v>0</v>
      </c>
      <c r="E85" s="71">
        <f t="shared" si="21"/>
        <v>0</v>
      </c>
      <c r="F85" s="71">
        <f t="shared" si="21"/>
        <v>0</v>
      </c>
      <c r="G85" s="71">
        <f t="shared" si="21"/>
        <v>0</v>
      </c>
      <c r="H85" s="71">
        <f t="shared" si="21"/>
        <v>0.9</v>
      </c>
      <c r="I85" s="71">
        <f t="shared" si="21"/>
        <v>4.4000000000000004</v>
      </c>
      <c r="J85" s="71">
        <f t="shared" si="21"/>
        <v>0</v>
      </c>
      <c r="K85" s="71">
        <f t="shared" si="21"/>
        <v>0</v>
      </c>
      <c r="L85" s="71">
        <f t="shared" si="21"/>
        <v>0</v>
      </c>
      <c r="M85" s="71">
        <f t="shared" si="21"/>
        <v>0</v>
      </c>
      <c r="N85" s="71">
        <f t="shared" si="21"/>
        <v>0</v>
      </c>
      <c r="O85" s="71">
        <f t="shared" si="21"/>
        <v>0</v>
      </c>
      <c r="P85" s="71">
        <f t="shared" si="21"/>
        <v>0</v>
      </c>
      <c r="Q85" s="71">
        <f t="shared" si="21"/>
        <v>0</v>
      </c>
      <c r="R85" s="71">
        <f t="shared" si="21"/>
        <v>0</v>
      </c>
      <c r="S85" s="71">
        <f t="shared" si="21"/>
        <v>0</v>
      </c>
      <c r="T85" s="71">
        <f t="shared" si="21"/>
        <v>0</v>
      </c>
      <c r="U85" s="71">
        <f t="shared" si="21"/>
        <v>0</v>
      </c>
      <c r="V85" s="71">
        <f t="shared" si="21"/>
        <v>0</v>
      </c>
      <c r="W85" s="71">
        <f t="shared" si="21"/>
        <v>0</v>
      </c>
      <c r="X85" s="71">
        <f t="shared" si="21"/>
        <v>0</v>
      </c>
      <c r="Y85" s="71">
        <f t="shared" si="21"/>
        <v>0</v>
      </c>
      <c r="Z85" s="71">
        <f t="shared" si="21"/>
        <v>0</v>
      </c>
      <c r="AA85" s="71">
        <f t="shared" si="21"/>
        <v>0</v>
      </c>
      <c r="AB85" s="71">
        <f t="shared" si="21"/>
        <v>0</v>
      </c>
      <c r="AC85" s="71">
        <f t="shared" si="21"/>
        <v>0</v>
      </c>
      <c r="AD85" s="71">
        <f t="shared" si="21"/>
        <v>0</v>
      </c>
      <c r="AE85" s="71">
        <f t="shared" si="21"/>
        <v>0</v>
      </c>
      <c r="AF85" s="71">
        <f t="shared" si="21"/>
        <v>0</v>
      </c>
      <c r="AG85" s="144"/>
      <c r="AH85" s="54">
        <f t="shared" si="15"/>
        <v>4.4000000000000004</v>
      </c>
      <c r="AI85" s="55">
        <f t="shared" si="17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/>
      <c r="AD86" s="74"/>
      <c r="AE86" s="74"/>
      <c r="AF86" s="74"/>
      <c r="AG86" s="141"/>
      <c r="AH86" s="54">
        <f t="shared" si="15"/>
        <v>0</v>
      </c>
      <c r="AI86" s="55">
        <f t="shared" si="17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>SUM(B81:B86)</f>
        <v>356.4</v>
      </c>
      <c r="C87" s="66">
        <f t="shared" ref="C87:AF87" si="22">SUM(C81:C86)</f>
        <v>352.2</v>
      </c>
      <c r="D87" s="66">
        <f t="shared" si="22"/>
        <v>352.2</v>
      </c>
      <c r="E87" s="66">
        <f t="shared" si="22"/>
        <v>384.8</v>
      </c>
      <c r="F87" s="66">
        <f t="shared" si="22"/>
        <v>385</v>
      </c>
      <c r="G87" s="66">
        <f t="shared" si="22"/>
        <v>388</v>
      </c>
      <c r="H87" s="66">
        <f t="shared" si="22"/>
        <v>412.9</v>
      </c>
      <c r="I87" s="66">
        <f t="shared" si="22"/>
        <v>380.59999999999997</v>
      </c>
      <c r="J87" s="66">
        <f t="shared" si="22"/>
        <v>368.1</v>
      </c>
      <c r="K87" s="66">
        <f t="shared" si="22"/>
        <v>377.4</v>
      </c>
      <c r="L87" s="66">
        <f t="shared" si="22"/>
        <v>321.2</v>
      </c>
      <c r="M87" s="66">
        <f t="shared" si="22"/>
        <v>367</v>
      </c>
      <c r="N87" s="66">
        <f t="shared" si="22"/>
        <v>377</v>
      </c>
      <c r="O87" s="66">
        <f t="shared" si="22"/>
        <v>340</v>
      </c>
      <c r="P87" s="66">
        <f t="shared" si="22"/>
        <v>349</v>
      </c>
      <c r="Q87" s="66">
        <f t="shared" si="22"/>
        <v>336</v>
      </c>
      <c r="R87" s="66">
        <f t="shared" si="22"/>
        <v>336</v>
      </c>
      <c r="S87" s="66">
        <f t="shared" si="22"/>
        <v>272</v>
      </c>
      <c r="T87" s="66">
        <f t="shared" si="22"/>
        <v>319</v>
      </c>
      <c r="U87" s="66">
        <f t="shared" si="22"/>
        <v>329</v>
      </c>
      <c r="V87" s="66">
        <f t="shared" si="22"/>
        <v>353</v>
      </c>
      <c r="W87" s="66">
        <f t="shared" si="22"/>
        <v>352</v>
      </c>
      <c r="X87" s="66">
        <f t="shared" si="22"/>
        <v>375</v>
      </c>
      <c r="Y87" s="66">
        <f t="shared" si="22"/>
        <v>318</v>
      </c>
      <c r="Z87" s="66">
        <f t="shared" si="22"/>
        <v>310</v>
      </c>
      <c r="AA87" s="66">
        <f t="shared" si="22"/>
        <v>262</v>
      </c>
      <c r="AB87" s="66">
        <f t="shared" si="22"/>
        <v>220</v>
      </c>
      <c r="AC87" s="66">
        <f t="shared" si="22"/>
        <v>275</v>
      </c>
      <c r="AD87" s="66">
        <f t="shared" si="22"/>
        <v>279</v>
      </c>
      <c r="AE87" s="66">
        <f t="shared" si="22"/>
        <v>315</v>
      </c>
      <c r="AF87" s="66">
        <f t="shared" si="22"/>
        <v>398</v>
      </c>
      <c r="AG87" s="138"/>
      <c r="AH87" s="54">
        <f t="shared" si="15"/>
        <v>412.9</v>
      </c>
      <c r="AI87" s="55">
        <f t="shared" si="17"/>
        <v>220</v>
      </c>
      <c r="AK87" s="56"/>
    </row>
    <row r="88" spans="1:88" s="1" customFormat="1" ht="15.75" thickBot="1" x14ac:dyDescent="0.3">
      <c r="A88" s="65" t="s">
        <v>64</v>
      </c>
      <c r="B88" s="66">
        <f>B72-B87</f>
        <v>-310.7</v>
      </c>
      <c r="C88" s="66">
        <f t="shared" ref="C88:AF88" si="23">C72-C87</f>
        <v>-312.7</v>
      </c>
      <c r="D88" s="66">
        <f t="shared" si="23"/>
        <v>-323.39999999999998</v>
      </c>
      <c r="E88" s="66">
        <f t="shared" si="23"/>
        <v>-355.3</v>
      </c>
      <c r="F88" s="66">
        <f t="shared" si="23"/>
        <v>-380</v>
      </c>
      <c r="G88" s="66">
        <f t="shared" si="23"/>
        <v>-388</v>
      </c>
      <c r="H88" s="66">
        <f t="shared" si="23"/>
        <v>-412.9</v>
      </c>
      <c r="I88" s="66">
        <f t="shared" si="23"/>
        <v>-380.59999999999997</v>
      </c>
      <c r="J88" s="66">
        <f t="shared" si="23"/>
        <v>-368.1</v>
      </c>
      <c r="K88" s="66">
        <f t="shared" si="23"/>
        <v>-360.5</v>
      </c>
      <c r="L88" s="66">
        <f t="shared" si="23"/>
        <v>-304.59999999999997</v>
      </c>
      <c r="M88" s="66">
        <f t="shared" si="23"/>
        <v>-319.3</v>
      </c>
      <c r="N88" s="66">
        <f t="shared" si="23"/>
        <v>-318.10000000000002</v>
      </c>
      <c r="O88" s="66">
        <f t="shared" si="23"/>
        <v>-291.10000000000002</v>
      </c>
      <c r="P88" s="66">
        <f t="shared" si="23"/>
        <v>-279</v>
      </c>
      <c r="Q88" s="66">
        <f t="shared" si="23"/>
        <v>-266</v>
      </c>
      <c r="R88" s="66">
        <f t="shared" si="23"/>
        <v>-266</v>
      </c>
      <c r="S88" s="66">
        <f t="shared" si="23"/>
        <v>-227.6</v>
      </c>
      <c r="T88" s="66">
        <f t="shared" si="23"/>
        <v>-274.60000000000002</v>
      </c>
      <c r="U88" s="66">
        <f t="shared" si="23"/>
        <v>-302</v>
      </c>
      <c r="V88" s="66">
        <f t="shared" si="23"/>
        <v>-321.39999999999998</v>
      </c>
      <c r="W88" s="66">
        <f t="shared" si="23"/>
        <v>-330</v>
      </c>
      <c r="X88" s="66">
        <f t="shared" si="23"/>
        <v>-354.2</v>
      </c>
      <c r="Y88" s="66">
        <f t="shared" si="23"/>
        <v>-300.8</v>
      </c>
      <c r="Z88" s="66">
        <f t="shared" si="23"/>
        <v>-256.2</v>
      </c>
      <c r="AA88" s="66">
        <f t="shared" si="23"/>
        <v>-194</v>
      </c>
      <c r="AB88" s="66">
        <f t="shared" si="23"/>
        <v>-149</v>
      </c>
      <c r="AC88" s="66">
        <f t="shared" si="23"/>
        <v>-201.5</v>
      </c>
      <c r="AD88" s="66">
        <f t="shared" si="23"/>
        <v>-203.3</v>
      </c>
      <c r="AE88" s="66">
        <f t="shared" si="23"/>
        <v>-268.60000000000002</v>
      </c>
      <c r="AF88" s="66">
        <f t="shared" si="23"/>
        <v>-349.4</v>
      </c>
      <c r="AG88" s="138"/>
      <c r="AH88" s="54">
        <f t="shared" si="15"/>
        <v>-149</v>
      </c>
      <c r="AI88" s="55">
        <f t="shared" si="17"/>
        <v>-412.9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49.945999999999998</v>
      </c>
      <c r="C89" s="80">
        <v>50.027000000000001</v>
      </c>
      <c r="D89" s="80">
        <v>49.881999999999998</v>
      </c>
      <c r="E89" s="80">
        <v>50.02</v>
      </c>
      <c r="F89" s="80">
        <v>50.057000000000002</v>
      </c>
      <c r="G89" s="80">
        <v>49.999000000000002</v>
      </c>
      <c r="H89" s="80">
        <v>50.021999999999998</v>
      </c>
      <c r="I89" s="80">
        <v>50.052999999999997</v>
      </c>
      <c r="J89" s="80">
        <v>50.052999999999997</v>
      </c>
      <c r="K89" s="80">
        <v>49.868000000000002</v>
      </c>
      <c r="L89" s="80">
        <v>50.012</v>
      </c>
      <c r="M89" s="80">
        <v>49.94</v>
      </c>
      <c r="N89" s="80">
        <v>50.01</v>
      </c>
      <c r="O89" s="80">
        <v>49.98</v>
      </c>
      <c r="P89" s="80">
        <v>49.87</v>
      </c>
      <c r="Q89" s="80">
        <v>50.1</v>
      </c>
      <c r="R89" s="80">
        <v>50.1</v>
      </c>
      <c r="S89" s="80">
        <v>49.99</v>
      </c>
      <c r="T89" s="80">
        <v>49.999000000000002</v>
      </c>
      <c r="U89" s="80">
        <v>49.970999999999997</v>
      </c>
      <c r="V89" s="80">
        <v>50.015999999999998</v>
      </c>
      <c r="W89" s="80">
        <v>50.000999999999998</v>
      </c>
      <c r="X89" s="80">
        <v>49.933</v>
      </c>
      <c r="Y89" s="80">
        <v>49.905999999999999</v>
      </c>
      <c r="Z89" s="80">
        <v>50.026000000000003</v>
      </c>
      <c r="AA89" s="80">
        <v>49.713999999999999</v>
      </c>
      <c r="AB89" s="80">
        <v>49.7</v>
      </c>
      <c r="AC89" s="80">
        <v>49.904000000000003</v>
      </c>
      <c r="AD89" s="80">
        <v>49.91</v>
      </c>
      <c r="AE89" s="80">
        <v>49.96</v>
      </c>
      <c r="AF89" s="80">
        <v>49.97</v>
      </c>
      <c r="AG89" s="145"/>
      <c r="AH89" s="54">
        <f t="shared" si="15"/>
        <v>50.1</v>
      </c>
      <c r="AI89" s="55">
        <f t="shared" si="17"/>
        <v>49.7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125.1</v>
      </c>
      <c r="C90" s="48">
        <v>123.5</v>
      </c>
      <c r="D90" s="48">
        <v>123.1</v>
      </c>
      <c r="E90" s="48">
        <v>124.1</v>
      </c>
      <c r="F90" s="48">
        <v>124</v>
      </c>
      <c r="G90" s="48">
        <v>123.9</v>
      </c>
      <c r="H90" s="48">
        <v>125.4</v>
      </c>
      <c r="I90" s="48">
        <v>126.8</v>
      </c>
      <c r="J90" s="48">
        <v>126.8</v>
      </c>
      <c r="K90" s="48">
        <v>124.4</v>
      </c>
      <c r="L90" s="48">
        <v>122.4</v>
      </c>
      <c r="M90" s="48">
        <v>123</v>
      </c>
      <c r="N90" s="48">
        <v>124.1</v>
      </c>
      <c r="O90" s="48">
        <v>123</v>
      </c>
      <c r="P90" s="48">
        <v>122.5</v>
      </c>
      <c r="Q90" s="48">
        <v>122.4</v>
      </c>
      <c r="R90" s="48">
        <v>122.4</v>
      </c>
      <c r="S90" s="48">
        <v>124.8</v>
      </c>
      <c r="T90" s="48">
        <v>121.7</v>
      </c>
      <c r="U90" s="48">
        <v>122.6</v>
      </c>
      <c r="V90" s="48">
        <v>125.4</v>
      </c>
      <c r="W90" s="48">
        <v>125</v>
      </c>
      <c r="X90" s="48">
        <v>124.9</v>
      </c>
      <c r="Y90" s="48">
        <v>123.2</v>
      </c>
      <c r="Z90" s="48">
        <v>123.2</v>
      </c>
      <c r="AA90" s="48">
        <v>123</v>
      </c>
      <c r="AB90" s="48">
        <v>123.7</v>
      </c>
      <c r="AC90" s="48">
        <v>124.7</v>
      </c>
      <c r="AD90" s="48">
        <v>122.9</v>
      </c>
      <c r="AE90" s="48">
        <v>123.9</v>
      </c>
      <c r="AF90" s="48">
        <v>123.9</v>
      </c>
      <c r="AG90" s="146"/>
      <c r="AH90" s="54">
        <f t="shared" si="15"/>
        <v>126.8</v>
      </c>
      <c r="AI90" s="55">
        <f t="shared" si="17"/>
        <v>121.7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129.80000000000001</v>
      </c>
      <c r="C91" s="48">
        <v>128.6</v>
      </c>
      <c r="D91" s="48">
        <v>128.30000000000001</v>
      </c>
      <c r="E91" s="48">
        <v>129.19999999999999</v>
      </c>
      <c r="F91" s="48">
        <v>129.19999999999999</v>
      </c>
      <c r="G91" s="48">
        <v>128.80000000000001</v>
      </c>
      <c r="H91" s="48">
        <v>129.6</v>
      </c>
      <c r="I91" s="48">
        <v>129.9</v>
      </c>
      <c r="J91" s="48">
        <v>129.9</v>
      </c>
      <c r="K91" s="48">
        <v>127.9</v>
      </c>
      <c r="L91" s="48">
        <v>126.2</v>
      </c>
      <c r="M91" s="48">
        <v>126.5</v>
      </c>
      <c r="N91" s="48">
        <v>127.5</v>
      </c>
      <c r="O91" s="48">
        <v>126.9</v>
      </c>
      <c r="P91" s="48">
        <v>126.5</v>
      </c>
      <c r="Q91" s="48">
        <v>126.6</v>
      </c>
      <c r="R91" s="48">
        <v>126.6</v>
      </c>
      <c r="S91" s="48">
        <v>127.6</v>
      </c>
      <c r="T91" s="48">
        <v>125.7</v>
      </c>
      <c r="U91" s="48">
        <v>126.3</v>
      </c>
      <c r="V91" s="48">
        <v>128</v>
      </c>
      <c r="W91" s="48">
        <v>128</v>
      </c>
      <c r="X91" s="48">
        <v>127.9</v>
      </c>
      <c r="Y91" s="48">
        <v>126.8</v>
      </c>
      <c r="Z91" s="48">
        <v>126.5</v>
      </c>
      <c r="AA91" s="48">
        <v>127</v>
      </c>
      <c r="AB91" s="48">
        <v>128</v>
      </c>
      <c r="AC91" s="48">
        <v>128.80000000000001</v>
      </c>
      <c r="AD91" s="48">
        <v>127.8</v>
      </c>
      <c r="AE91" s="48">
        <v>128.69999999999999</v>
      </c>
      <c r="AF91" s="48">
        <v>128.69999999999999</v>
      </c>
      <c r="AG91" s="146"/>
      <c r="AH91" s="54">
        <f t="shared" si="15"/>
        <v>129.9</v>
      </c>
      <c r="AI91" s="55">
        <f t="shared" si="17"/>
        <v>125.7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129.5</v>
      </c>
      <c r="C92" s="48">
        <v>128.9</v>
      </c>
      <c r="D92" s="48">
        <v>128.69999999999999</v>
      </c>
      <c r="E92" s="48">
        <v>129.5</v>
      </c>
      <c r="F92" s="48">
        <v>130.1</v>
      </c>
      <c r="G92" s="48">
        <v>130.9</v>
      </c>
      <c r="H92" s="48">
        <v>132.30000000000001</v>
      </c>
      <c r="I92" s="48">
        <v>131.1</v>
      </c>
      <c r="J92" s="48">
        <v>131.1</v>
      </c>
      <c r="K92" s="48">
        <v>129.30000000000001</v>
      </c>
      <c r="L92" s="48">
        <v>129.4</v>
      </c>
      <c r="M92" s="48">
        <v>127</v>
      </c>
      <c r="N92" s="48">
        <v>128.69999999999999</v>
      </c>
      <c r="O92" s="48">
        <v>130.1</v>
      </c>
      <c r="P92" s="48">
        <v>127.2</v>
      </c>
      <c r="Q92" s="48">
        <v>129.19999999999999</v>
      </c>
      <c r="R92" s="48">
        <v>129.19999999999999</v>
      </c>
      <c r="S92" s="48">
        <v>130.1</v>
      </c>
      <c r="T92" s="48">
        <v>128.1</v>
      </c>
      <c r="U92" s="48">
        <v>128.4</v>
      </c>
      <c r="V92" s="48">
        <v>130</v>
      </c>
      <c r="W92" s="48">
        <v>128.5</v>
      </c>
      <c r="X92" s="48">
        <v>128.4</v>
      </c>
      <c r="Y92" s="48">
        <v>127.5</v>
      </c>
      <c r="Z92" s="48">
        <v>128.1</v>
      </c>
      <c r="AA92" s="48">
        <v>129</v>
      </c>
      <c r="AB92" s="48">
        <v>128.6</v>
      </c>
      <c r="AC92" s="48">
        <v>128.1</v>
      </c>
      <c r="AD92" s="48">
        <v>127.4</v>
      </c>
      <c r="AE92" s="48">
        <v>128.1</v>
      </c>
      <c r="AF92" s="48">
        <v>128.1</v>
      </c>
      <c r="AG92" s="146"/>
      <c r="AH92" s="54">
        <f t="shared" si="15"/>
        <v>132.30000000000001</v>
      </c>
      <c r="AI92" s="55">
        <f t="shared" si="17"/>
        <v>127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146"/>
      <c r="AH93" s="54">
        <f t="shared" si="15"/>
        <v>0</v>
      </c>
      <c r="AI93" s="55">
        <f t="shared" si="17"/>
        <v>0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133.1</v>
      </c>
      <c r="C94" s="82">
        <v>132.5</v>
      </c>
      <c r="D94" s="82">
        <v>132.1</v>
      </c>
      <c r="E94" s="82">
        <v>134.69999999999999</v>
      </c>
      <c r="F94" s="82">
        <v>132.4</v>
      </c>
      <c r="G94" s="82">
        <v>130.1</v>
      </c>
      <c r="H94" s="82">
        <v>131.5</v>
      </c>
      <c r="I94" s="82">
        <v>134.69999999999999</v>
      </c>
      <c r="J94" s="82">
        <v>134.69999999999999</v>
      </c>
      <c r="K94" s="82">
        <v>133.6</v>
      </c>
      <c r="L94" s="82">
        <v>130.9</v>
      </c>
      <c r="M94" s="82">
        <v>131.69999999999999</v>
      </c>
      <c r="N94" s="82">
        <v>132.80000000000001</v>
      </c>
      <c r="O94" s="82">
        <v>131.4</v>
      </c>
      <c r="P94" s="82">
        <v>132.80000000000001</v>
      </c>
      <c r="Q94" s="82">
        <v>133.69999999999999</v>
      </c>
      <c r="R94" s="82">
        <v>133.69999999999999</v>
      </c>
      <c r="S94" s="82">
        <v>136.19999999999999</v>
      </c>
      <c r="T94" s="82">
        <v>132.80000000000001</v>
      </c>
      <c r="U94" s="82">
        <v>131.4</v>
      </c>
      <c r="V94" s="82">
        <v>134.69999999999999</v>
      </c>
      <c r="W94" s="82">
        <v>134.6</v>
      </c>
      <c r="X94" s="82">
        <v>134.19999999999999</v>
      </c>
      <c r="Y94" s="82">
        <v>134.30000000000001</v>
      </c>
      <c r="Z94" s="82">
        <v>132.30000000000001</v>
      </c>
      <c r="AA94" s="82">
        <v>133</v>
      </c>
      <c r="AB94" s="82">
        <v>131.4</v>
      </c>
      <c r="AC94" s="82">
        <v>131.80000000000001</v>
      </c>
      <c r="AD94" s="82">
        <v>131.4</v>
      </c>
      <c r="AE94" s="82">
        <v>130.9</v>
      </c>
      <c r="AF94" s="82">
        <v>130.9</v>
      </c>
      <c r="AG94" s="147"/>
      <c r="AH94" s="54">
        <f t="shared" si="15"/>
        <v>136.19999999999999</v>
      </c>
      <c r="AI94" s="55">
        <f t="shared" si="17"/>
        <v>130.1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127.1</v>
      </c>
      <c r="C95" s="48">
        <v>128.1</v>
      </c>
      <c r="D95" s="48">
        <v>129.1</v>
      </c>
      <c r="E95" s="48">
        <v>132.5</v>
      </c>
      <c r="F95" s="48">
        <v>129</v>
      </c>
      <c r="G95" s="48">
        <v>125</v>
      </c>
      <c r="H95" s="48">
        <v>127.4</v>
      </c>
      <c r="I95" s="48">
        <v>133.30000000000001</v>
      </c>
      <c r="J95" s="48">
        <v>133.30000000000001</v>
      </c>
      <c r="K95" s="48">
        <v>133.1</v>
      </c>
      <c r="L95" s="48">
        <v>127.7</v>
      </c>
      <c r="M95" s="48">
        <v>127.5</v>
      </c>
      <c r="N95" s="48">
        <v>130</v>
      </c>
      <c r="O95" s="48">
        <v>132.1</v>
      </c>
      <c r="P95" s="48">
        <v>130.4</v>
      </c>
      <c r="Q95" s="48">
        <v>128.30000000000001</v>
      </c>
      <c r="R95" s="48">
        <v>128.30000000000001</v>
      </c>
      <c r="S95" s="48">
        <v>131.30000000000001</v>
      </c>
      <c r="T95" s="48">
        <v>126.7</v>
      </c>
      <c r="U95" s="48">
        <v>121.8</v>
      </c>
      <c r="V95" s="48">
        <v>132.69999999999999</v>
      </c>
      <c r="W95" s="48">
        <v>131</v>
      </c>
      <c r="X95" s="48">
        <v>132.4</v>
      </c>
      <c r="Y95" s="48">
        <v>130.69999999999999</v>
      </c>
      <c r="Z95" s="48">
        <v>127</v>
      </c>
      <c r="AA95" s="48">
        <v>125</v>
      </c>
      <c r="AB95" s="48">
        <v>134.80000000000001</v>
      </c>
      <c r="AC95" s="48">
        <v>125.5</v>
      </c>
      <c r="AD95" s="48">
        <v>129.1</v>
      </c>
      <c r="AE95" s="48">
        <v>123.1</v>
      </c>
      <c r="AF95" s="48">
        <v>123.1</v>
      </c>
      <c r="AG95" s="146"/>
      <c r="AH95" s="54">
        <f t="shared" si="15"/>
        <v>134.80000000000001</v>
      </c>
      <c r="AI95" s="55">
        <f t="shared" si="17"/>
        <v>121.8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65.7</v>
      </c>
      <c r="C96" s="83">
        <v>65.099999999999994</v>
      </c>
      <c r="D96" s="83">
        <v>64.900000000000006</v>
      </c>
      <c r="E96" s="83">
        <v>65.400000000000006</v>
      </c>
      <c r="F96" s="83">
        <v>65.400000000000006</v>
      </c>
      <c r="G96" s="83">
        <v>65.2</v>
      </c>
      <c r="H96" s="83">
        <v>65.599999999999994</v>
      </c>
      <c r="I96" s="83">
        <v>65.400000000000006</v>
      </c>
      <c r="J96" s="83">
        <v>65.400000000000006</v>
      </c>
      <c r="K96" s="83">
        <v>64.7</v>
      </c>
      <c r="L96" s="83">
        <v>63.9</v>
      </c>
      <c r="M96" s="83">
        <v>64.099999999999994</v>
      </c>
      <c r="N96" s="83">
        <v>64.599999999999994</v>
      </c>
      <c r="O96" s="83">
        <v>63.6</v>
      </c>
      <c r="P96" s="83">
        <v>63.3</v>
      </c>
      <c r="Q96" s="83">
        <v>63.9</v>
      </c>
      <c r="R96" s="83">
        <v>63.9</v>
      </c>
      <c r="S96" s="83">
        <v>64.5</v>
      </c>
      <c r="T96" s="83">
        <v>63.6</v>
      </c>
      <c r="U96" s="83">
        <v>64</v>
      </c>
      <c r="V96" s="83">
        <v>64.900000000000006</v>
      </c>
      <c r="W96" s="83">
        <v>64.5</v>
      </c>
      <c r="X96" s="83">
        <v>64.599999999999994</v>
      </c>
      <c r="Y96" s="83">
        <v>63.9</v>
      </c>
      <c r="Z96" s="83">
        <v>63.6</v>
      </c>
      <c r="AA96" s="83">
        <v>65</v>
      </c>
      <c r="AB96" s="83">
        <v>64.8</v>
      </c>
      <c r="AC96" s="83">
        <v>65.400000000000006</v>
      </c>
      <c r="AD96" s="83">
        <v>64.7</v>
      </c>
      <c r="AE96" s="83">
        <v>65.2</v>
      </c>
      <c r="AF96" s="83">
        <v>65.2</v>
      </c>
      <c r="AG96" s="148"/>
      <c r="AH96" s="54">
        <f t="shared" si="15"/>
        <v>65.7</v>
      </c>
      <c r="AI96" s="55">
        <f t="shared" si="17"/>
        <v>63.3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15"/>
        <v>0</v>
      </c>
      <c r="AI97" s="55">
        <f t="shared" si="17"/>
        <v>0</v>
      </c>
    </row>
    <row r="98" spans="1:37" ht="15.75" thickBot="1" x14ac:dyDescent="0.3">
      <c r="A98" s="85" t="s">
        <v>73</v>
      </c>
      <c r="B98" s="86">
        <f t="shared" ref="B98:AF98" si="24">SUM(B15,B18,B21:B22,B46,B48:B49,B51,B53,B99:B102,B124,B130,B136,B145,B147,B159,B166,B169:B170,B177,B179,B181,B185:B187,B189:B191,B196,B202:B203,B205:B207,B215,B220)</f>
        <v>53.840000000000018</v>
      </c>
      <c r="C98" s="86">
        <f t="shared" si="24"/>
        <v>42.180000000000007</v>
      </c>
      <c r="D98" s="86">
        <f t="shared" si="24"/>
        <v>38.780000000000015</v>
      </c>
      <c r="E98" s="86">
        <f t="shared" si="24"/>
        <v>26.479999999999983</v>
      </c>
      <c r="F98" s="86">
        <f t="shared" si="24"/>
        <v>28.480000000000011</v>
      </c>
      <c r="G98" s="86">
        <f t="shared" si="24"/>
        <v>38.180000000000014</v>
      </c>
      <c r="H98" s="86">
        <f t="shared" si="24"/>
        <v>51.280000000000015</v>
      </c>
      <c r="I98" s="86">
        <f t="shared" si="24"/>
        <v>90.080000000000013</v>
      </c>
      <c r="J98" s="86">
        <f t="shared" si="24"/>
        <v>115.28</v>
      </c>
      <c r="K98" s="86">
        <f t="shared" si="24"/>
        <v>127.48000000000002</v>
      </c>
      <c r="L98" s="86">
        <f t="shared" si="24"/>
        <v>161.18</v>
      </c>
      <c r="M98" s="86">
        <f t="shared" si="24"/>
        <v>162.08000000000001</v>
      </c>
      <c r="N98" s="86">
        <f t="shared" si="24"/>
        <v>157.58000000000001</v>
      </c>
      <c r="O98" s="86">
        <f t="shared" si="24"/>
        <v>143.74</v>
      </c>
      <c r="P98" s="86">
        <f t="shared" si="24"/>
        <v>140.34</v>
      </c>
      <c r="Q98" s="86">
        <f t="shared" si="24"/>
        <v>133.29999999999998</v>
      </c>
      <c r="R98" s="86">
        <f t="shared" si="24"/>
        <v>134.29999999999998</v>
      </c>
      <c r="S98" s="86">
        <f t="shared" si="24"/>
        <v>219.1</v>
      </c>
      <c r="T98" s="86">
        <f t="shared" si="24"/>
        <v>143.6</v>
      </c>
      <c r="U98" s="86">
        <f t="shared" si="24"/>
        <v>143.09999999999997</v>
      </c>
      <c r="V98" s="86">
        <f t="shared" si="24"/>
        <v>216.39999999999998</v>
      </c>
      <c r="W98" s="86">
        <f t="shared" si="24"/>
        <v>227.3</v>
      </c>
      <c r="X98" s="86">
        <f t="shared" si="24"/>
        <v>175.1</v>
      </c>
      <c r="Y98" s="86">
        <f t="shared" si="24"/>
        <v>185.4</v>
      </c>
      <c r="Z98" s="86">
        <f t="shared" si="24"/>
        <v>179.2</v>
      </c>
      <c r="AA98" s="86">
        <f t="shared" si="24"/>
        <v>207.1</v>
      </c>
      <c r="AB98" s="86">
        <f t="shared" si="24"/>
        <v>226.20000000000002</v>
      </c>
      <c r="AC98" s="86">
        <f t="shared" si="24"/>
        <v>160.80000000000001</v>
      </c>
      <c r="AD98" s="86">
        <f t="shared" si="24"/>
        <v>182</v>
      </c>
      <c r="AE98" s="86">
        <f t="shared" si="24"/>
        <v>135.10000000000002</v>
      </c>
      <c r="AF98" s="86">
        <f t="shared" si="24"/>
        <v>87.500000000000014</v>
      </c>
      <c r="AG98" s="150"/>
      <c r="AH98" s="54">
        <f>MAX(C98:AF98)</f>
        <v>227.3</v>
      </c>
      <c r="AI98" s="55">
        <f>MIN(C98:AF98)</f>
        <v>26.479999999999983</v>
      </c>
    </row>
    <row r="99" spans="1:37" x14ac:dyDescent="0.25">
      <c r="A99" s="170" t="s">
        <v>74</v>
      </c>
      <c r="B99" s="87">
        <v>14.4</v>
      </c>
      <c r="C99" s="87">
        <v>14</v>
      </c>
      <c r="D99" s="87">
        <v>11.8</v>
      </c>
      <c r="E99" s="87">
        <v>11.1</v>
      </c>
      <c r="F99" s="87">
        <v>9.6999999999999993</v>
      </c>
      <c r="G99" s="87">
        <v>11.3</v>
      </c>
      <c r="H99" s="87">
        <v>12.4</v>
      </c>
      <c r="I99" s="87">
        <v>0</v>
      </c>
      <c r="J99" s="87">
        <v>2.7</v>
      </c>
      <c r="K99" s="87">
        <v>11.8</v>
      </c>
      <c r="L99" s="87">
        <v>13.5</v>
      </c>
      <c r="M99" s="87">
        <v>24.3</v>
      </c>
      <c r="N99" s="87">
        <v>22.4</v>
      </c>
      <c r="O99" s="87">
        <v>22.9</v>
      </c>
      <c r="P99" s="87">
        <v>21.4</v>
      </c>
      <c r="Q99" s="87">
        <v>20.2</v>
      </c>
      <c r="R99" s="87">
        <v>21.2</v>
      </c>
      <c r="S99" s="87">
        <v>35.4</v>
      </c>
      <c r="T99" s="87">
        <v>29.4</v>
      </c>
      <c r="U99" s="87">
        <v>31.5</v>
      </c>
      <c r="V99" s="87">
        <v>37</v>
      </c>
      <c r="W99" s="87">
        <v>36.4</v>
      </c>
      <c r="X99" s="87">
        <v>30.7</v>
      </c>
      <c r="Y99" s="87">
        <v>27.2</v>
      </c>
      <c r="Z99" s="87">
        <v>31.5</v>
      </c>
      <c r="AA99" s="87">
        <v>24</v>
      </c>
      <c r="AB99" s="87">
        <f>35.8+18.6</f>
        <v>54.4</v>
      </c>
      <c r="AC99" s="87">
        <v>18.399999999999999</v>
      </c>
      <c r="AD99" s="87">
        <f>37.1+18.8</f>
        <v>55.900000000000006</v>
      </c>
      <c r="AE99" s="87">
        <f>33+17.6</f>
        <v>50.6</v>
      </c>
      <c r="AF99" s="87">
        <f>25.7+13</f>
        <v>38.700000000000003</v>
      </c>
      <c r="AG99" s="151">
        <v>75</v>
      </c>
      <c r="AH99" s="54">
        <f t="shared" ref="AH99:AH105" si="25">IF(ABS(MAX(C99:AF99))&gt;ABS(MIN(C99:AF99)),MAX(C99:AF99),MIN(C99:AF99))</f>
        <v>55.900000000000006</v>
      </c>
      <c r="AI99" s="89">
        <f t="shared" ref="AI99:AI105" si="26">INDEX($C$9:$AF$9,1,MATCH(AH99,C99:AF99,0))</f>
        <v>0.875</v>
      </c>
    </row>
    <row r="100" spans="1:37" x14ac:dyDescent="0.25">
      <c r="A100" s="163" t="s">
        <v>75</v>
      </c>
      <c r="B100" s="90">
        <v>-145</v>
      </c>
      <c r="C100" s="90">
        <v>-146</v>
      </c>
      <c r="D100" s="90">
        <v>-147</v>
      </c>
      <c r="E100" s="90">
        <f>-70.7-75.9</f>
        <v>-146.60000000000002</v>
      </c>
      <c r="F100" s="90">
        <f>-69.5-74.7</f>
        <v>-144.19999999999999</v>
      </c>
      <c r="G100" s="90">
        <f>-65.2-71.7</f>
        <v>-136.9</v>
      </c>
      <c r="H100" s="90">
        <f>-61-65.8</f>
        <v>-126.8</v>
      </c>
      <c r="I100" s="90">
        <f>-38.8-43.3</f>
        <v>-82.1</v>
      </c>
      <c r="J100" s="90">
        <f>-34.3-37.7</f>
        <v>-72</v>
      </c>
      <c r="K100" s="90">
        <f>-37.4-41.7</f>
        <v>-79.099999999999994</v>
      </c>
      <c r="L100" s="90">
        <f>-24.3-26.8</f>
        <v>-51.1</v>
      </c>
      <c r="M100" s="90">
        <f>-37-32.1</f>
        <v>-69.099999999999994</v>
      </c>
      <c r="N100" s="90">
        <f>-42.9-36.8</f>
        <v>-79.699999999999989</v>
      </c>
      <c r="O100" s="90">
        <f>-48.6-43.5</f>
        <v>-92.1</v>
      </c>
      <c r="P100" s="90">
        <f>-41.6-42.8</f>
        <v>-84.4</v>
      </c>
      <c r="Q100" s="90">
        <f>-42.7-45.7</f>
        <v>-88.4</v>
      </c>
      <c r="R100" s="90">
        <f>-42.7-45.7</f>
        <v>-88.4</v>
      </c>
      <c r="S100" s="90">
        <f>-11-14</f>
        <v>-25</v>
      </c>
      <c r="T100" s="90">
        <f>-36.6-34.3</f>
        <v>-70.900000000000006</v>
      </c>
      <c r="U100" s="90">
        <f>-36.2-39.5</f>
        <v>-75.7</v>
      </c>
      <c r="V100" s="90">
        <f>-7.4-11.9</f>
        <v>-19.3</v>
      </c>
      <c r="W100" s="90">
        <f>-10.2-3.3</f>
        <v>-13.5</v>
      </c>
      <c r="X100" s="90">
        <f>-31-35</f>
        <v>-66</v>
      </c>
      <c r="Y100" s="90">
        <f>-22.6-25.7</f>
        <v>-48.3</v>
      </c>
      <c r="Z100" s="90">
        <f>-25.9-23.8</f>
        <v>-49.7</v>
      </c>
      <c r="AA100" s="90">
        <v>-37</v>
      </c>
      <c r="AB100" s="90">
        <f>-39.3-47.7</f>
        <v>-87</v>
      </c>
      <c r="AC100" s="90">
        <v>-103</v>
      </c>
      <c r="AD100" s="90">
        <f>-53.8-59.7</f>
        <v>-113.5</v>
      </c>
      <c r="AE100" s="90">
        <f>-52.1-60.1</f>
        <v>-112.2</v>
      </c>
      <c r="AF100" s="90">
        <f>-63.1-69.5</f>
        <v>-132.6</v>
      </c>
      <c r="AG100" s="151">
        <v>240</v>
      </c>
      <c r="AH100" s="54">
        <f t="shared" si="25"/>
        <v>-147</v>
      </c>
      <c r="AI100" s="89">
        <f t="shared" si="26"/>
        <v>8.3333333333333301E-2</v>
      </c>
    </row>
    <row r="101" spans="1:37" x14ac:dyDescent="0.25">
      <c r="A101" s="163" t="s">
        <v>76</v>
      </c>
      <c r="B101" s="90">
        <v>-1.3</v>
      </c>
      <c r="C101" s="90">
        <v>-2.5</v>
      </c>
      <c r="D101" s="90">
        <v>-2.7</v>
      </c>
      <c r="E101" s="90">
        <v>-4.7</v>
      </c>
      <c r="F101" s="90">
        <v>-3.7</v>
      </c>
      <c r="G101" s="90">
        <v>-2.9</v>
      </c>
      <c r="H101" s="90">
        <v>-1</v>
      </c>
      <c r="I101" s="90">
        <v>5.5</v>
      </c>
      <c r="J101" s="90">
        <v>7.9</v>
      </c>
      <c r="K101" s="90">
        <v>8.1</v>
      </c>
      <c r="L101" s="90">
        <v>12.1</v>
      </c>
      <c r="M101" s="90">
        <v>12.2</v>
      </c>
      <c r="N101" s="90">
        <v>20.2</v>
      </c>
      <c r="O101" s="90">
        <v>18.2</v>
      </c>
      <c r="P101" s="90">
        <v>8.6</v>
      </c>
      <c r="Q101" s="90">
        <v>7.7</v>
      </c>
      <c r="R101" s="90">
        <v>7.7</v>
      </c>
      <c r="S101" s="90">
        <v>16.600000000000001</v>
      </c>
      <c r="T101" s="90">
        <v>9.5</v>
      </c>
      <c r="U101" s="90">
        <v>9.6999999999999993</v>
      </c>
      <c r="V101" s="90">
        <v>49.6</v>
      </c>
      <c r="W101" s="90">
        <v>55.3</v>
      </c>
      <c r="X101" s="90">
        <v>20.3</v>
      </c>
      <c r="Y101" s="90">
        <v>16.399999999999999</v>
      </c>
      <c r="Z101" s="90">
        <v>15.3</v>
      </c>
      <c r="AA101" s="90">
        <v>35</v>
      </c>
      <c r="AB101" s="90">
        <v>18.899999999999999</v>
      </c>
      <c r="AC101" s="90">
        <v>9.6</v>
      </c>
      <c r="AD101" s="90">
        <v>7.3</v>
      </c>
      <c r="AE101" s="90">
        <v>11.6</v>
      </c>
      <c r="AF101" s="90">
        <v>-3.7</v>
      </c>
      <c r="AG101" s="151">
        <v>60</v>
      </c>
      <c r="AH101" s="54">
        <f t="shared" si="25"/>
        <v>55.3</v>
      </c>
      <c r="AI101" s="89">
        <f t="shared" si="26"/>
        <v>0.72916666666666663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0</v>
      </c>
      <c r="M102" s="91">
        <v>0</v>
      </c>
      <c r="N102" s="91">
        <v>0</v>
      </c>
      <c r="O102" s="91">
        <v>0</v>
      </c>
      <c r="P102" s="91">
        <v>0</v>
      </c>
      <c r="Q102" s="91">
        <v>0</v>
      </c>
      <c r="R102" s="91">
        <v>0</v>
      </c>
      <c r="S102" s="91">
        <v>0</v>
      </c>
      <c r="T102" s="91">
        <v>0</v>
      </c>
      <c r="U102" s="91">
        <v>0</v>
      </c>
      <c r="V102" s="91">
        <v>0</v>
      </c>
      <c r="W102" s="91">
        <v>0</v>
      </c>
      <c r="X102" s="91">
        <v>0</v>
      </c>
      <c r="Y102" s="91">
        <v>0</v>
      </c>
      <c r="Z102" s="91">
        <v>0</v>
      </c>
      <c r="AA102" s="91">
        <v>0</v>
      </c>
      <c r="AB102" s="91">
        <v>55.4</v>
      </c>
      <c r="AC102" s="91">
        <v>51.3</v>
      </c>
      <c r="AD102" s="91">
        <v>47.1</v>
      </c>
      <c r="AE102" s="91">
        <v>0</v>
      </c>
      <c r="AF102" s="91">
        <v>0</v>
      </c>
      <c r="AG102" s="152">
        <v>120</v>
      </c>
      <c r="AH102" s="54">
        <f t="shared" si="25"/>
        <v>55.4</v>
      </c>
      <c r="AI102" s="89">
        <f t="shared" si="26"/>
        <v>0.83333333333333337</v>
      </c>
    </row>
    <row r="103" spans="1:37" x14ac:dyDescent="0.25">
      <c r="A103" s="164" t="s">
        <v>78</v>
      </c>
      <c r="B103" s="91">
        <v>36.6</v>
      </c>
      <c r="C103" s="91">
        <v>44.5</v>
      </c>
      <c r="D103" s="91">
        <v>45.8</v>
      </c>
      <c r="E103" s="91">
        <v>40.5</v>
      </c>
      <c r="F103" s="91">
        <v>42.3</v>
      </c>
      <c r="G103" s="91">
        <v>42</v>
      </c>
      <c r="H103" s="91">
        <v>42.7</v>
      </c>
      <c r="I103" s="91">
        <v>63.6</v>
      </c>
      <c r="J103" s="91">
        <v>78.900000000000006</v>
      </c>
      <c r="K103" s="91">
        <v>63.9</v>
      </c>
      <c r="L103" s="91">
        <v>88.7</v>
      </c>
      <c r="M103" s="91">
        <v>61.4</v>
      </c>
      <c r="N103" s="91">
        <v>51.3</v>
      </c>
      <c r="O103" s="91">
        <v>59.6</v>
      </c>
      <c r="P103" s="91">
        <v>64</v>
      </c>
      <c r="Q103" s="91">
        <v>61</v>
      </c>
      <c r="R103" s="91">
        <v>61</v>
      </c>
      <c r="S103" s="91">
        <v>88</v>
      </c>
      <c r="T103" s="91">
        <v>78</v>
      </c>
      <c r="U103" s="91">
        <v>60</v>
      </c>
      <c r="V103" s="91">
        <v>73</v>
      </c>
      <c r="W103" s="91">
        <v>77</v>
      </c>
      <c r="X103" s="91">
        <v>52.6</v>
      </c>
      <c r="Y103" s="91">
        <v>81.400000000000006</v>
      </c>
      <c r="Z103" s="91">
        <v>74.5</v>
      </c>
      <c r="AA103" s="91">
        <v>91</v>
      </c>
      <c r="AB103" s="91">
        <v>58</v>
      </c>
      <c r="AC103" s="91">
        <v>58.1</v>
      </c>
      <c r="AD103" s="91">
        <v>51.7</v>
      </c>
      <c r="AE103" s="91">
        <v>53.8</v>
      </c>
      <c r="AF103" s="91">
        <v>46.8</v>
      </c>
      <c r="AG103" s="152"/>
      <c r="AH103" s="54">
        <f t="shared" si="25"/>
        <v>91</v>
      </c>
      <c r="AI103" s="89">
        <f t="shared" si="26"/>
        <v>0.8125</v>
      </c>
    </row>
    <row r="104" spans="1:37" x14ac:dyDescent="0.25">
      <c r="A104" s="164" t="s">
        <v>105</v>
      </c>
      <c r="B104" s="91">
        <v>62.5</v>
      </c>
      <c r="C104" s="91">
        <v>65.2</v>
      </c>
      <c r="D104" s="91">
        <v>75.2</v>
      </c>
      <c r="E104" s="91">
        <v>61.6</v>
      </c>
      <c r="F104" s="91">
        <v>68.5</v>
      </c>
      <c r="G104" s="91">
        <v>70.099999999999994</v>
      </c>
      <c r="H104" s="91">
        <v>73.900000000000006</v>
      </c>
      <c r="I104" s="91">
        <v>56</v>
      </c>
      <c r="J104" s="91">
        <v>49.2</v>
      </c>
      <c r="K104" s="91">
        <v>26.6</v>
      </c>
      <c r="L104" s="91">
        <v>18.899999999999999</v>
      </c>
      <c r="M104" s="91">
        <v>-24.6</v>
      </c>
      <c r="N104" s="91">
        <v>-27.1</v>
      </c>
      <c r="O104" s="91">
        <v>-27.4</v>
      </c>
      <c r="P104" s="91">
        <v>-15.7</v>
      </c>
      <c r="Q104" s="91">
        <v>-18.5</v>
      </c>
      <c r="R104" s="91">
        <v>-18.5</v>
      </c>
      <c r="S104" s="91">
        <v>21.7</v>
      </c>
      <c r="T104" s="91">
        <v>23.5</v>
      </c>
      <c r="U104" s="91">
        <v>13.8</v>
      </c>
      <c r="V104" s="91">
        <v>0</v>
      </c>
      <c r="W104" s="91">
        <v>9.4</v>
      </c>
      <c r="X104" s="91">
        <v>11.4</v>
      </c>
      <c r="Y104" s="91">
        <v>22.4</v>
      </c>
      <c r="Z104" s="91">
        <v>-2.4</v>
      </c>
      <c r="AA104" s="91">
        <v>34</v>
      </c>
      <c r="AB104" s="91">
        <v>36.700000000000003</v>
      </c>
      <c r="AC104" s="91">
        <v>37.299999999999997</v>
      </c>
      <c r="AD104" s="91">
        <v>39.1</v>
      </c>
      <c r="AE104" s="91">
        <v>56</v>
      </c>
      <c r="AF104" s="91">
        <v>63.5</v>
      </c>
      <c r="AG104" s="153"/>
      <c r="AH104" s="54">
        <f t="shared" si="25"/>
        <v>75.2</v>
      </c>
      <c r="AI104" s="89">
        <f t="shared" si="26"/>
        <v>8.3333333333333301E-2</v>
      </c>
    </row>
    <row r="105" spans="1:37" ht="20.25" customHeight="1" x14ac:dyDescent="0.25">
      <c r="A105" s="171" t="s">
        <v>106</v>
      </c>
      <c r="B105" s="82">
        <v>93.1</v>
      </c>
      <c r="C105" s="82">
        <v>97.5</v>
      </c>
      <c r="D105" s="82">
        <v>100.8</v>
      </c>
      <c r="E105" s="82">
        <v>103</v>
      </c>
      <c r="F105" s="82">
        <v>105.3</v>
      </c>
      <c r="G105" s="82">
        <v>107.6</v>
      </c>
      <c r="H105" s="82">
        <v>108.6</v>
      </c>
      <c r="I105" s="82">
        <v>108.8</v>
      </c>
      <c r="J105" s="82">
        <v>110.2</v>
      </c>
      <c r="K105" s="82">
        <v>100.8</v>
      </c>
      <c r="L105" s="82">
        <v>94.9</v>
      </c>
      <c r="M105" s="82">
        <v>88.1</v>
      </c>
      <c r="N105" s="82">
        <v>86.3</v>
      </c>
      <c r="O105" s="82">
        <v>79.400000000000006</v>
      </c>
      <c r="P105" s="82">
        <v>83.2</v>
      </c>
      <c r="Q105" s="82">
        <v>84</v>
      </c>
      <c r="R105" s="82">
        <v>84</v>
      </c>
      <c r="S105" s="82">
        <v>62.3</v>
      </c>
      <c r="T105" s="82">
        <v>86.2</v>
      </c>
      <c r="U105" s="82">
        <v>74.599999999999994</v>
      </c>
      <c r="V105" s="82">
        <v>93.5</v>
      </c>
      <c r="W105" s="82">
        <v>93</v>
      </c>
      <c r="X105" s="82">
        <v>90</v>
      </c>
      <c r="Y105" s="82">
        <v>87</v>
      </c>
      <c r="Z105" s="82">
        <v>100</v>
      </c>
      <c r="AA105" s="82">
        <v>31</v>
      </c>
      <c r="AB105" s="82">
        <v>83.1</v>
      </c>
      <c r="AC105" s="82">
        <v>87.7</v>
      </c>
      <c r="AD105" s="82">
        <v>84.6</v>
      </c>
      <c r="AE105" s="82">
        <v>56.4</v>
      </c>
      <c r="AF105" s="82">
        <v>109</v>
      </c>
      <c r="AG105" s="153"/>
      <c r="AH105" s="54">
        <f t="shared" si="25"/>
        <v>110.2</v>
      </c>
      <c r="AI105" s="89">
        <f t="shared" si="26"/>
        <v>0.27083333333333331</v>
      </c>
    </row>
    <row r="106" spans="1:37" ht="18" customHeight="1" thickBot="1" x14ac:dyDescent="0.3">
      <c r="A106" s="171" t="s">
        <v>280</v>
      </c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>
        <v>32</v>
      </c>
      <c r="Q106" s="82">
        <v>27.4</v>
      </c>
      <c r="R106" s="82">
        <v>27.4</v>
      </c>
      <c r="S106" s="82">
        <v>19.2</v>
      </c>
      <c r="T106" s="82">
        <v>22.2</v>
      </c>
      <c r="U106" s="82">
        <v>24.7</v>
      </c>
      <c r="V106" s="82">
        <v>36.700000000000003</v>
      </c>
      <c r="W106" s="82">
        <v>39.5</v>
      </c>
      <c r="X106" s="82">
        <v>47</v>
      </c>
      <c r="Y106" s="82">
        <v>32.299999999999997</v>
      </c>
      <c r="Z106" s="82">
        <v>34.5</v>
      </c>
      <c r="AA106" s="82"/>
      <c r="AB106" s="82">
        <v>65.8</v>
      </c>
      <c r="AC106" s="82">
        <v>63.2</v>
      </c>
      <c r="AD106" s="82">
        <v>77.900000000000006</v>
      </c>
      <c r="AE106" s="82">
        <v>81.2</v>
      </c>
      <c r="AF106" s="82">
        <v>85.6</v>
      </c>
      <c r="AG106" s="153"/>
      <c r="AH106" s="54">
        <f t="shared" ref="AH106" si="27">IF(ABS(MAX(C106:AF106))&gt;ABS(MIN(C106:AF106)),MAX(C106:AF106),MIN(C106:AF106))</f>
        <v>85.6</v>
      </c>
      <c r="AI106" s="89">
        <f t="shared" ref="AI106" si="28">INDEX($C$9:$AF$9,1,MATCH(AH106,C106:AF106,0))</f>
        <v>0.95833333333333304</v>
      </c>
    </row>
    <row r="107" spans="1:37" ht="20.25" customHeight="1" thickBot="1" x14ac:dyDescent="0.3">
      <c r="A107" s="92" t="s">
        <v>79</v>
      </c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154"/>
      <c r="AH107" s="94"/>
      <c r="AI107" s="55"/>
      <c r="AK107" s="56"/>
    </row>
    <row r="108" spans="1:37" x14ac:dyDescent="0.25">
      <c r="A108" s="162" t="s">
        <v>133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>
        <v>9.94</v>
      </c>
      <c r="AH108" s="54"/>
      <c r="AI108" s="55"/>
      <c r="AK108" s="56"/>
    </row>
    <row r="109" spans="1:37" x14ac:dyDescent="0.25">
      <c r="A109" s="163" t="s">
        <v>134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135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136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137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138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139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140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141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142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143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144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145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146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147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148</v>
      </c>
      <c r="B123" s="95"/>
      <c r="C123" s="53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6"/>
      <c r="AH123" s="54"/>
      <c r="AI123" s="55"/>
      <c r="AK123" s="56"/>
    </row>
    <row r="124" spans="1:37" x14ac:dyDescent="0.25">
      <c r="A124" s="163" t="s">
        <v>149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9">
        <v>9.9</v>
      </c>
      <c r="AH124" s="54"/>
      <c r="AI124" s="55"/>
      <c r="AK124" s="56"/>
    </row>
    <row r="125" spans="1:37" x14ac:dyDescent="0.25">
      <c r="A125" s="164" t="s">
        <v>80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9.6579999999999995</v>
      </c>
      <c r="AH125" s="54"/>
      <c r="AI125" s="55"/>
      <c r="AK125" s="56"/>
    </row>
    <row r="126" spans="1:37" x14ac:dyDescent="0.25">
      <c r="A126" s="164" t="s">
        <v>150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9.6</v>
      </c>
      <c r="AH126" s="54"/>
      <c r="AI126" s="55"/>
      <c r="AK126" s="56"/>
    </row>
    <row r="127" spans="1:37" x14ac:dyDescent="0.25">
      <c r="A127" s="164" t="s">
        <v>151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9.51</v>
      </c>
      <c r="AH127" s="54"/>
      <c r="AI127" s="55"/>
      <c r="AK127" s="56"/>
    </row>
    <row r="128" spans="1:37" x14ac:dyDescent="0.25">
      <c r="A128" s="164" t="s">
        <v>152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9.4</v>
      </c>
      <c r="AH128" s="54"/>
      <c r="AI128" s="55"/>
      <c r="AK128" s="56"/>
    </row>
    <row r="129" spans="1:37" x14ac:dyDescent="0.25">
      <c r="A129" s="164" t="s">
        <v>153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8.8000000000000007</v>
      </c>
      <c r="AH129" s="54"/>
      <c r="AI129" s="55"/>
      <c r="AK129" s="56"/>
    </row>
    <row r="130" spans="1:37" x14ac:dyDescent="0.25">
      <c r="A130" s="164" t="s">
        <v>154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155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8.5</v>
      </c>
      <c r="AH131" s="54"/>
      <c r="AI131" s="55"/>
      <c r="AK131" s="56"/>
    </row>
    <row r="132" spans="1:37" x14ac:dyDescent="0.25">
      <c r="A132" s="164" t="s">
        <v>156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8.4</v>
      </c>
      <c r="AH132" s="54"/>
      <c r="AI132" s="55"/>
      <c r="AK132" s="56"/>
    </row>
    <row r="133" spans="1:37" ht="13.5" customHeight="1" x14ac:dyDescent="0.25">
      <c r="A133" s="164" t="s">
        <v>157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158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159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8</v>
      </c>
      <c r="AH135" s="54"/>
      <c r="AI135" s="55"/>
      <c r="AK135" s="56"/>
    </row>
    <row r="136" spans="1:37" x14ac:dyDescent="0.25">
      <c r="A136" s="164" t="s">
        <v>160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7.8</v>
      </c>
      <c r="AH136" s="54"/>
      <c r="AI136" s="55"/>
      <c r="AK136" s="56"/>
    </row>
    <row r="137" spans="1:37" x14ac:dyDescent="0.25">
      <c r="A137" s="164" t="s">
        <v>161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7.6</v>
      </c>
      <c r="AH137" s="54"/>
      <c r="AI137" s="55"/>
      <c r="AK137" s="56"/>
    </row>
    <row r="138" spans="1:37" x14ac:dyDescent="0.25">
      <c r="A138" s="164" t="s">
        <v>162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163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7.5</v>
      </c>
      <c r="AH139" s="54"/>
      <c r="AI139" s="55"/>
      <c r="AK139" s="56"/>
    </row>
    <row r="140" spans="1:37" x14ac:dyDescent="0.25">
      <c r="A140" s="164" t="s">
        <v>164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165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166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167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7</v>
      </c>
      <c r="AH143" s="54"/>
      <c r="AI143" s="55"/>
      <c r="AK143" s="56"/>
    </row>
    <row r="144" spans="1:37" x14ac:dyDescent="0.25">
      <c r="A144" s="164" t="s">
        <v>168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169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6.6</v>
      </c>
      <c r="AH145" s="54"/>
      <c r="AI145" s="55"/>
      <c r="AK145" s="56"/>
    </row>
    <row r="146" spans="1:37" x14ac:dyDescent="0.25">
      <c r="A146" s="164" t="s">
        <v>170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6.4</v>
      </c>
      <c r="AH146" s="54"/>
      <c r="AI146" s="55"/>
      <c r="AK146" s="56"/>
    </row>
    <row r="147" spans="1:37" x14ac:dyDescent="0.25">
      <c r="A147" s="164" t="s">
        <v>171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6</v>
      </c>
      <c r="AH147" s="54"/>
      <c r="AI147" s="55"/>
      <c r="AK147" s="56"/>
    </row>
    <row r="148" spans="1:37" x14ac:dyDescent="0.25">
      <c r="A148" s="164" t="s">
        <v>172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5.0999999999999996</v>
      </c>
      <c r="AH148" s="54"/>
      <c r="AI148" s="55"/>
      <c r="AK148" s="56"/>
    </row>
    <row r="149" spans="1:37" x14ac:dyDescent="0.25">
      <c r="A149" s="164" t="s">
        <v>173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100">
        <v>5</v>
      </c>
      <c r="AH149" s="54"/>
      <c r="AI149" s="55"/>
      <c r="AK149" s="56"/>
    </row>
    <row r="150" spans="1:37" x14ac:dyDescent="0.25">
      <c r="A150" s="163" t="s">
        <v>174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99">
        <v>5</v>
      </c>
      <c r="AH150" s="54"/>
      <c r="AI150" s="55"/>
      <c r="AK150" s="56"/>
    </row>
    <row r="151" spans="1:37" x14ac:dyDescent="0.25">
      <c r="A151" s="164" t="s">
        <v>175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176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177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178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179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5</v>
      </c>
      <c r="AH155" s="54"/>
      <c r="AI155" s="55"/>
      <c r="AK155" s="56"/>
    </row>
    <row r="156" spans="1:37" x14ac:dyDescent="0.25">
      <c r="A156" s="164" t="s">
        <v>180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4.9930000000000003</v>
      </c>
      <c r="AH156" s="54"/>
      <c r="AI156" s="55"/>
      <c r="AK156" s="56"/>
    </row>
    <row r="157" spans="1:37" x14ac:dyDescent="0.25">
      <c r="A157" s="164" t="s">
        <v>181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4.9800000000000004</v>
      </c>
      <c r="AH157" s="54"/>
      <c r="AI157" s="55"/>
      <c r="AK157" s="56"/>
    </row>
    <row r="158" spans="1:37" x14ac:dyDescent="0.25">
      <c r="A158" s="164" t="s">
        <v>182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81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4.95</v>
      </c>
      <c r="AH159" s="54"/>
      <c r="AI159" s="55"/>
      <c r="AK159" s="56"/>
    </row>
    <row r="160" spans="1:37" x14ac:dyDescent="0.25">
      <c r="A160" s="164" t="s">
        <v>183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184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185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4.8</v>
      </c>
      <c r="AH162" s="54"/>
      <c r="AI162" s="55"/>
      <c r="AK162" s="56"/>
    </row>
    <row r="163" spans="1:37" x14ac:dyDescent="0.25">
      <c r="A163" s="164" t="s">
        <v>186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187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4.5</v>
      </c>
      <c r="AH164" s="54"/>
      <c r="AI164" s="55"/>
      <c r="AK164" s="56"/>
    </row>
    <row r="165" spans="1:37" x14ac:dyDescent="0.25">
      <c r="A165" s="164" t="s">
        <v>188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4.4550000000000001</v>
      </c>
      <c r="AH165" s="54"/>
      <c r="AI165" s="55"/>
      <c r="AK165" s="56"/>
    </row>
    <row r="166" spans="1:37" x14ac:dyDescent="0.25">
      <c r="A166" s="164" t="s">
        <v>189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4.41</v>
      </c>
      <c r="AH166" s="54"/>
      <c r="AI166" s="55"/>
      <c r="AK166" s="56"/>
    </row>
    <row r="167" spans="1:37" x14ac:dyDescent="0.25">
      <c r="A167" s="164" t="s">
        <v>190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4.4000000000000004</v>
      </c>
      <c r="AH167" s="54"/>
      <c r="AI167" s="55"/>
      <c r="AK167" s="56"/>
    </row>
    <row r="168" spans="1:37" x14ac:dyDescent="0.25">
      <c r="A168" s="164" t="s">
        <v>191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4.3600000000000003</v>
      </c>
      <c r="AH168" s="54"/>
      <c r="AI168" s="55"/>
      <c r="AK168" s="56"/>
    </row>
    <row r="169" spans="1:37" x14ac:dyDescent="0.25">
      <c r="A169" s="164" t="s">
        <v>192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4.2</v>
      </c>
      <c r="AH169" s="54"/>
      <c r="AI169" s="55"/>
      <c r="AK169" s="56"/>
    </row>
    <row r="170" spans="1:37" x14ac:dyDescent="0.25">
      <c r="A170" s="164" t="s">
        <v>193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194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195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196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197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198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199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200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4</v>
      </c>
      <c r="AH177" s="54"/>
      <c r="AI177" s="55"/>
      <c r="AK177" s="56"/>
    </row>
    <row r="178" spans="1:37" x14ac:dyDescent="0.25">
      <c r="A178" s="164" t="s">
        <v>201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3.75</v>
      </c>
      <c r="AH178" s="54"/>
      <c r="AI178" s="55"/>
      <c r="AK178" s="56"/>
    </row>
    <row r="179" spans="1:37" x14ac:dyDescent="0.25">
      <c r="A179" s="164" t="s">
        <v>202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3.52</v>
      </c>
      <c r="AH179" s="54"/>
      <c r="AI179" s="55"/>
      <c r="AK179" s="56"/>
    </row>
    <row r="180" spans="1:37" x14ac:dyDescent="0.25">
      <c r="A180" s="164" t="s">
        <v>203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3.33</v>
      </c>
      <c r="AH180" s="54"/>
      <c r="AI180" s="55"/>
      <c r="AK180" s="56"/>
    </row>
    <row r="181" spans="1:37" x14ac:dyDescent="0.25">
      <c r="A181" s="164" t="s">
        <v>204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3.2</v>
      </c>
      <c r="AH181" s="54"/>
      <c r="AI181" s="55"/>
      <c r="AK181" s="56"/>
    </row>
    <row r="182" spans="1:37" x14ac:dyDescent="0.25">
      <c r="A182" s="164" t="s">
        <v>205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206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207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208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209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210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211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212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3</v>
      </c>
      <c r="AH189" s="54"/>
      <c r="AI189" s="55"/>
      <c r="AK189" s="56"/>
    </row>
    <row r="190" spans="1:37" x14ac:dyDescent="0.25">
      <c r="A190" s="164" t="s">
        <v>213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2.83</v>
      </c>
      <c r="AH190" s="54"/>
      <c r="AI190" s="55"/>
      <c r="AK190" s="56"/>
    </row>
    <row r="191" spans="1:37" x14ac:dyDescent="0.25">
      <c r="A191" s="164" t="s">
        <v>214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215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2.5</v>
      </c>
      <c r="AH192" s="54"/>
      <c r="AI192" s="55"/>
      <c r="AK192" s="56"/>
    </row>
    <row r="193" spans="1:37" x14ac:dyDescent="0.25">
      <c r="A193" s="164" t="s">
        <v>216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217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2.4</v>
      </c>
      <c r="AH194" s="54"/>
      <c r="AI194" s="55"/>
      <c r="AK194" s="56"/>
    </row>
    <row r="195" spans="1:37" x14ac:dyDescent="0.25">
      <c r="A195" s="164" t="s">
        <v>218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2.2000000000000002</v>
      </c>
      <c r="AH195" s="54"/>
      <c r="AI195" s="55"/>
      <c r="AK195" s="56"/>
    </row>
    <row r="196" spans="1:37" x14ac:dyDescent="0.25">
      <c r="A196" s="164" t="s">
        <v>219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220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221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2</v>
      </c>
      <c r="AH198" s="54"/>
      <c r="AI198" s="55"/>
      <c r="AK198" s="56"/>
    </row>
    <row r="199" spans="1:37" x14ac:dyDescent="0.25">
      <c r="A199" s="164" t="s">
        <v>222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223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1.8</v>
      </c>
      <c r="AH200" s="54"/>
      <c r="AI200" s="55"/>
      <c r="AK200" s="56"/>
    </row>
    <row r="201" spans="1:37" x14ac:dyDescent="0.25">
      <c r="A201" s="164" t="s">
        <v>224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1.65</v>
      </c>
      <c r="AH201" s="54"/>
      <c r="AI201" s="55"/>
      <c r="AK201" s="56"/>
    </row>
    <row r="202" spans="1:37" x14ac:dyDescent="0.25">
      <c r="A202" s="164" t="s">
        <v>225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1.5</v>
      </c>
      <c r="AH202" s="54"/>
      <c r="AI202" s="55"/>
      <c r="AK202" s="56"/>
    </row>
    <row r="203" spans="1:37" x14ac:dyDescent="0.25">
      <c r="A203" s="164" t="s">
        <v>226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0.998</v>
      </c>
      <c r="AH203" s="54"/>
      <c r="AI203" s="55"/>
      <c r="AK203" s="56"/>
    </row>
    <row r="204" spans="1:37" x14ac:dyDescent="0.25">
      <c r="A204" s="164" t="s">
        <v>227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228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0.997</v>
      </c>
      <c r="AH205" s="54"/>
      <c r="AI205" s="55"/>
      <c r="AK205" s="56"/>
    </row>
    <row r="206" spans="1:37" x14ac:dyDescent="0.25">
      <c r="A206" s="164" t="s">
        <v>229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230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231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0.996</v>
      </c>
      <c r="AH208" s="54"/>
      <c r="AI208" s="55"/>
      <c r="AK208" s="56"/>
    </row>
    <row r="209" spans="1:37" x14ac:dyDescent="0.25">
      <c r="A209" s="164" t="s">
        <v>232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0.995</v>
      </c>
      <c r="AH209" s="54"/>
      <c r="AI209" s="55"/>
      <c r="AK209" s="56"/>
    </row>
    <row r="210" spans="1:37" x14ac:dyDescent="0.25">
      <c r="A210" s="164" t="s">
        <v>233</v>
      </c>
      <c r="B210" s="97"/>
      <c r="C210" s="98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0.99299999999999999</v>
      </c>
      <c r="AH210" s="54"/>
      <c r="AI210" s="55"/>
      <c r="AK210" s="56"/>
    </row>
    <row r="211" spans="1:37" x14ac:dyDescent="0.25">
      <c r="A211" s="164" t="s">
        <v>234</v>
      </c>
      <c r="B211" s="97"/>
      <c r="C211" s="53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  <c r="AF211" s="97"/>
      <c r="AG211" s="100">
        <v>0.99</v>
      </c>
      <c r="AH211" s="54"/>
      <c r="AI211" s="55"/>
      <c r="AK211" s="56"/>
    </row>
    <row r="212" spans="1:37" ht="15.75" thickBot="1" x14ac:dyDescent="0.3">
      <c r="A212" s="164" t="s">
        <v>235</v>
      </c>
      <c r="B212" s="102"/>
      <c r="C212" s="166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0">
        <v>0.97899999999999998</v>
      </c>
      <c r="AH212" s="54"/>
      <c r="AI212" s="55"/>
      <c r="AK212" s="56"/>
    </row>
    <row r="213" spans="1:37" ht="15.75" thickBot="1" x14ac:dyDescent="0.3">
      <c r="A213" s="165" t="s">
        <v>82</v>
      </c>
      <c r="B213" s="167">
        <f>SUM(B108:B212)</f>
        <v>0</v>
      </c>
      <c r="C213" s="103">
        <f t="shared" ref="C213:AG213" si="29">SUM(C108:C212)</f>
        <v>0</v>
      </c>
      <c r="D213" s="103">
        <f t="shared" si="29"/>
        <v>0</v>
      </c>
      <c r="E213" s="103">
        <f t="shared" si="29"/>
        <v>0</v>
      </c>
      <c r="F213" s="103">
        <f t="shared" si="29"/>
        <v>0</v>
      </c>
      <c r="G213" s="103">
        <f t="shared" si="29"/>
        <v>0</v>
      </c>
      <c r="H213" s="103">
        <f t="shared" si="29"/>
        <v>0</v>
      </c>
      <c r="I213" s="103">
        <f t="shared" si="29"/>
        <v>0</v>
      </c>
      <c r="J213" s="103">
        <f t="shared" si="29"/>
        <v>0</v>
      </c>
      <c r="K213" s="103">
        <f t="shared" si="29"/>
        <v>0</v>
      </c>
      <c r="L213" s="103">
        <f t="shared" si="29"/>
        <v>0</v>
      </c>
      <c r="M213" s="103">
        <f t="shared" si="29"/>
        <v>0</v>
      </c>
      <c r="N213" s="103">
        <f t="shared" si="29"/>
        <v>0</v>
      </c>
      <c r="O213" s="103">
        <f t="shared" si="29"/>
        <v>0</v>
      </c>
      <c r="P213" s="103">
        <f t="shared" si="29"/>
        <v>0</v>
      </c>
      <c r="Q213" s="103">
        <f t="shared" si="29"/>
        <v>0</v>
      </c>
      <c r="R213" s="103">
        <f t="shared" si="29"/>
        <v>0</v>
      </c>
      <c r="S213" s="103">
        <f t="shared" si="29"/>
        <v>0</v>
      </c>
      <c r="T213" s="103">
        <f t="shared" si="29"/>
        <v>0</v>
      </c>
      <c r="U213" s="103">
        <f t="shared" si="29"/>
        <v>0</v>
      </c>
      <c r="V213" s="103">
        <f t="shared" si="29"/>
        <v>0</v>
      </c>
      <c r="W213" s="103">
        <f t="shared" si="29"/>
        <v>0</v>
      </c>
      <c r="X213" s="103">
        <f t="shared" si="29"/>
        <v>0</v>
      </c>
      <c r="Y213" s="103">
        <f t="shared" si="29"/>
        <v>0</v>
      </c>
      <c r="Z213" s="103">
        <f t="shared" si="29"/>
        <v>0</v>
      </c>
      <c r="AA213" s="103">
        <f t="shared" si="29"/>
        <v>0</v>
      </c>
      <c r="AB213" s="103">
        <f t="shared" si="29"/>
        <v>0</v>
      </c>
      <c r="AC213" s="103">
        <f t="shared" si="29"/>
        <v>0</v>
      </c>
      <c r="AD213" s="103">
        <f t="shared" si="29"/>
        <v>0</v>
      </c>
      <c r="AE213" s="103">
        <f t="shared" si="29"/>
        <v>0</v>
      </c>
      <c r="AF213" s="168">
        <f t="shared" si="29"/>
        <v>0</v>
      </c>
      <c r="AG213" s="169">
        <f t="shared" si="29"/>
        <v>412.72299999999984</v>
      </c>
      <c r="AH213" s="54"/>
      <c r="AI213" s="55"/>
      <c r="AK213" s="56"/>
    </row>
    <row r="214" spans="1:37" ht="15.75" thickBot="1" x14ac:dyDescent="0.3">
      <c r="A214" s="28" t="s">
        <v>35</v>
      </c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149"/>
      <c r="AH214" s="54"/>
      <c r="AI214" s="55"/>
      <c r="AK214" s="56"/>
    </row>
    <row r="215" spans="1:37" x14ac:dyDescent="0.25">
      <c r="A215" s="170" t="s">
        <v>83</v>
      </c>
      <c r="B215" s="101">
        <f t="shared" ref="B215:B220" si="30">AF215</f>
        <v>0</v>
      </c>
      <c r="C215" s="101">
        <v>0.3</v>
      </c>
      <c r="D215" s="101">
        <f t="shared" ref="D215:P220" si="31">C215</f>
        <v>0.3</v>
      </c>
      <c r="E215" s="101">
        <f t="shared" si="31"/>
        <v>0.3</v>
      </c>
      <c r="F215" s="101">
        <f t="shared" si="31"/>
        <v>0.3</v>
      </c>
      <c r="G215" s="101">
        <f t="shared" si="31"/>
        <v>0.3</v>
      </c>
      <c r="H215" s="101">
        <f t="shared" si="31"/>
        <v>0.3</v>
      </c>
      <c r="I215" s="101">
        <f t="shared" si="31"/>
        <v>0.3</v>
      </c>
      <c r="J215" s="101">
        <f t="shared" si="31"/>
        <v>0.3</v>
      </c>
      <c r="K215" s="101">
        <f t="shared" si="31"/>
        <v>0.3</v>
      </c>
      <c r="L215" s="101">
        <f t="shared" si="31"/>
        <v>0.3</v>
      </c>
      <c r="M215" s="101">
        <f t="shared" si="31"/>
        <v>0.3</v>
      </c>
      <c r="N215" s="101">
        <f t="shared" si="31"/>
        <v>0.3</v>
      </c>
      <c r="O215" s="101">
        <f t="shared" si="31"/>
        <v>0.3</v>
      </c>
      <c r="P215" s="101">
        <f t="shared" si="31"/>
        <v>0.3</v>
      </c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  <c r="AE215" s="101"/>
      <c r="AF215" s="101"/>
      <c r="AG215" s="155">
        <v>2.4</v>
      </c>
      <c r="AH215" s="54"/>
      <c r="AI215" s="55"/>
      <c r="AK215" s="56"/>
    </row>
    <row r="216" spans="1:37" x14ac:dyDescent="0.25">
      <c r="A216" s="163" t="s">
        <v>84</v>
      </c>
      <c r="B216" s="97">
        <f t="shared" si="30"/>
        <v>0</v>
      </c>
      <c r="C216" s="97">
        <v>0.4</v>
      </c>
      <c r="D216" s="97">
        <f t="shared" si="31"/>
        <v>0.4</v>
      </c>
      <c r="E216" s="97">
        <f t="shared" si="31"/>
        <v>0.4</v>
      </c>
      <c r="F216" s="97">
        <f t="shared" si="31"/>
        <v>0.4</v>
      </c>
      <c r="G216" s="97">
        <f t="shared" si="31"/>
        <v>0.4</v>
      </c>
      <c r="H216" s="97">
        <f t="shared" si="31"/>
        <v>0.4</v>
      </c>
      <c r="I216" s="97">
        <f t="shared" si="31"/>
        <v>0.4</v>
      </c>
      <c r="J216" s="97">
        <f t="shared" si="31"/>
        <v>0.4</v>
      </c>
      <c r="K216" s="97">
        <f t="shared" si="31"/>
        <v>0.4</v>
      </c>
      <c r="L216" s="97">
        <f t="shared" si="31"/>
        <v>0.4</v>
      </c>
      <c r="M216" s="97">
        <f t="shared" si="31"/>
        <v>0.4</v>
      </c>
      <c r="N216" s="97">
        <f t="shared" si="31"/>
        <v>0.4</v>
      </c>
      <c r="O216" s="97">
        <f t="shared" si="31"/>
        <v>0.4</v>
      </c>
      <c r="P216" s="97">
        <f t="shared" si="31"/>
        <v>0.4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2</v>
      </c>
      <c r="AH216" s="54"/>
      <c r="AI216" s="55"/>
      <c r="AK216" s="56"/>
    </row>
    <row r="217" spans="1:37" x14ac:dyDescent="0.25">
      <c r="A217" s="163" t="s">
        <v>85</v>
      </c>
      <c r="B217" s="97">
        <f t="shared" si="30"/>
        <v>0</v>
      </c>
      <c r="C217" s="97">
        <v>1.5</v>
      </c>
      <c r="D217" s="97">
        <f t="shared" si="31"/>
        <v>1.5</v>
      </c>
      <c r="E217" s="97">
        <f t="shared" si="31"/>
        <v>1.5</v>
      </c>
      <c r="F217" s="97">
        <f t="shared" si="31"/>
        <v>1.5</v>
      </c>
      <c r="G217" s="97">
        <f t="shared" si="31"/>
        <v>1.5</v>
      </c>
      <c r="H217" s="97">
        <f t="shared" si="31"/>
        <v>1.5</v>
      </c>
      <c r="I217" s="97">
        <f t="shared" si="31"/>
        <v>1.5</v>
      </c>
      <c r="J217" s="97">
        <f t="shared" si="31"/>
        <v>1.5</v>
      </c>
      <c r="K217" s="97">
        <f t="shared" si="31"/>
        <v>1.5</v>
      </c>
      <c r="L217" s="97">
        <f t="shared" si="31"/>
        <v>1.5</v>
      </c>
      <c r="M217" s="97">
        <f t="shared" si="31"/>
        <v>1.5</v>
      </c>
      <c r="N217" s="97">
        <f t="shared" si="31"/>
        <v>1.5</v>
      </c>
      <c r="O217" s="97">
        <f t="shared" si="31"/>
        <v>1.5</v>
      </c>
      <c r="P217" s="97">
        <f t="shared" si="31"/>
        <v>1.5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1.5</v>
      </c>
      <c r="AH217" s="54"/>
      <c r="AI217" s="55"/>
      <c r="AK217" s="56"/>
    </row>
    <row r="218" spans="1:37" x14ac:dyDescent="0.25">
      <c r="A218" s="163" t="s">
        <v>86</v>
      </c>
      <c r="B218" s="97">
        <f t="shared" si="30"/>
        <v>0</v>
      </c>
      <c r="C218" s="97">
        <v>0.3</v>
      </c>
      <c r="D218" s="97">
        <f t="shared" si="31"/>
        <v>0.3</v>
      </c>
      <c r="E218" s="97">
        <f t="shared" si="31"/>
        <v>0.3</v>
      </c>
      <c r="F218" s="97">
        <f t="shared" si="31"/>
        <v>0.3</v>
      </c>
      <c r="G218" s="97">
        <f t="shared" si="31"/>
        <v>0.3</v>
      </c>
      <c r="H218" s="97">
        <f t="shared" si="31"/>
        <v>0.3</v>
      </c>
      <c r="I218" s="97">
        <f t="shared" si="31"/>
        <v>0.3</v>
      </c>
      <c r="J218" s="97">
        <f t="shared" si="31"/>
        <v>0.3</v>
      </c>
      <c r="K218" s="97">
        <f t="shared" si="31"/>
        <v>0.3</v>
      </c>
      <c r="L218" s="97">
        <f t="shared" si="31"/>
        <v>0.3</v>
      </c>
      <c r="M218" s="97">
        <f t="shared" si="31"/>
        <v>0.3</v>
      </c>
      <c r="N218" s="97">
        <f t="shared" si="31"/>
        <v>0.3</v>
      </c>
      <c r="O218" s="97">
        <f t="shared" si="31"/>
        <v>0.3</v>
      </c>
      <c r="P218" s="97">
        <f t="shared" si="31"/>
        <v>0.3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x14ac:dyDescent="0.25">
      <c r="A219" s="163" t="s">
        <v>87</v>
      </c>
      <c r="B219" s="97">
        <f t="shared" si="30"/>
        <v>0</v>
      </c>
      <c r="C219" s="97">
        <v>0.4</v>
      </c>
      <c r="D219" s="97">
        <f t="shared" si="31"/>
        <v>0.4</v>
      </c>
      <c r="E219" s="97">
        <f t="shared" si="31"/>
        <v>0.4</v>
      </c>
      <c r="F219" s="97">
        <f t="shared" si="31"/>
        <v>0.4</v>
      </c>
      <c r="G219" s="97">
        <f t="shared" si="31"/>
        <v>0.4</v>
      </c>
      <c r="H219" s="97">
        <f t="shared" si="31"/>
        <v>0.4</v>
      </c>
      <c r="I219" s="97">
        <f t="shared" si="31"/>
        <v>0.4</v>
      </c>
      <c r="J219" s="97">
        <f t="shared" si="31"/>
        <v>0.4</v>
      </c>
      <c r="K219" s="97">
        <f t="shared" si="31"/>
        <v>0.4</v>
      </c>
      <c r="L219" s="97">
        <f t="shared" si="31"/>
        <v>0.4</v>
      </c>
      <c r="M219" s="97">
        <f t="shared" si="31"/>
        <v>0.4</v>
      </c>
      <c r="N219" s="97">
        <f t="shared" si="31"/>
        <v>0.4</v>
      </c>
      <c r="O219" s="97">
        <f t="shared" si="31"/>
        <v>0.4</v>
      </c>
      <c r="P219" s="97">
        <f t="shared" si="31"/>
        <v>0.4</v>
      </c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  <c r="AE219" s="97"/>
      <c r="AF219" s="97"/>
      <c r="AG219" s="156">
        <v>1</v>
      </c>
      <c r="AH219" s="54"/>
      <c r="AI219" s="55"/>
      <c r="AK219" s="56"/>
    </row>
    <row r="220" spans="1:37" ht="15.75" thickBot="1" x14ac:dyDescent="0.3">
      <c r="A220" s="164" t="s">
        <v>88</v>
      </c>
      <c r="B220" s="102">
        <f t="shared" si="30"/>
        <v>0</v>
      </c>
      <c r="C220" s="102">
        <v>0.64</v>
      </c>
      <c r="D220" s="102">
        <f t="shared" si="31"/>
        <v>0.64</v>
      </c>
      <c r="E220" s="102">
        <f t="shared" si="31"/>
        <v>0.64</v>
      </c>
      <c r="F220" s="102">
        <f t="shared" si="31"/>
        <v>0.64</v>
      </c>
      <c r="G220" s="102">
        <f t="shared" si="31"/>
        <v>0.64</v>
      </c>
      <c r="H220" s="102">
        <f t="shared" si="31"/>
        <v>0.64</v>
      </c>
      <c r="I220" s="102">
        <f t="shared" si="31"/>
        <v>0.64</v>
      </c>
      <c r="J220" s="102">
        <f t="shared" si="31"/>
        <v>0.64</v>
      </c>
      <c r="K220" s="102">
        <f t="shared" si="31"/>
        <v>0.64</v>
      </c>
      <c r="L220" s="102">
        <f t="shared" si="31"/>
        <v>0.64</v>
      </c>
      <c r="M220" s="102">
        <f t="shared" si="31"/>
        <v>0.64</v>
      </c>
      <c r="N220" s="102">
        <f t="shared" si="31"/>
        <v>0.64</v>
      </c>
      <c r="O220" s="102">
        <f t="shared" si="31"/>
        <v>0.64</v>
      </c>
      <c r="P220" s="102">
        <f t="shared" si="31"/>
        <v>0.64</v>
      </c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57">
        <v>0.66</v>
      </c>
      <c r="AH220" s="54"/>
      <c r="AI220" s="55"/>
    </row>
    <row r="221" spans="1:37" ht="15.75" thickBot="1" x14ac:dyDescent="0.3">
      <c r="A221" s="173" t="s">
        <v>35</v>
      </c>
      <c r="B221" s="103">
        <f>SUM(B215:B220)</f>
        <v>0</v>
      </c>
      <c r="C221" s="103">
        <f>SUM(C215:C220)</f>
        <v>3.54</v>
      </c>
      <c r="D221" s="103">
        <f t="shared" ref="D221:L221" si="32">SUM(D215:D220)</f>
        <v>3.54</v>
      </c>
      <c r="E221" s="103">
        <f t="shared" si="32"/>
        <v>3.54</v>
      </c>
      <c r="F221" s="103">
        <f t="shared" si="32"/>
        <v>3.54</v>
      </c>
      <c r="G221" s="103">
        <f t="shared" si="32"/>
        <v>3.54</v>
      </c>
      <c r="H221" s="103">
        <f t="shared" si="32"/>
        <v>3.54</v>
      </c>
      <c r="I221" s="103">
        <f t="shared" si="32"/>
        <v>3.54</v>
      </c>
      <c r="J221" s="103">
        <f t="shared" si="32"/>
        <v>3.54</v>
      </c>
      <c r="K221" s="103">
        <f t="shared" si="32"/>
        <v>3.54</v>
      </c>
      <c r="L221" s="103">
        <f t="shared" si="32"/>
        <v>3.54</v>
      </c>
      <c r="M221" s="103">
        <f>SUM(M215:M220)</f>
        <v>3.54</v>
      </c>
      <c r="N221" s="103">
        <f t="shared" ref="N221:S221" si="33">SUM(N215:N220)</f>
        <v>3.54</v>
      </c>
      <c r="O221" s="103">
        <f t="shared" si="33"/>
        <v>3.54</v>
      </c>
      <c r="P221" s="103">
        <f t="shared" si="33"/>
        <v>3.54</v>
      </c>
      <c r="Q221" s="103">
        <f t="shared" si="33"/>
        <v>0</v>
      </c>
      <c r="R221" s="103">
        <f t="shared" si="33"/>
        <v>0</v>
      </c>
      <c r="S221" s="103">
        <f t="shared" si="33"/>
        <v>0</v>
      </c>
      <c r="T221" s="103">
        <f>SUM(T215:T220)</f>
        <v>0</v>
      </c>
      <c r="U221" s="103">
        <f t="shared" ref="U221:AG221" si="34">SUM(U215:U220)</f>
        <v>0</v>
      </c>
      <c r="V221" s="103">
        <f t="shared" si="34"/>
        <v>0</v>
      </c>
      <c r="W221" s="103">
        <f t="shared" si="34"/>
        <v>0</v>
      </c>
      <c r="X221" s="103">
        <f t="shared" si="34"/>
        <v>0</v>
      </c>
      <c r="Y221" s="103">
        <f t="shared" si="34"/>
        <v>0</v>
      </c>
      <c r="Z221" s="103">
        <f t="shared" si="34"/>
        <v>0</v>
      </c>
      <c r="AA221" s="103">
        <f t="shared" si="34"/>
        <v>0</v>
      </c>
      <c r="AB221" s="103">
        <f t="shared" si="34"/>
        <v>0</v>
      </c>
      <c r="AC221" s="103">
        <f t="shared" si="34"/>
        <v>0</v>
      </c>
      <c r="AD221" s="103">
        <f t="shared" si="34"/>
        <v>0</v>
      </c>
      <c r="AE221" s="103">
        <f t="shared" si="34"/>
        <v>0</v>
      </c>
      <c r="AF221" s="103">
        <f t="shared" si="34"/>
        <v>0</v>
      </c>
      <c r="AG221" s="158">
        <f t="shared" si="34"/>
        <v>8.56</v>
      </c>
      <c r="AH221" s="54"/>
      <c r="AI221" s="55"/>
    </row>
    <row r="222" spans="1:37" ht="15.75" thickBot="1" x14ac:dyDescent="0.3"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  <c r="AA222" s="179"/>
      <c r="AB222" s="179"/>
      <c r="AC222" s="179"/>
      <c r="AD222" s="179"/>
      <c r="AE222" s="179"/>
      <c r="AF222" s="179"/>
      <c r="AG222" s="84"/>
      <c r="AH222" s="179"/>
    </row>
    <row r="223" spans="1:37" x14ac:dyDescent="0.25">
      <c r="A223" s="79" t="s">
        <v>89</v>
      </c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  <c r="AE223" s="104"/>
      <c r="AF223" s="105"/>
      <c r="AG223" s="179"/>
      <c r="AH223" s="54"/>
      <c r="AI223" s="55"/>
    </row>
    <row r="224" spans="1:37" x14ac:dyDescent="0.25">
      <c r="A224" s="106" t="s">
        <v>90</v>
      </c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8"/>
      <c r="AG224" s="109"/>
      <c r="AH224" s="54"/>
      <c r="AI224" s="55"/>
    </row>
    <row r="225" spans="1:50" x14ac:dyDescent="0.25">
      <c r="A225" s="81" t="s">
        <v>91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x14ac:dyDescent="0.25">
      <c r="A226" s="81" t="s">
        <v>92</v>
      </c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1"/>
      <c r="AG226" s="109"/>
      <c r="AH226" s="54"/>
      <c r="AI226" s="55"/>
    </row>
    <row r="227" spans="1:50" ht="15.75" thickBot="1" x14ac:dyDescent="0.3">
      <c r="A227" s="112" t="s">
        <v>93</v>
      </c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  <c r="AB227" s="113"/>
      <c r="AC227" s="113"/>
      <c r="AD227" s="113"/>
      <c r="AE227" s="113"/>
      <c r="AF227" s="114"/>
      <c r="AG227" s="109"/>
      <c r="AH227" s="54"/>
      <c r="AI227" s="55"/>
    </row>
    <row r="228" spans="1:50" x14ac:dyDescent="0.25"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  <c r="AC228" s="179"/>
      <c r="AD228" s="179"/>
      <c r="AE228" s="179"/>
      <c r="AF228" s="179"/>
      <c r="AG228" s="179"/>
      <c r="AH228" s="179"/>
    </row>
    <row r="229" spans="1:50" x14ac:dyDescent="0.25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  <c r="AC229" s="179"/>
      <c r="AD229" s="179"/>
      <c r="AE229" s="179"/>
      <c r="AF229" s="179"/>
      <c r="AG229" s="179"/>
      <c r="AH229" s="179"/>
    </row>
    <row r="230" spans="1:50" x14ac:dyDescent="0.25">
      <c r="A230" s="115" t="s">
        <v>94</v>
      </c>
      <c r="B230" s="116">
        <f>MAX(G79:N79)</f>
        <v>1880.4800000000002</v>
      </c>
      <c r="C230" s="117">
        <f>INDEX(G9:N9,1,MATCH(MAX(G79:N79),G79:N79,0))</f>
        <v>0.375</v>
      </c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79"/>
      <c r="AH230" s="179"/>
    </row>
    <row r="231" spans="1:50" x14ac:dyDescent="0.25"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18" t="str">
        <f ca="1">MID(CELL("filename",C7),FIND("]",CELL("filename",C7))+1,600)</f>
        <v>28</v>
      </c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  <c r="AE231" s="179"/>
      <c r="AF231" s="179"/>
      <c r="AG231" s="179"/>
      <c r="AH231" s="179"/>
    </row>
    <row r="232" spans="1:50" x14ac:dyDescent="0.25">
      <c r="A232" s="208" t="s">
        <v>95</v>
      </c>
      <c r="B232" s="208"/>
      <c r="C232" s="179"/>
      <c r="D232" s="118" t="str">
        <f ca="1">"Pie Chart of Daily Peak Demand(Inclusive of Export) of Nepal ("&amp;A4&amp;" "&amp;B4&amp;")"</f>
        <v>Pie Chart of Daily Peak Demand(Inclusive of Export) of Nepal (Nepali Date: 2079/02/28)</v>
      </c>
      <c r="E232" s="179"/>
      <c r="F232" s="179"/>
      <c r="G232" s="118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18" t="str">
        <f ca="1">"Daily Load Curve(Excluding of Export) of Nepal ("&amp;A4&amp;" "&amp;B4&amp;")"</f>
        <v>Daily Load Curve(Excluding of Export) of Nepal (Nepali Date: 2079/02/28)</v>
      </c>
      <c r="T232" s="179"/>
      <c r="U232" s="179"/>
      <c r="V232" s="179"/>
      <c r="W232" s="179"/>
      <c r="X232" s="179"/>
      <c r="Y232" s="179"/>
      <c r="Z232" s="179"/>
      <c r="AA232" s="179"/>
      <c r="AB232" s="179"/>
      <c r="AC232" s="179"/>
      <c r="AD232" s="179"/>
      <c r="AE232" s="179"/>
      <c r="AF232" s="179"/>
      <c r="AG232" s="179"/>
      <c r="AH232" s="179"/>
    </row>
    <row r="233" spans="1:50" ht="12.75" customHeight="1" thickBot="1" x14ac:dyDescent="0.3">
      <c r="A233" s="119" t="s">
        <v>7</v>
      </c>
      <c r="B233" s="120"/>
      <c r="C233" s="179"/>
      <c r="D233" s="121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  <c r="AA233" s="179"/>
      <c r="AB233" s="179"/>
      <c r="AC233" s="179"/>
      <c r="AD233" s="179"/>
      <c r="AE233" s="179"/>
      <c r="AF233" s="179"/>
      <c r="AG233" s="179"/>
      <c r="AH233" s="179"/>
    </row>
    <row r="234" spans="1:50" ht="15.75" thickTop="1" x14ac:dyDescent="0.25">
      <c r="A234" s="119" t="s">
        <v>96</v>
      </c>
      <c r="B234" s="120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22" t="s">
        <v>97</v>
      </c>
      <c r="T234" s="123">
        <v>0</v>
      </c>
      <c r="U234" s="124">
        <v>4.1666666666666664E-2</v>
      </c>
      <c r="V234" s="125">
        <v>8.3333333333333301E-2</v>
      </c>
      <c r="W234" s="125">
        <v>0.125</v>
      </c>
      <c r="X234" s="125">
        <v>0.16666666666666699</v>
      </c>
      <c r="Y234" s="125">
        <v>0.20833333333333301</v>
      </c>
      <c r="Z234" s="125">
        <v>0.22916666666666666</v>
      </c>
      <c r="AA234" s="125">
        <v>0.25</v>
      </c>
      <c r="AB234" s="125">
        <v>0.27083333333333331</v>
      </c>
      <c r="AC234" s="125">
        <v>0.29166666666666669</v>
      </c>
      <c r="AD234" s="125">
        <v>0.3125</v>
      </c>
      <c r="AE234" s="126">
        <v>0.33333333333333331</v>
      </c>
      <c r="AF234" s="126">
        <v>0.375</v>
      </c>
      <c r="AG234" s="126">
        <v>0.41666666666666702</v>
      </c>
      <c r="AH234" s="126">
        <v>0.45833333333333298</v>
      </c>
      <c r="AI234" s="126">
        <v>0.5</v>
      </c>
      <c r="AJ234" s="126">
        <v>0.54166666666666696</v>
      </c>
      <c r="AK234" s="126">
        <v>0.58333333333333304</v>
      </c>
      <c r="AL234" s="126">
        <v>0.625</v>
      </c>
      <c r="AM234" s="126">
        <v>0.66666666666666696</v>
      </c>
      <c r="AN234" s="126">
        <v>0.70833333333333304</v>
      </c>
      <c r="AO234" s="126">
        <v>0.72916666666666663</v>
      </c>
      <c r="AP234" s="126">
        <v>0.75</v>
      </c>
      <c r="AQ234" s="126">
        <v>0.77083333333333337</v>
      </c>
      <c r="AR234" s="126">
        <v>0.79166666666666663</v>
      </c>
      <c r="AS234" s="126">
        <v>0.8125</v>
      </c>
      <c r="AT234" s="125">
        <v>0.83333333333333337</v>
      </c>
      <c r="AU234" s="125">
        <v>0.85416666666666663</v>
      </c>
      <c r="AV234" s="125">
        <v>0.875</v>
      </c>
      <c r="AW234" s="125">
        <v>0.91666666666666696</v>
      </c>
      <c r="AX234" s="125">
        <v>0.95833333333333304</v>
      </c>
    </row>
    <row r="235" spans="1:50" x14ac:dyDescent="0.25">
      <c r="A235" s="119" t="s">
        <v>98</v>
      </c>
      <c r="B235" s="120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 t="s">
        <v>99</v>
      </c>
      <c r="T235" s="127">
        <f t="shared" ref="T235:AX235" si="35">B79</f>
        <v>1830.98</v>
      </c>
      <c r="U235" s="127">
        <f t="shared" si="35"/>
        <v>1814.78</v>
      </c>
      <c r="V235" s="127">
        <f t="shared" si="35"/>
        <v>1781.18</v>
      </c>
      <c r="W235" s="127">
        <f t="shared" si="35"/>
        <v>1784.78</v>
      </c>
      <c r="X235" s="127">
        <f t="shared" si="35"/>
        <v>1766.28</v>
      </c>
      <c r="Y235" s="127">
        <f t="shared" si="35"/>
        <v>1761.28</v>
      </c>
      <c r="Z235" s="127">
        <f t="shared" si="35"/>
        <v>1761.28</v>
      </c>
      <c r="AA235" s="127">
        <f t="shared" si="35"/>
        <v>1697.58</v>
      </c>
      <c r="AB235" s="127">
        <f t="shared" si="35"/>
        <v>1707.58</v>
      </c>
      <c r="AC235" s="127">
        <f t="shared" si="35"/>
        <v>1734.48</v>
      </c>
      <c r="AD235" s="127">
        <f t="shared" si="35"/>
        <v>1739.1799999999998</v>
      </c>
      <c r="AE235" s="127">
        <f t="shared" si="35"/>
        <v>1774.28</v>
      </c>
      <c r="AF235" s="127">
        <f t="shared" si="35"/>
        <v>1880.4800000000002</v>
      </c>
      <c r="AG235" s="127">
        <f t="shared" si="35"/>
        <v>1888.4400000000003</v>
      </c>
      <c r="AH235" s="127">
        <f t="shared" si="35"/>
        <v>1872.64</v>
      </c>
      <c r="AI235" s="127">
        <f t="shared" si="35"/>
        <v>1872.64</v>
      </c>
      <c r="AJ235" s="127">
        <f t="shared" si="35"/>
        <v>1872.64</v>
      </c>
      <c r="AK235" s="127">
        <f t="shared" si="35"/>
        <v>1789.64</v>
      </c>
      <c r="AL235" s="127">
        <f t="shared" si="35"/>
        <v>1772.94</v>
      </c>
      <c r="AM235" s="127">
        <f t="shared" si="35"/>
        <v>1775.14</v>
      </c>
      <c r="AN235" s="127">
        <f t="shared" si="35"/>
        <v>1785.34</v>
      </c>
      <c r="AO235" s="127">
        <f t="shared" si="35"/>
        <v>1796.6399999999999</v>
      </c>
      <c r="AP235" s="127">
        <f t="shared" si="35"/>
        <v>1813.04</v>
      </c>
      <c r="AQ235" s="127">
        <f t="shared" si="35"/>
        <v>1809.44</v>
      </c>
      <c r="AR235" s="127">
        <f t="shared" si="35"/>
        <v>1838.04</v>
      </c>
      <c r="AS235" s="127">
        <f t="shared" si="35"/>
        <v>1912.84</v>
      </c>
      <c r="AT235" s="127">
        <f t="shared" si="35"/>
        <v>1889.34</v>
      </c>
      <c r="AU235" s="127">
        <f t="shared" si="35"/>
        <v>1867.1399999999999</v>
      </c>
      <c r="AV235" s="127">
        <f t="shared" si="35"/>
        <v>1868.04</v>
      </c>
      <c r="AW235" s="127">
        <f t="shared" si="35"/>
        <v>1864.5400000000002</v>
      </c>
      <c r="AX235" s="127">
        <f t="shared" si="35"/>
        <v>1833.34</v>
      </c>
    </row>
    <row r="236" spans="1:50" x14ac:dyDescent="0.25">
      <c r="A236" s="119" t="s">
        <v>100</v>
      </c>
      <c r="B236" s="120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79"/>
      <c r="AE236" s="179"/>
      <c r="AF236" s="179"/>
      <c r="AG236" s="179"/>
      <c r="AH236" s="179"/>
    </row>
    <row r="237" spans="1:50" x14ac:dyDescent="0.25">
      <c r="A237" s="119" t="s">
        <v>101</v>
      </c>
      <c r="B237" s="120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  <c r="AE237" s="179"/>
      <c r="AF237" s="179"/>
      <c r="AG237" s="179"/>
      <c r="AH237" s="179"/>
    </row>
    <row r="238" spans="1:50" x14ac:dyDescent="0.25">
      <c r="A238" s="119" t="s">
        <v>102</v>
      </c>
      <c r="B238" s="120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  <c r="AE238" s="179"/>
      <c r="AF238" s="179"/>
      <c r="AG238" s="179"/>
      <c r="AH238" s="179"/>
    </row>
    <row r="239" spans="1:50" x14ac:dyDescent="0.25">
      <c r="A239" s="119" t="s">
        <v>103</v>
      </c>
      <c r="B239" s="128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</row>
    <row r="240" spans="1:50" x14ac:dyDescent="0.25">
      <c r="A240" s="119" t="s">
        <v>104</v>
      </c>
      <c r="B240" s="120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  <c r="AD240" s="179"/>
      <c r="AE240" s="179"/>
      <c r="AF240" s="179"/>
      <c r="AG240" s="179"/>
      <c r="AH240" s="179"/>
    </row>
    <row r="241" spans="1:36" x14ac:dyDescent="0.25"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  <c r="AC241" s="179"/>
      <c r="AD241" s="179"/>
      <c r="AE241" s="179"/>
      <c r="AF241" s="179"/>
      <c r="AG241" s="179"/>
      <c r="AH241" s="179"/>
    </row>
    <row r="242" spans="1:36" x14ac:dyDescent="0.25"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  <c r="AC242" s="179"/>
      <c r="AD242" s="179"/>
      <c r="AE242" s="179"/>
      <c r="AF242" s="179"/>
      <c r="AG242" s="179"/>
      <c r="AH242" s="179"/>
    </row>
    <row r="243" spans="1:36" x14ac:dyDescent="0.25"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  <c r="AC243" s="179"/>
      <c r="AD243" s="179"/>
      <c r="AE243" s="179"/>
      <c r="AF243" s="179"/>
      <c r="AG243" s="179"/>
      <c r="AH243" s="179"/>
    </row>
    <row r="244" spans="1:36" x14ac:dyDescent="0.25"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  <c r="AC244" s="179"/>
      <c r="AD244" s="179"/>
      <c r="AE244" s="179"/>
      <c r="AF244" s="179"/>
      <c r="AG244" s="179"/>
      <c r="AH244" s="179"/>
    </row>
    <row r="245" spans="1:36" x14ac:dyDescent="0.25"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  <c r="AG245" s="179"/>
      <c r="AH245" s="179"/>
    </row>
    <row r="246" spans="1:36" x14ac:dyDescent="0.25"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  <c r="AC246" s="179"/>
      <c r="AD246" s="179"/>
      <c r="AE246" s="179"/>
      <c r="AF246" s="179"/>
      <c r="AG246" s="179"/>
      <c r="AH246" s="179"/>
    </row>
    <row r="247" spans="1:36" x14ac:dyDescent="0.25"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  <c r="AC247" s="179"/>
      <c r="AD247" s="179"/>
      <c r="AE247" s="179"/>
      <c r="AF247" s="179"/>
      <c r="AG247" s="179"/>
      <c r="AH247" s="179"/>
      <c r="AJ247"/>
    </row>
    <row r="248" spans="1:36" x14ac:dyDescent="0.25"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  <c r="AC248" s="179"/>
      <c r="AD248" s="179"/>
      <c r="AE248" s="179"/>
      <c r="AF248" s="179"/>
      <c r="AG248" s="179"/>
      <c r="AH248" s="179"/>
      <c r="AJ248"/>
    </row>
    <row r="249" spans="1:36" x14ac:dyDescent="0.25"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  <c r="AC249" s="179"/>
      <c r="AD249" s="179"/>
      <c r="AE249" s="179"/>
      <c r="AF249" s="179"/>
      <c r="AG249" s="179"/>
      <c r="AH249" s="179"/>
      <c r="AJ249"/>
    </row>
    <row r="250" spans="1:36" x14ac:dyDescent="0.25"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  <c r="AC250" s="179"/>
      <c r="AD250" s="179"/>
      <c r="AE250" s="179"/>
      <c r="AF250" s="179"/>
      <c r="AG250" s="179"/>
      <c r="AH250" s="179"/>
      <c r="AJ250"/>
    </row>
    <row r="251" spans="1:36" x14ac:dyDescent="0.25"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  <c r="AE251" s="179"/>
      <c r="AF251" s="179"/>
      <c r="AG251" s="179"/>
      <c r="AH251" s="179"/>
      <c r="AJ251"/>
    </row>
    <row r="252" spans="1:36" x14ac:dyDescent="0.25"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  <c r="AC252" s="179"/>
      <c r="AD252" s="179"/>
      <c r="AE252" s="179"/>
      <c r="AF252" s="179"/>
      <c r="AG252" s="179"/>
      <c r="AH252" s="179"/>
      <c r="AJ252"/>
    </row>
    <row r="253" spans="1:36" x14ac:dyDescent="0.25"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J253"/>
    </row>
    <row r="254" spans="1:36" x14ac:dyDescent="0.25"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  <c r="AE254" s="179"/>
      <c r="AF254" s="179"/>
      <c r="AG254" s="179"/>
      <c r="AH254" s="179"/>
      <c r="AJ254"/>
    </row>
    <row r="255" spans="1:36" x14ac:dyDescent="0.25"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  <c r="AA255" s="179"/>
      <c r="AB255" s="179"/>
      <c r="AC255" s="179"/>
      <c r="AD255" s="179"/>
      <c r="AE255" s="179"/>
      <c r="AF255" s="179"/>
      <c r="AG255" s="179"/>
      <c r="AH255" s="179"/>
      <c r="AJ255"/>
    </row>
    <row r="256" spans="1:36" x14ac:dyDescent="0.25">
      <c r="A256" s="129" t="s">
        <v>89</v>
      </c>
      <c r="B256" s="130">
        <f t="shared" ref="B256:AE256" si="36">C220</f>
        <v>0.64</v>
      </c>
      <c r="C256" s="130">
        <f t="shared" si="36"/>
        <v>0.64</v>
      </c>
      <c r="D256" s="130">
        <f t="shared" si="36"/>
        <v>0.64</v>
      </c>
      <c r="E256" s="130">
        <f t="shared" si="36"/>
        <v>0.64</v>
      </c>
      <c r="F256" s="130">
        <f t="shared" si="36"/>
        <v>0.64</v>
      </c>
      <c r="G256" s="130">
        <f t="shared" si="36"/>
        <v>0.64</v>
      </c>
      <c r="H256" s="130">
        <f t="shared" si="36"/>
        <v>0.64</v>
      </c>
      <c r="I256" s="130">
        <f t="shared" si="36"/>
        <v>0.64</v>
      </c>
      <c r="J256" s="130">
        <f t="shared" si="36"/>
        <v>0.64</v>
      </c>
      <c r="K256" s="130">
        <f t="shared" si="36"/>
        <v>0.64</v>
      </c>
      <c r="L256" s="130">
        <f t="shared" si="36"/>
        <v>0.64</v>
      </c>
      <c r="M256" s="130">
        <f t="shared" si="36"/>
        <v>0.64</v>
      </c>
      <c r="N256" s="130">
        <f t="shared" si="36"/>
        <v>0.64</v>
      </c>
      <c r="O256" s="130">
        <f t="shared" si="36"/>
        <v>0.64</v>
      </c>
      <c r="P256" s="130">
        <f t="shared" si="36"/>
        <v>0</v>
      </c>
      <c r="Q256" s="130">
        <f t="shared" si="36"/>
        <v>0</v>
      </c>
      <c r="R256" s="130">
        <f t="shared" si="36"/>
        <v>0</v>
      </c>
      <c r="S256" s="130">
        <f t="shared" si="36"/>
        <v>0</v>
      </c>
      <c r="T256" s="130">
        <f t="shared" si="36"/>
        <v>0</v>
      </c>
      <c r="U256" s="130">
        <f t="shared" si="36"/>
        <v>0</v>
      </c>
      <c r="V256" s="130">
        <f t="shared" si="36"/>
        <v>0</v>
      </c>
      <c r="W256" s="130">
        <f t="shared" si="36"/>
        <v>0</v>
      </c>
      <c r="X256" s="130">
        <f t="shared" si="36"/>
        <v>0</v>
      </c>
      <c r="Y256" s="130">
        <f t="shared" si="36"/>
        <v>0</v>
      </c>
      <c r="Z256" s="130">
        <f t="shared" si="36"/>
        <v>0</v>
      </c>
      <c r="AA256" s="130">
        <f t="shared" si="36"/>
        <v>0</v>
      </c>
      <c r="AB256" s="130">
        <f t="shared" si="36"/>
        <v>0</v>
      </c>
      <c r="AC256" s="130">
        <f t="shared" si="36"/>
        <v>0</v>
      </c>
      <c r="AD256" s="130">
        <f t="shared" si="36"/>
        <v>0</v>
      </c>
      <c r="AE256" s="130">
        <f t="shared" si="36"/>
        <v>0</v>
      </c>
      <c r="AF256" s="130">
        <f>B220</f>
        <v>0</v>
      </c>
      <c r="AG256" s="179"/>
      <c r="AH256" s="179"/>
      <c r="AJ256"/>
    </row>
    <row r="257" spans="1:36" x14ac:dyDescent="0.25">
      <c r="A257" s="88" t="str">
        <f>A224</f>
        <v>KGA</v>
      </c>
      <c r="B257" s="88" t="str">
        <f>IF(B224&lt;100,"",B224-520)</f>
        <v/>
      </c>
      <c r="C257" s="88" t="str">
        <f t="shared" ref="C257:AF257" si="37">IF(C224&lt;100,"",C224-520)</f>
        <v/>
      </c>
      <c r="D257" s="88" t="str">
        <f t="shared" si="37"/>
        <v/>
      </c>
      <c r="E257" s="88" t="str">
        <f t="shared" si="37"/>
        <v/>
      </c>
      <c r="F257" s="88" t="str">
        <f t="shared" si="37"/>
        <v/>
      </c>
      <c r="G257" s="88" t="str">
        <f t="shared" si="37"/>
        <v/>
      </c>
      <c r="H257" s="88" t="str">
        <f t="shared" si="37"/>
        <v/>
      </c>
      <c r="I257" s="88" t="str">
        <f t="shared" si="37"/>
        <v/>
      </c>
      <c r="J257" s="88" t="str">
        <f t="shared" si="37"/>
        <v/>
      </c>
      <c r="K257" s="88" t="str">
        <f t="shared" si="37"/>
        <v/>
      </c>
      <c r="L257" s="88" t="str">
        <f t="shared" si="37"/>
        <v/>
      </c>
      <c r="M257" s="88" t="str">
        <f t="shared" si="37"/>
        <v/>
      </c>
      <c r="N257" s="88" t="str">
        <f t="shared" si="37"/>
        <v/>
      </c>
      <c r="O257" s="88" t="str">
        <f t="shared" si="37"/>
        <v/>
      </c>
      <c r="P257" s="88" t="str">
        <f t="shared" si="37"/>
        <v/>
      </c>
      <c r="Q257" s="88" t="str">
        <f t="shared" si="37"/>
        <v/>
      </c>
      <c r="R257" s="88" t="str">
        <f t="shared" si="37"/>
        <v/>
      </c>
      <c r="S257" s="88" t="str">
        <f t="shared" si="37"/>
        <v/>
      </c>
      <c r="T257" s="88" t="str">
        <f t="shared" si="37"/>
        <v/>
      </c>
      <c r="U257" s="88" t="str">
        <f t="shared" si="37"/>
        <v/>
      </c>
      <c r="V257" s="88" t="str">
        <f t="shared" si="37"/>
        <v/>
      </c>
      <c r="W257" s="88" t="str">
        <f t="shared" si="37"/>
        <v/>
      </c>
      <c r="X257" s="88" t="str">
        <f t="shared" si="37"/>
        <v/>
      </c>
      <c r="Y257" s="88" t="str">
        <f t="shared" si="37"/>
        <v/>
      </c>
      <c r="Z257" s="88" t="str">
        <f t="shared" si="37"/>
        <v/>
      </c>
      <c r="AA257" s="88" t="str">
        <f t="shared" si="37"/>
        <v/>
      </c>
      <c r="AB257" s="88" t="str">
        <f t="shared" si="37"/>
        <v/>
      </c>
      <c r="AC257" s="88" t="str">
        <f t="shared" si="37"/>
        <v/>
      </c>
      <c r="AD257" s="88" t="str">
        <f t="shared" si="37"/>
        <v/>
      </c>
      <c r="AE257" s="88" t="str">
        <f t="shared" si="37"/>
        <v/>
      </c>
      <c r="AF257" s="88" t="str">
        <f t="shared" si="37"/>
        <v/>
      </c>
      <c r="AG257" s="179"/>
      <c r="AH257" s="179"/>
      <c r="AJ257"/>
    </row>
    <row r="258" spans="1:36" x14ac:dyDescent="0.25">
      <c r="A258" s="88" t="str">
        <f>A225</f>
        <v>MMRS</v>
      </c>
      <c r="B258" s="88" t="str">
        <f t="shared" ref="B258:AF258" si="38">IF(B225&lt;100,"",B225-620)</f>
        <v/>
      </c>
      <c r="C258" s="88" t="str">
        <f t="shared" si="38"/>
        <v/>
      </c>
      <c r="D258" s="88" t="str">
        <f t="shared" si="38"/>
        <v/>
      </c>
      <c r="E258" s="88" t="str">
        <f t="shared" si="38"/>
        <v/>
      </c>
      <c r="F258" s="88" t="str">
        <f t="shared" si="38"/>
        <v/>
      </c>
      <c r="G258" s="88" t="str">
        <f t="shared" si="38"/>
        <v/>
      </c>
      <c r="H258" s="88" t="str">
        <f t="shared" si="38"/>
        <v/>
      </c>
      <c r="I258" s="88" t="str">
        <f t="shared" si="38"/>
        <v/>
      </c>
      <c r="J258" s="88" t="str">
        <f t="shared" si="38"/>
        <v/>
      </c>
      <c r="K258" s="88" t="str">
        <f t="shared" si="38"/>
        <v/>
      </c>
      <c r="L258" s="88" t="str">
        <f t="shared" si="38"/>
        <v/>
      </c>
      <c r="M258" s="88" t="str">
        <f t="shared" si="38"/>
        <v/>
      </c>
      <c r="N258" s="88" t="str">
        <f t="shared" si="38"/>
        <v/>
      </c>
      <c r="O258" s="88" t="str">
        <f t="shared" si="38"/>
        <v/>
      </c>
      <c r="P258" s="88" t="str">
        <f t="shared" si="38"/>
        <v/>
      </c>
      <c r="Q258" s="88" t="str">
        <f t="shared" si="38"/>
        <v/>
      </c>
      <c r="R258" s="88" t="str">
        <f t="shared" si="38"/>
        <v/>
      </c>
      <c r="S258" s="88" t="str">
        <f t="shared" si="38"/>
        <v/>
      </c>
      <c r="T258" s="88" t="str">
        <f t="shared" si="38"/>
        <v/>
      </c>
      <c r="U258" s="88" t="str">
        <f t="shared" si="38"/>
        <v/>
      </c>
      <c r="V258" s="88" t="str">
        <f t="shared" si="38"/>
        <v/>
      </c>
      <c r="W258" s="88" t="str">
        <f t="shared" si="38"/>
        <v/>
      </c>
      <c r="X258" s="88" t="str">
        <f t="shared" si="38"/>
        <v/>
      </c>
      <c r="Y258" s="88" t="str">
        <f t="shared" si="38"/>
        <v/>
      </c>
      <c r="Z258" s="88" t="str">
        <f t="shared" si="38"/>
        <v/>
      </c>
      <c r="AA258" s="88" t="str">
        <f t="shared" si="38"/>
        <v/>
      </c>
      <c r="AB258" s="88" t="str">
        <f t="shared" si="38"/>
        <v/>
      </c>
      <c r="AC258" s="88" t="str">
        <f t="shared" si="38"/>
        <v/>
      </c>
      <c r="AD258" s="88" t="str">
        <f t="shared" si="38"/>
        <v/>
      </c>
      <c r="AE258" s="88" t="str">
        <f t="shared" si="38"/>
        <v/>
      </c>
      <c r="AF258" s="88" t="str">
        <f t="shared" si="38"/>
        <v/>
      </c>
      <c r="AG258" s="179"/>
      <c r="AH258" s="179"/>
      <c r="AJ258"/>
    </row>
    <row r="259" spans="1:36" x14ac:dyDescent="0.25">
      <c r="A259" s="88" t="str">
        <f>A226</f>
        <v>MRS</v>
      </c>
      <c r="B259" s="88" t="str">
        <f t="shared" ref="B259:AF259" si="39">IF(B226&lt;100,"",B226-330)</f>
        <v/>
      </c>
      <c r="C259" s="88" t="str">
        <f t="shared" si="39"/>
        <v/>
      </c>
      <c r="D259" s="88" t="str">
        <f t="shared" si="39"/>
        <v/>
      </c>
      <c r="E259" s="88" t="str">
        <f t="shared" si="39"/>
        <v/>
      </c>
      <c r="F259" s="88" t="str">
        <f t="shared" si="39"/>
        <v/>
      </c>
      <c r="G259" s="88" t="str">
        <f t="shared" si="39"/>
        <v/>
      </c>
      <c r="H259" s="88" t="str">
        <f t="shared" si="39"/>
        <v/>
      </c>
      <c r="I259" s="88" t="str">
        <f t="shared" si="39"/>
        <v/>
      </c>
      <c r="J259" s="88" t="str">
        <f t="shared" si="39"/>
        <v/>
      </c>
      <c r="K259" s="88" t="str">
        <f t="shared" si="39"/>
        <v/>
      </c>
      <c r="L259" s="88" t="str">
        <f t="shared" si="39"/>
        <v/>
      </c>
      <c r="M259" s="88" t="str">
        <f t="shared" si="39"/>
        <v/>
      </c>
      <c r="N259" s="88" t="str">
        <f t="shared" si="39"/>
        <v/>
      </c>
      <c r="O259" s="88" t="str">
        <f t="shared" si="39"/>
        <v/>
      </c>
      <c r="P259" s="88" t="str">
        <f t="shared" si="39"/>
        <v/>
      </c>
      <c r="Q259" s="88" t="str">
        <f t="shared" si="39"/>
        <v/>
      </c>
      <c r="R259" s="88" t="str">
        <f t="shared" si="39"/>
        <v/>
      </c>
      <c r="S259" s="88" t="str">
        <f t="shared" si="39"/>
        <v/>
      </c>
      <c r="T259" s="88" t="str">
        <f t="shared" si="39"/>
        <v/>
      </c>
      <c r="U259" s="88" t="str">
        <f t="shared" si="39"/>
        <v/>
      </c>
      <c r="V259" s="88" t="str">
        <f t="shared" si="39"/>
        <v/>
      </c>
      <c r="W259" s="88" t="str">
        <f t="shared" si="39"/>
        <v/>
      </c>
      <c r="X259" s="88" t="str">
        <f t="shared" si="39"/>
        <v/>
      </c>
      <c r="Y259" s="88" t="str">
        <f t="shared" si="39"/>
        <v/>
      </c>
      <c r="Z259" s="88" t="str">
        <f t="shared" si="39"/>
        <v/>
      </c>
      <c r="AA259" s="88" t="str">
        <f t="shared" si="39"/>
        <v/>
      </c>
      <c r="AB259" s="88" t="str">
        <f t="shared" si="39"/>
        <v/>
      </c>
      <c r="AC259" s="88" t="str">
        <f t="shared" si="39"/>
        <v/>
      </c>
      <c r="AD259" s="88" t="str">
        <f t="shared" si="39"/>
        <v/>
      </c>
      <c r="AE259" s="88" t="str">
        <f t="shared" si="39"/>
        <v/>
      </c>
      <c r="AF259" s="88" t="str">
        <f t="shared" si="39"/>
        <v/>
      </c>
      <c r="AG259" s="179"/>
      <c r="AH259" s="179"/>
      <c r="AJ259"/>
    </row>
    <row r="260" spans="1:36" x14ac:dyDescent="0.25">
      <c r="A260" s="88" t="str">
        <f>A227</f>
        <v>KL 1</v>
      </c>
      <c r="B260" s="88" t="str">
        <f>IF(B227&lt;100,"",B227-1500)</f>
        <v/>
      </c>
      <c r="C260" s="88" t="str">
        <f t="shared" ref="C260:AF260" si="40">IF(C227&lt;100,"",C227-1500)</f>
        <v/>
      </c>
      <c r="D260" s="88" t="str">
        <f t="shared" si="40"/>
        <v/>
      </c>
      <c r="E260" s="88" t="str">
        <f t="shared" si="40"/>
        <v/>
      </c>
      <c r="F260" s="88" t="str">
        <f t="shared" si="40"/>
        <v/>
      </c>
      <c r="G260" s="88" t="str">
        <f t="shared" si="40"/>
        <v/>
      </c>
      <c r="H260" s="88" t="str">
        <f t="shared" si="40"/>
        <v/>
      </c>
      <c r="I260" s="88" t="str">
        <f t="shared" si="40"/>
        <v/>
      </c>
      <c r="J260" s="88" t="str">
        <f t="shared" si="40"/>
        <v/>
      </c>
      <c r="K260" s="88" t="str">
        <f t="shared" si="40"/>
        <v/>
      </c>
      <c r="L260" s="88" t="str">
        <f t="shared" si="40"/>
        <v/>
      </c>
      <c r="M260" s="88" t="str">
        <f t="shared" si="40"/>
        <v/>
      </c>
      <c r="N260" s="88" t="str">
        <f t="shared" si="40"/>
        <v/>
      </c>
      <c r="O260" s="88" t="str">
        <f t="shared" si="40"/>
        <v/>
      </c>
      <c r="P260" s="88" t="str">
        <f t="shared" si="40"/>
        <v/>
      </c>
      <c r="Q260" s="88" t="str">
        <f t="shared" si="40"/>
        <v/>
      </c>
      <c r="R260" s="88" t="str">
        <f t="shared" si="40"/>
        <v/>
      </c>
      <c r="S260" s="88" t="str">
        <f t="shared" si="40"/>
        <v/>
      </c>
      <c r="T260" s="88" t="str">
        <f t="shared" si="40"/>
        <v/>
      </c>
      <c r="U260" s="88" t="str">
        <f t="shared" si="40"/>
        <v/>
      </c>
      <c r="V260" s="88" t="str">
        <f t="shared" si="40"/>
        <v/>
      </c>
      <c r="W260" s="88" t="str">
        <f t="shared" si="40"/>
        <v/>
      </c>
      <c r="X260" s="88" t="str">
        <f t="shared" si="40"/>
        <v/>
      </c>
      <c r="Y260" s="88" t="str">
        <f t="shared" si="40"/>
        <v/>
      </c>
      <c r="Z260" s="88" t="str">
        <f t="shared" si="40"/>
        <v/>
      </c>
      <c r="AA260" s="88" t="str">
        <f t="shared" si="40"/>
        <v/>
      </c>
      <c r="AB260" s="88" t="str">
        <f t="shared" si="40"/>
        <v/>
      </c>
      <c r="AC260" s="88" t="str">
        <f t="shared" si="40"/>
        <v/>
      </c>
      <c r="AD260" s="88" t="str">
        <f t="shared" si="40"/>
        <v/>
      </c>
      <c r="AE260" s="88" t="str">
        <f t="shared" si="40"/>
        <v/>
      </c>
      <c r="AF260" s="88" t="str">
        <f t="shared" si="40"/>
        <v/>
      </c>
      <c r="AG260" s="179"/>
      <c r="AH260" s="179"/>
      <c r="AJ260"/>
    </row>
    <row r="261" spans="1:36" x14ac:dyDescent="0.25"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  <c r="AJ261"/>
    </row>
    <row r="262" spans="1:36" x14ac:dyDescent="0.25"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  <c r="AE262" s="179"/>
      <c r="AF262" s="179"/>
      <c r="AG262" s="179"/>
      <c r="AH262" s="179"/>
      <c r="AJ262"/>
    </row>
    <row r="263" spans="1:36" x14ac:dyDescent="0.25"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  <c r="AC263" s="179"/>
      <c r="AD263" s="179"/>
      <c r="AE263" s="179"/>
      <c r="AF263" s="179"/>
      <c r="AG263" s="179"/>
      <c r="AH263" s="179"/>
      <c r="AJ263"/>
    </row>
    <row r="264" spans="1:36" x14ac:dyDescent="0.25"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  <c r="AC264" s="179"/>
      <c r="AD264" s="179"/>
      <c r="AE264" s="179"/>
      <c r="AF264" s="179"/>
      <c r="AG264" s="179"/>
      <c r="AH264" s="179"/>
      <c r="AJ264"/>
    </row>
    <row r="265" spans="1:36" x14ac:dyDescent="0.25"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  <c r="AC265" s="179"/>
      <c r="AD265" s="179"/>
      <c r="AE265" s="179"/>
      <c r="AF265" s="179"/>
      <c r="AG265" s="179"/>
      <c r="AH265" s="179"/>
      <c r="AJ265"/>
    </row>
    <row r="266" spans="1:36" x14ac:dyDescent="0.25"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  <c r="AC266" s="179"/>
      <c r="AD266" s="179"/>
      <c r="AE266" s="179"/>
      <c r="AF266" s="179"/>
      <c r="AG266" s="179"/>
      <c r="AH266" s="179"/>
      <c r="AJ266"/>
    </row>
    <row r="267" spans="1:36" x14ac:dyDescent="0.25"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  <c r="AA267" s="179"/>
      <c r="AB267" s="179"/>
      <c r="AC267" s="179"/>
      <c r="AD267" s="179"/>
      <c r="AE267" s="179"/>
      <c r="AF267" s="179"/>
      <c r="AJ267"/>
    </row>
    <row r="491" spans="36:38" x14ac:dyDescent="0.25">
      <c r="AK491" s="1"/>
    </row>
    <row r="492" spans="36:38" x14ac:dyDescent="0.25">
      <c r="AK492" s="1"/>
      <c r="AL492" s="1"/>
    </row>
    <row r="493" spans="36:38" x14ac:dyDescent="0.25">
      <c r="AJ49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0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B9:AF10 AA11:AF11 C99:AF105">
    <cfRule type="expression" dxfId="1197" priority="236">
      <formula>B$9&gt;=20/24</formula>
    </cfRule>
    <cfRule type="expression" dxfId="1196" priority="237">
      <formula>AND(B$9&gt;=14/24,B$9&lt;20/24)</formula>
    </cfRule>
    <cfRule type="expression" dxfId="1195" priority="238">
      <formula>AND(B$9&gt;=8/24,B$9&lt;14/24)</formula>
    </cfRule>
    <cfRule type="expression" dxfId="1194" priority="239">
      <formula>B$9&lt;8/24</formula>
    </cfRule>
  </conditionalFormatting>
  <conditionalFormatting sqref="AL4:AL6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1193" priority="231">
      <formula>S$9&gt;=20/24</formula>
    </cfRule>
    <cfRule type="expression" dxfId="1192" priority="232">
      <formula>AND(S$9&gt;=14/24,S$9&lt;20/24)</formula>
    </cfRule>
    <cfRule type="expression" dxfId="1191" priority="233">
      <formula>AND(S$9&gt;=8/24,S$9&lt;14/24)</formula>
    </cfRule>
    <cfRule type="expression" dxfId="1190" priority="234">
      <formula>S$9&lt;8/24</formula>
    </cfRule>
  </conditionalFormatting>
  <conditionalFormatting sqref="AG55 B12:Z16 S37:AF37 AA11:AF16 B35:AF35">
    <cfRule type="expression" dxfId="1189" priority="230">
      <formula>B11&gt;$AG11</formula>
    </cfRule>
  </conditionalFormatting>
  <conditionalFormatting sqref="A89:A101 A11:A14 A49:A76 A85:A87 A191:A221 A16:A30 A36:A47 A107:A178 A32:A33 A81:A83 A78:A79">
    <cfRule type="expression" dxfId="1188" priority="229">
      <formula>$AH11=0</formula>
    </cfRule>
  </conditionalFormatting>
  <conditionalFormatting sqref="A103">
    <cfRule type="expression" dxfId="1187" priority="228">
      <formula>$AH103=0</formula>
    </cfRule>
  </conditionalFormatting>
  <conditionalFormatting sqref="AL33">
    <cfRule type="iconSet" priority="227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1186" priority="226">
      <formula>$AH35=0</formula>
    </cfRule>
  </conditionalFormatting>
  <conditionalFormatting sqref="A88">
    <cfRule type="expression" dxfId="1185" priority="225">
      <formula>$AH88=0</formula>
    </cfRule>
  </conditionalFormatting>
  <conditionalFormatting sqref="A15">
    <cfRule type="expression" dxfId="1184" priority="224">
      <formula>$AH15=0</formula>
    </cfRule>
  </conditionalFormatting>
  <conditionalFormatting sqref="A185:A190">
    <cfRule type="expression" dxfId="1183" priority="223">
      <formula>$AH185=0</formula>
    </cfRule>
  </conditionalFormatting>
  <conditionalFormatting sqref="A179:A184">
    <cfRule type="expression" dxfId="1182" priority="222">
      <formula>$AH179=0</formula>
    </cfRule>
  </conditionalFormatting>
  <conditionalFormatting sqref="A48">
    <cfRule type="expression" dxfId="1181" priority="221">
      <formula>$AH48=0</formula>
    </cfRule>
  </conditionalFormatting>
  <conditionalFormatting sqref="A84">
    <cfRule type="expression" dxfId="1180" priority="220">
      <formula>$AH84=0</formula>
    </cfRule>
  </conditionalFormatting>
  <conditionalFormatting sqref="C89:AF89">
    <cfRule type="expression" dxfId="1179" priority="216">
      <formula>C$9&gt;=20/24</formula>
    </cfRule>
    <cfRule type="expression" dxfId="1178" priority="217">
      <formula>AND(C$9&gt;=14/24,C$9&lt;20/24)</formula>
    </cfRule>
    <cfRule type="expression" dxfId="1177" priority="218">
      <formula>AND(C$9&gt;=8/24,C$9&lt;14/24)</formula>
    </cfRule>
    <cfRule type="expression" dxfId="1176" priority="219">
      <formula>C$9&lt;8/24</formula>
    </cfRule>
  </conditionalFormatting>
  <conditionalFormatting sqref="AL34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175" priority="242">
      <formula>C$9&gt;=20/24</formula>
    </cfRule>
    <cfRule type="expression" dxfId="1174" priority="243">
      <formula>AND(C$9&gt;=14/24,C$9&lt;20/24)</formula>
    </cfRule>
    <cfRule type="expression" dxfId="1173" priority="244">
      <formula>AND(C$9&gt;=8/24,C$9&lt;14/24)</formula>
    </cfRule>
    <cfRule type="expression" dxfId="1172" priority="245">
      <formula>C$9&lt;8/24</formula>
    </cfRule>
  </conditionalFormatting>
  <conditionalFormatting sqref="A222">
    <cfRule type="expression" dxfId="1171" priority="246">
      <formula>$AH222=0</formula>
    </cfRule>
  </conditionalFormatting>
  <conditionalFormatting sqref="AG234">
    <cfRule type="expression" dxfId="1170" priority="247">
      <formula>B$9&gt;=20/24</formula>
    </cfRule>
    <cfRule type="expression" dxfId="1169" priority="248">
      <formula>AND(B$9&gt;=14/24,B$9&lt;20/24)</formula>
    </cfRule>
    <cfRule type="expression" dxfId="1168" priority="249">
      <formula>AND(B$9&gt;=8/24,B$9&lt;14/24)</formula>
    </cfRule>
    <cfRule type="expression" dxfId="1167" priority="250">
      <formula>B$9&lt;8/24</formula>
    </cfRule>
  </conditionalFormatting>
  <conditionalFormatting sqref="S8">
    <cfRule type="expression" dxfId="1166" priority="211">
      <formula>U$9&gt;=20/24</formula>
    </cfRule>
    <cfRule type="expression" dxfId="1165" priority="212">
      <formula>AND(U$9&gt;=14/24,U$9&lt;20/24)</formula>
    </cfRule>
    <cfRule type="expression" dxfId="1164" priority="213">
      <formula>AND(U$9&gt;=8/24,U$9&lt;14/24)</formula>
    </cfRule>
    <cfRule type="expression" dxfId="1163" priority="214">
      <formula>U$9&lt;8/24</formula>
    </cfRule>
  </conditionalFormatting>
  <conditionalFormatting sqref="AB8">
    <cfRule type="expression" dxfId="1162" priority="207">
      <formula>AD$9&gt;=20/24</formula>
    </cfRule>
    <cfRule type="expression" dxfId="1161" priority="208">
      <formula>AND(AD$9&gt;=14/24,AD$9&lt;20/24)</formula>
    </cfRule>
    <cfRule type="expression" dxfId="1160" priority="209">
      <formula>AND(AD$9&gt;=8/24,AD$9&lt;14/24)</formula>
    </cfRule>
    <cfRule type="expression" dxfId="1159" priority="210">
      <formula>AD$9&lt;8/24</formula>
    </cfRule>
  </conditionalFormatting>
  <conditionalFormatting sqref="AH234:AX234">
    <cfRule type="expression" dxfId="1158" priority="251">
      <formula>AG$9&gt;=20/24</formula>
    </cfRule>
    <cfRule type="expression" dxfId="1157" priority="252">
      <formula>AND(AG$9&gt;=14/24,AG$9&lt;20/24)</formula>
    </cfRule>
    <cfRule type="expression" dxfId="1156" priority="253">
      <formula>AND(AG$9&gt;=8/24,AG$9&lt;14/24)</formula>
    </cfRule>
    <cfRule type="expression" dxfId="1155" priority="254">
      <formula>AG$9&lt;8/24</formula>
    </cfRule>
  </conditionalFormatting>
  <conditionalFormatting sqref="T234">
    <cfRule type="expression" dxfId="1154" priority="255">
      <formula>AX$9&gt;=20/24</formula>
    </cfRule>
    <cfRule type="expression" dxfId="1153" priority="256">
      <formula>AND(AX$9&gt;=14/24,AX$9&lt;20/24)</formula>
    </cfRule>
    <cfRule type="expression" dxfId="1152" priority="257">
      <formula>AND(AX$9&gt;=8/24,AX$9&lt;14/24)</formula>
    </cfRule>
    <cfRule type="expression" dxfId="1151" priority="258">
      <formula>AX$9&lt;8/24</formula>
    </cfRule>
  </conditionalFormatting>
  <conditionalFormatting sqref="A104:A105">
    <cfRule type="expression" dxfId="1150" priority="206">
      <formula>$AH104=0</formula>
    </cfRule>
  </conditionalFormatting>
  <conditionalFormatting sqref="E61:AF61 AA36:AF36 AA44:AF45">
    <cfRule type="expression" dxfId="1149" priority="202">
      <formula>E$9&gt;=20/24</formula>
    </cfRule>
    <cfRule type="expression" dxfId="1148" priority="203">
      <formula>AND(E$9&gt;=14/24,E$9&lt;20/24)</formula>
    </cfRule>
    <cfRule type="expression" dxfId="1147" priority="204">
      <formula>AND(E$9&gt;=8/24,E$9&lt;14/24)</formula>
    </cfRule>
    <cfRule type="expression" dxfId="1146" priority="205">
      <formula>E$9&lt;8/24</formula>
    </cfRule>
  </conditionalFormatting>
  <conditionalFormatting sqref="AA43:AF43">
    <cfRule type="expression" dxfId="1145" priority="198">
      <formula>AA$9&gt;=20/24</formula>
    </cfRule>
    <cfRule type="expression" dxfId="1144" priority="199">
      <formula>AND(AA$9&gt;=14/24,AA$9&lt;20/24)</formula>
    </cfRule>
    <cfRule type="expression" dxfId="1143" priority="200">
      <formula>AND(AA$9&gt;=8/24,AA$9&lt;14/24)</formula>
    </cfRule>
    <cfRule type="expression" dxfId="1142" priority="201">
      <formula>AA$9&lt;8/24</formula>
    </cfRule>
  </conditionalFormatting>
  <conditionalFormatting sqref="AA36:AF36 AA43:AF45">
    <cfRule type="expression" dxfId="1141" priority="197">
      <formula>AA36&gt;$AG36</formula>
    </cfRule>
  </conditionalFormatting>
  <conditionalFormatting sqref="C86:AF86 E62:L63 F64:J65 N37:R37 G66:J67 K64:L67 G71:M71 M62:M67 F57:AF59 T14:Z14 C73:AF76 AA16:AF16 AA28:AF30 AA18:AF22 AA24:AF26 AA32:AF32 AA12:AF14 N62:AF71 C90:AF96">
    <cfRule type="expression" dxfId="1140" priority="193">
      <formula>C$9&gt;=20/24</formula>
    </cfRule>
    <cfRule type="expression" dxfId="1139" priority="194">
      <formula>AND(C$9&gt;=14/24,C$9&lt;20/24)</formula>
    </cfRule>
    <cfRule type="expression" dxfId="1138" priority="195">
      <formula>AND(C$9&gt;=8/24,C$9&lt;14/24)</formula>
    </cfRule>
    <cfRule type="expression" dxfId="1137" priority="196">
      <formula>C$9&lt;8/24</formula>
    </cfRule>
  </conditionalFormatting>
  <conditionalFormatting sqref="AA33:AF33">
    <cfRule type="expression" dxfId="1136" priority="189">
      <formula>AA$9&gt;=20/24</formula>
    </cfRule>
    <cfRule type="expression" dxfId="1135" priority="190">
      <formula>AND(AA$9&gt;=14/24,AA$9&lt;20/24)</formula>
    </cfRule>
    <cfRule type="expression" dxfId="1134" priority="191">
      <formula>AND(AA$9&gt;=8/24,AA$9&lt;14/24)</formula>
    </cfRule>
    <cfRule type="expression" dxfId="1133" priority="192">
      <formula>AA$9&lt;8/24</formula>
    </cfRule>
  </conditionalFormatting>
  <conditionalFormatting sqref="C55:AF55 C37:R37 F57:AF59 AA18:AF22 AA24:AF30 AA32:AF33 AB46:AF47">
    <cfRule type="expression" dxfId="1132" priority="188">
      <formula>C18&gt;$AG18</formula>
    </cfRule>
  </conditionalFormatting>
  <conditionalFormatting sqref="AA35:AF35">
    <cfRule type="expression" dxfId="1131" priority="184">
      <formula>AA$9&gt;=20/24</formula>
    </cfRule>
    <cfRule type="expression" dxfId="1130" priority="185">
      <formula>AND(AA$9&gt;=14/24,AA$9&lt;20/24)</formula>
    </cfRule>
    <cfRule type="expression" dxfId="1129" priority="186">
      <formula>AND(AA$9&gt;=8/24,AA$9&lt;14/24)</formula>
    </cfRule>
    <cfRule type="expression" dxfId="1128" priority="187">
      <formula>AA$9&lt;8/24</formula>
    </cfRule>
  </conditionalFormatting>
  <conditionalFormatting sqref="AA15:AF15">
    <cfRule type="expression" dxfId="1127" priority="180">
      <formula>AA$9&gt;=20/24</formula>
    </cfRule>
    <cfRule type="expression" dxfId="1126" priority="181">
      <formula>AND(AA$9&gt;=14/24,AA$9&lt;20/24)</formula>
    </cfRule>
    <cfRule type="expression" dxfId="1125" priority="182">
      <formula>AND(AA$9&gt;=8/24,AA$9&lt;14/24)</formula>
    </cfRule>
    <cfRule type="expression" dxfId="1124" priority="183">
      <formula>AA$9&lt;8/24</formula>
    </cfRule>
  </conditionalFormatting>
  <conditionalFormatting sqref="AA34:AF34">
    <cfRule type="expression" dxfId="1123" priority="176">
      <formula>AA$9&gt;=20/24</formula>
    </cfRule>
    <cfRule type="expression" dxfId="1122" priority="177">
      <formula>AND(AA$9&gt;=14/24,AA$9&lt;20/24)</formula>
    </cfRule>
    <cfRule type="expression" dxfId="1121" priority="178">
      <formula>AND(AA$9&gt;=8/24,AA$9&lt;14/24)</formula>
    </cfRule>
    <cfRule type="expression" dxfId="1120" priority="179">
      <formula>AA$9&lt;8/24</formula>
    </cfRule>
  </conditionalFormatting>
  <conditionalFormatting sqref="AA34:AF34">
    <cfRule type="expression" dxfId="1119" priority="175">
      <formula>AA34&gt;$AG34</formula>
    </cfRule>
  </conditionalFormatting>
  <conditionalFormatting sqref="AA46:AA47 AB48:AF54">
    <cfRule type="expression" dxfId="1118" priority="167">
      <formula>AA$9&gt;=20/24</formula>
    </cfRule>
    <cfRule type="expression" dxfId="1117" priority="168">
      <formula>AND(AA$9&gt;=14/24,AA$9&lt;20/24)</formula>
    </cfRule>
    <cfRule type="expression" dxfId="1116" priority="169">
      <formula>AND(AA$9&gt;=8/24,AA$9&lt;14/24)</formula>
    </cfRule>
    <cfRule type="expression" dxfId="1115" priority="170">
      <formula>AA$9&lt;8/24</formula>
    </cfRule>
  </conditionalFormatting>
  <conditionalFormatting sqref="AA46:AA47 AB48:AF54">
    <cfRule type="expression" dxfId="1114" priority="166">
      <formula>AA46&gt;$AG46</formula>
    </cfRule>
  </conditionalFormatting>
  <conditionalFormatting sqref="AA48:AA54">
    <cfRule type="expression" dxfId="1113" priority="162">
      <formula>AA$9&gt;=20/24</formula>
    </cfRule>
    <cfRule type="expression" dxfId="1112" priority="163">
      <formula>AND(AA$9&gt;=14/24,AA$9&lt;20/24)</formula>
    </cfRule>
    <cfRule type="expression" dxfId="1111" priority="164">
      <formula>AND(AA$9&gt;=8/24,AA$9&lt;14/24)</formula>
    </cfRule>
    <cfRule type="expression" dxfId="1110" priority="165">
      <formula>AA$9&lt;8/24</formula>
    </cfRule>
  </conditionalFormatting>
  <conditionalFormatting sqref="AA48:AA54">
    <cfRule type="expression" dxfId="1109" priority="161">
      <formula>AA48&gt;$AG48</formula>
    </cfRule>
  </conditionalFormatting>
  <conditionalFormatting sqref="AA27:AF27">
    <cfRule type="expression" dxfId="1108" priority="157">
      <formula>AA$9&gt;=20/24</formula>
    </cfRule>
    <cfRule type="expression" dxfId="1107" priority="158">
      <formula>AND(AA$9&gt;=14/24,AA$9&lt;20/24)</formula>
    </cfRule>
    <cfRule type="expression" dxfId="1106" priority="159">
      <formula>AND(AA$9&gt;=8/24,AA$9&lt;14/24)</formula>
    </cfRule>
    <cfRule type="expression" dxfId="1105" priority="160">
      <formula>AA$9&lt;8/24</formula>
    </cfRule>
  </conditionalFormatting>
  <conditionalFormatting sqref="E29:Z29 AA17:AF17 AA23:AF23">
    <cfRule type="expression" dxfId="1104" priority="153">
      <formula>E$9&gt;=20/24</formula>
    </cfRule>
    <cfRule type="expression" dxfId="1103" priority="154">
      <formula>AND(E$9&gt;=14/24,E$9&lt;20/24)</formula>
    </cfRule>
    <cfRule type="expression" dxfId="1102" priority="155">
      <formula>AND(E$9&gt;=8/24,E$9&lt;14/24)</formula>
    </cfRule>
    <cfRule type="expression" dxfId="1101" priority="156">
      <formula>E$9&lt;8/24</formula>
    </cfRule>
  </conditionalFormatting>
  <conditionalFormatting sqref="E29:Z29 AA17:AF17 AA23:AF23">
    <cfRule type="expression" dxfId="1100" priority="148">
      <formula>E17&gt;$AG17</formula>
    </cfRule>
  </conditionalFormatting>
  <conditionalFormatting sqref="G68:M70">
    <cfRule type="expression" dxfId="1099" priority="122">
      <formula>G$9&gt;=20/24</formula>
    </cfRule>
    <cfRule type="expression" dxfId="1098" priority="123">
      <formula>AND(G$9&gt;=14/24,G$9&lt;20/24)</formula>
    </cfRule>
    <cfRule type="expression" dxfId="1097" priority="124">
      <formula>AND(G$9&gt;=8/24,G$9&lt;14/24)</formula>
    </cfRule>
    <cfRule type="expression" dxfId="1096" priority="125">
      <formula>G$9&lt;8/24</formula>
    </cfRule>
  </conditionalFormatting>
  <conditionalFormatting sqref="B99:B105 B78:AF78 B87:AF87 B11:Z11">
    <cfRule type="expression" dxfId="1095" priority="103">
      <formula>B$9&gt;=20/24</formula>
    </cfRule>
    <cfRule type="expression" dxfId="1094" priority="104">
      <formula>AND(B$9&gt;=14/24,B$9&lt;20/24)</formula>
    </cfRule>
    <cfRule type="expression" dxfId="1093" priority="105">
      <formula>AND(B$9&gt;=8/24,B$9&lt;14/24)</formula>
    </cfRule>
    <cfRule type="expression" dxfId="1092" priority="106">
      <formula>B$9&lt;8/24</formula>
    </cfRule>
  </conditionalFormatting>
  <conditionalFormatting sqref="B37">
    <cfRule type="expression" dxfId="1091" priority="99">
      <formula>B$9&gt;=20/24</formula>
    </cfRule>
    <cfRule type="expression" dxfId="1090" priority="100">
      <formula>AND(B$9&gt;=14/24,B$9&lt;20/24)</formula>
    </cfRule>
    <cfRule type="expression" dxfId="1089" priority="101">
      <formula>AND(B$9&gt;=8/24,B$9&lt;14/24)</formula>
    </cfRule>
    <cfRule type="expression" dxfId="1088" priority="102">
      <formula>B$9&lt;8/24</formula>
    </cfRule>
  </conditionalFormatting>
  <conditionalFormatting sqref="B37 B11:Z11">
    <cfRule type="expression" dxfId="1087" priority="98">
      <formula>B11&gt;$AG11</formula>
    </cfRule>
  </conditionalFormatting>
  <conditionalFormatting sqref="B89">
    <cfRule type="expression" dxfId="1086" priority="94">
      <formula>B$9&gt;=20/24</formula>
    </cfRule>
    <cfRule type="expression" dxfId="1085" priority="95">
      <formula>AND(B$9&gt;=14/24,B$9&lt;20/24)</formula>
    </cfRule>
    <cfRule type="expression" dxfId="1084" priority="96">
      <formula>AND(B$9&gt;=8/24,B$9&lt;14/24)</formula>
    </cfRule>
    <cfRule type="expression" dxfId="1083" priority="97">
      <formula>B$9&lt;8/24</formula>
    </cfRule>
  </conditionalFormatting>
  <conditionalFormatting sqref="B61:D61 B44:Z45 B36:Z36">
    <cfRule type="expression" dxfId="1082" priority="90">
      <formula>B$9&gt;=20/24</formula>
    </cfRule>
    <cfRule type="expression" dxfId="1081" priority="91">
      <formula>AND(B$9&gt;=14/24,B$9&lt;20/24)</formula>
    </cfRule>
    <cfRule type="expression" dxfId="1080" priority="92">
      <formula>AND(B$9&gt;=8/24,B$9&lt;14/24)</formula>
    </cfRule>
    <cfRule type="expression" dxfId="1079" priority="93">
      <formula>B$9&lt;8/24</formula>
    </cfRule>
  </conditionalFormatting>
  <conditionalFormatting sqref="B43:Z43">
    <cfRule type="expression" dxfId="1078" priority="86">
      <formula>B$9&gt;=20/24</formula>
    </cfRule>
    <cfRule type="expression" dxfId="1077" priority="87">
      <formula>AND(B$9&gt;=14/24,B$9&lt;20/24)</formula>
    </cfRule>
    <cfRule type="expression" dxfId="1076" priority="88">
      <formula>AND(B$9&gt;=8/24,B$9&lt;14/24)</formula>
    </cfRule>
    <cfRule type="expression" dxfId="1075" priority="89">
      <formula>B$9&lt;8/24</formula>
    </cfRule>
  </conditionalFormatting>
  <conditionalFormatting sqref="B43:Z45 B36:Z36">
    <cfRule type="expression" dxfId="1074" priority="85">
      <formula>B36&gt;$AG36</formula>
    </cfRule>
  </conditionalFormatting>
  <conditionalFormatting sqref="B90:B96 B57:B60 B73:B77 B79:AF79 B86 C60:AG60 C77:AG77 B88:AF88 B29:D30 B62:D71 C57:E59 E64:E71 F66:F71 B12:S14 T12:Z13 B18:Z22 B24:Z26 E30:Z30 B32:Z32 B16:Z16 B28:Z28">
    <cfRule type="expression" dxfId="1073" priority="81">
      <formula>B$9&gt;=20/24</formula>
    </cfRule>
    <cfRule type="expression" dxfId="1072" priority="82">
      <formula>AND(B$9&gt;=14/24,B$9&lt;20/24)</formula>
    </cfRule>
    <cfRule type="expression" dxfId="1071" priority="83">
      <formula>AND(B$9&gt;=8/24,B$9&lt;14/24)</formula>
    </cfRule>
    <cfRule type="expression" dxfId="1070" priority="84">
      <formula>B$9&lt;8/24</formula>
    </cfRule>
  </conditionalFormatting>
  <conditionalFormatting sqref="B33:Z33">
    <cfRule type="expression" dxfId="1069" priority="77">
      <formula>B$9&gt;=20/24</formula>
    </cfRule>
    <cfRule type="expression" dxfId="1068" priority="78">
      <formula>AND(B$9&gt;=14/24,B$9&lt;20/24)</formula>
    </cfRule>
    <cfRule type="expression" dxfId="1067" priority="79">
      <formula>AND(B$9&gt;=8/24,B$9&lt;14/24)</formula>
    </cfRule>
    <cfRule type="expression" dxfId="1066" priority="80">
      <formula>B$9&lt;8/24</formula>
    </cfRule>
  </conditionalFormatting>
  <conditionalFormatting sqref="B55:B60 C56:AG56 C60:AG60 C57:E59 B18:Z22 E30:Z30 B46:Z47 B32:Z33 B38:AG38 B29:D30 B24:Z28">
    <cfRule type="expression" dxfId="1065" priority="76">
      <formula>B18&gt;$AG18</formula>
    </cfRule>
  </conditionalFormatting>
  <conditionalFormatting sqref="B35:Z35">
    <cfRule type="expression" dxfId="1064" priority="72">
      <formula>B$9&gt;=20/24</formula>
    </cfRule>
    <cfRule type="expression" dxfId="1063" priority="73">
      <formula>AND(B$9&gt;=14/24,B$9&lt;20/24)</formula>
    </cfRule>
    <cfRule type="expression" dxfId="1062" priority="74">
      <formula>AND(B$9&gt;=8/24,B$9&lt;14/24)</formula>
    </cfRule>
    <cfRule type="expression" dxfId="1061" priority="75">
      <formula>B$9&lt;8/24</formula>
    </cfRule>
  </conditionalFormatting>
  <conditionalFormatting sqref="B15:Z15">
    <cfRule type="expression" dxfId="1060" priority="68">
      <formula>B$9&gt;=20/24</formula>
    </cfRule>
    <cfRule type="expression" dxfId="1059" priority="69">
      <formula>AND(B$9&gt;=14/24,B$9&lt;20/24)</formula>
    </cfRule>
    <cfRule type="expression" dxfId="1058" priority="70">
      <formula>AND(B$9&gt;=8/24,B$9&lt;14/24)</formula>
    </cfRule>
    <cfRule type="expression" dxfId="1057" priority="71">
      <formula>B$9&lt;8/24</formula>
    </cfRule>
  </conditionalFormatting>
  <conditionalFormatting sqref="B34:Z34">
    <cfRule type="expression" dxfId="1056" priority="64">
      <formula>B$9&gt;=20/24</formula>
    </cfRule>
    <cfRule type="expression" dxfId="1055" priority="65">
      <formula>AND(B$9&gt;=14/24,B$9&lt;20/24)</formula>
    </cfRule>
    <cfRule type="expression" dxfId="1054" priority="66">
      <formula>AND(B$9&gt;=8/24,B$9&lt;14/24)</formula>
    </cfRule>
    <cfRule type="expression" dxfId="1053" priority="67">
      <formula>B$9&lt;8/24</formula>
    </cfRule>
  </conditionalFormatting>
  <conditionalFormatting sqref="B34:Z34">
    <cfRule type="expression" dxfId="1052" priority="63">
      <formula>B34&gt;$AG34</formula>
    </cfRule>
  </conditionalFormatting>
  <conditionalFormatting sqref="B48:Z54">
    <cfRule type="expression" dxfId="1051" priority="59">
      <formula>B$9&gt;=20/24</formula>
    </cfRule>
    <cfRule type="expression" dxfId="1050" priority="60">
      <formula>AND(B$9&gt;=14/24,B$9&lt;20/24)</formula>
    </cfRule>
    <cfRule type="expression" dxfId="1049" priority="61">
      <formula>AND(B$9&gt;=8/24,B$9&lt;14/24)</formula>
    </cfRule>
    <cfRule type="expression" dxfId="1048" priority="62">
      <formula>B$9&lt;8/24</formula>
    </cfRule>
  </conditionalFormatting>
  <conditionalFormatting sqref="B48:Z54">
    <cfRule type="expression" dxfId="1047" priority="58">
      <formula>B48&gt;$AG48</formula>
    </cfRule>
  </conditionalFormatting>
  <conditionalFormatting sqref="B27:Z27">
    <cfRule type="expression" dxfId="1046" priority="54">
      <formula>B$9&gt;=20/24</formula>
    </cfRule>
    <cfRule type="expression" dxfId="1045" priority="55">
      <formula>AND(B$9&gt;=14/24,B$9&lt;20/24)</formula>
    </cfRule>
    <cfRule type="expression" dxfId="1044" priority="56">
      <formula>AND(B$9&gt;=8/24,B$9&lt;14/24)</formula>
    </cfRule>
    <cfRule type="expression" dxfId="1043" priority="57">
      <formula>B$9&lt;8/24</formula>
    </cfRule>
  </conditionalFormatting>
  <conditionalFormatting sqref="B17:Z17 B23:Z23">
    <cfRule type="expression" dxfId="1042" priority="50">
      <formula>B$9&gt;=20/24</formula>
    </cfRule>
    <cfRule type="expression" dxfId="1041" priority="51">
      <formula>AND(B$9&gt;=14/24,B$9&lt;20/24)</formula>
    </cfRule>
    <cfRule type="expression" dxfId="1040" priority="52">
      <formula>AND(B$9&gt;=8/24,B$9&lt;14/24)</formula>
    </cfRule>
    <cfRule type="expression" dxfId="1039" priority="53">
      <formula>B$9&lt;8/24</formula>
    </cfRule>
  </conditionalFormatting>
  <conditionalFormatting sqref="B17:Z17 B23:Z23">
    <cfRule type="expression" dxfId="1038" priority="49">
      <formula>B17&gt;$AG17</formula>
    </cfRule>
  </conditionalFormatting>
  <conditionalFormatting sqref="A34">
    <cfRule type="expression" dxfId="1037" priority="48">
      <formula>$AH34=0</formula>
    </cfRule>
  </conditionalFormatting>
  <conditionalFormatting sqref="B72:AF72">
    <cfRule type="expression" dxfId="1036" priority="44">
      <formula>B$9&gt;=20/24</formula>
    </cfRule>
    <cfRule type="expression" dxfId="1035" priority="45">
      <formula>AND(B$9&gt;=14/24,B$9&lt;20/24)</formula>
    </cfRule>
    <cfRule type="expression" dxfId="1034" priority="46">
      <formula>AND(B$9&gt;=8/24,B$9&lt;14/24)</formula>
    </cfRule>
    <cfRule type="expression" dxfId="1033" priority="47">
      <formula>B$9&lt;8/24</formula>
    </cfRule>
  </conditionalFormatting>
  <conditionalFormatting sqref="B81:AF85">
    <cfRule type="expression" dxfId="1032" priority="40">
      <formula>B$9&gt;=20/24</formula>
    </cfRule>
    <cfRule type="expression" dxfId="1031" priority="41">
      <formula>AND(B$9&gt;=14/24,B$9&lt;20/24)</formula>
    </cfRule>
    <cfRule type="expression" dxfId="1030" priority="42">
      <formula>AND(B$9&gt;=8/24,B$9&lt;14/24)</formula>
    </cfRule>
    <cfRule type="expression" dxfId="1029" priority="43">
      <formula>B$9&lt;8/24</formula>
    </cfRule>
  </conditionalFormatting>
  <conditionalFormatting sqref="AL35 AL7:AL30 AL32">
    <cfRule type="iconSet" priority="259">
      <iconSet iconSet="3TrafficLights2" reverse="1">
        <cfvo type="percent" val="0"/>
        <cfvo type="num" val="1"/>
        <cfvo type="num" val="1"/>
      </iconSet>
    </cfRule>
  </conditionalFormatting>
  <conditionalFormatting sqref="AB39:AF41">
    <cfRule type="expression" dxfId="1028" priority="36">
      <formula>AB$9&gt;=20/24</formula>
    </cfRule>
    <cfRule type="expression" dxfId="1027" priority="37">
      <formula>AND(AB$9&gt;=14/24,AB$9&lt;20/24)</formula>
    </cfRule>
    <cfRule type="expression" dxfId="1026" priority="38">
      <formula>AND(AB$9&gt;=8/24,AB$9&lt;14/24)</formula>
    </cfRule>
    <cfRule type="expression" dxfId="1025" priority="39">
      <formula>AB$9&lt;8/24</formula>
    </cfRule>
  </conditionalFormatting>
  <conditionalFormatting sqref="AB39:AF41">
    <cfRule type="expression" dxfId="1024" priority="35">
      <formula>AB39&gt;$AG39</formula>
    </cfRule>
  </conditionalFormatting>
  <conditionalFormatting sqref="B39:B42 C42:AG42 C39:AA41">
    <cfRule type="expression" dxfId="1023" priority="31">
      <formula>B$9&gt;=20/24</formula>
    </cfRule>
    <cfRule type="expression" dxfId="1022" priority="32">
      <formula>AND(B$9&gt;=14/24,B$9&lt;20/24)</formula>
    </cfRule>
    <cfRule type="expression" dxfId="1021" priority="33">
      <formula>AND(B$9&gt;=8/24,B$9&lt;14/24)</formula>
    </cfRule>
    <cfRule type="expression" dxfId="1020" priority="34">
      <formula>B$9&lt;8/24</formula>
    </cfRule>
  </conditionalFormatting>
  <conditionalFormatting sqref="B39:B42 C42:AG42 C39:AA41">
    <cfRule type="expression" dxfId="1019" priority="30">
      <formula>B39&gt;$AG39</formula>
    </cfRule>
  </conditionalFormatting>
  <conditionalFormatting sqref="C97:AF97">
    <cfRule type="expression" dxfId="1018" priority="26">
      <formula>C$9&gt;=20/24</formula>
    </cfRule>
    <cfRule type="expression" dxfId="1017" priority="27">
      <formula>AND(C$9&gt;=14/24,C$9&lt;20/24)</formula>
    </cfRule>
    <cfRule type="expression" dxfId="1016" priority="28">
      <formula>AND(C$9&gt;=8/24,C$9&lt;14/24)</formula>
    </cfRule>
    <cfRule type="expression" dxfId="1015" priority="29">
      <formula>C$9&lt;8/24</formula>
    </cfRule>
  </conditionalFormatting>
  <conditionalFormatting sqref="B97">
    <cfRule type="expression" dxfId="1014" priority="22">
      <formula>B$9&gt;=20/24</formula>
    </cfRule>
    <cfRule type="expression" dxfId="1013" priority="23">
      <formula>AND(B$9&gt;=14/24,B$9&lt;20/24)</formula>
    </cfRule>
    <cfRule type="expression" dxfId="1012" priority="24">
      <formula>AND(B$9&gt;=8/24,B$9&lt;14/24)</formula>
    </cfRule>
    <cfRule type="expression" dxfId="1011" priority="25">
      <formula>B$9&lt;8/24</formula>
    </cfRule>
  </conditionalFormatting>
  <conditionalFormatting sqref="AL31">
    <cfRule type="iconSet" priority="21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1010" priority="15">
      <formula>$AH31=0</formula>
    </cfRule>
  </conditionalFormatting>
  <conditionalFormatting sqref="A80">
    <cfRule type="expression" dxfId="1009" priority="13">
      <formula>$AH80=0</formula>
    </cfRule>
  </conditionalFormatting>
  <conditionalFormatting sqref="A77">
    <cfRule type="expression" dxfId="1008" priority="14">
      <formula>$AH77=0</formula>
    </cfRule>
  </conditionalFormatting>
  <conditionalFormatting sqref="C106:AF106">
    <cfRule type="expression" dxfId="1007" priority="9">
      <formula>C$9&gt;=20/24</formula>
    </cfRule>
    <cfRule type="expression" dxfId="1006" priority="10">
      <formula>AND(C$9&gt;=14/24,C$9&lt;20/24)</formula>
    </cfRule>
    <cfRule type="expression" dxfId="1005" priority="11">
      <formula>AND(C$9&gt;=8/24,C$9&lt;14/24)</formula>
    </cfRule>
    <cfRule type="expression" dxfId="1004" priority="12">
      <formula>C$9&lt;8/24</formula>
    </cfRule>
  </conditionalFormatting>
  <conditionalFormatting sqref="B106">
    <cfRule type="expression" dxfId="1003" priority="4">
      <formula>B$9&gt;=20/24</formula>
    </cfRule>
    <cfRule type="expression" dxfId="1002" priority="5">
      <formula>AND(B$9&gt;=14/24,B$9&lt;20/24)</formula>
    </cfRule>
    <cfRule type="expression" dxfId="1001" priority="6">
      <formula>AND(B$9&gt;=8/24,B$9&lt;14/24)</formula>
    </cfRule>
    <cfRule type="expression" dxfId="1000" priority="7">
      <formula>B$9&lt;8/24</formula>
    </cfRule>
  </conditionalFormatting>
  <conditionalFormatting sqref="A106">
    <cfRule type="expression" dxfId="999" priority="2">
      <formula>$AH106=0</formula>
    </cfRule>
  </conditionalFormatting>
  <conditionalFormatting sqref="A102">
    <cfRule type="expression" dxfId="998" priority="1">
      <formula>$AH102=0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" id="{35C4EAD9-8CCB-40A7-AFC4-4621F5E0EF62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" id="{AE8F3976-CE0B-4A19-B95E-1CB5B081F6C4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9" id="{C2F221F7-7715-43A2-AB89-87A9E937E856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0" id="{A72ADE7A-083C-403C-86B0-E8EAF5693CB8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16" id="{9ADB5078-D608-4001-973A-D0A96C4B638F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3"/>
  <sheetViews>
    <sheetView zoomScale="90" zoomScaleNormal="90" workbookViewId="0">
      <pane xSplit="1" ySplit="10" topLeftCell="B95" activePane="bottomRight" state="frozen"/>
      <selection activeCell="AF88" sqref="AF88"/>
      <selection pane="topRight" activeCell="AF88" sqref="AF88"/>
      <selection pane="bottomLeft" activeCell="AF88" sqref="AF88"/>
      <selection pane="bottomRight" activeCell="G34" sqref="G34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2079/02/29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40.799999999999997</v>
      </c>
      <c r="C5" s="32">
        <f t="shared" si="0"/>
        <v>40</v>
      </c>
      <c r="D5" s="32">
        <f t="shared" si="0"/>
        <v>13</v>
      </c>
      <c r="E5" s="32">
        <f t="shared" si="0"/>
        <v>11.4</v>
      </c>
      <c r="F5" s="32">
        <f t="shared" si="0"/>
        <v>8.8000000000000007</v>
      </c>
      <c r="G5" s="32">
        <f t="shared" si="0"/>
        <v>7.2</v>
      </c>
      <c r="H5" s="32">
        <f t="shared" si="0"/>
        <v>2.8</v>
      </c>
      <c r="I5" s="32">
        <f t="shared" si="0"/>
        <v>42</v>
      </c>
      <c r="J5" s="32">
        <f t="shared" si="0"/>
        <v>72.300000000000011</v>
      </c>
      <c r="K5" s="32">
        <f t="shared" si="0"/>
        <v>74.599999999999994</v>
      </c>
      <c r="L5" s="32">
        <f t="shared" si="0"/>
        <v>80.599999999999994</v>
      </c>
      <c r="M5" s="32">
        <f t="shared" si="0"/>
        <v>86.5</v>
      </c>
      <c r="N5" s="32">
        <f t="shared" si="0"/>
        <v>84.5</v>
      </c>
      <c r="O5" s="32">
        <f t="shared" si="0"/>
        <v>82.9</v>
      </c>
      <c r="P5" s="32">
        <f t="shared" si="0"/>
        <v>26.4</v>
      </c>
      <c r="Q5" s="32">
        <f t="shared" si="0"/>
        <v>51.8</v>
      </c>
      <c r="R5" s="32">
        <f t="shared" si="0"/>
        <v>46.4</v>
      </c>
      <c r="S5" s="32">
        <f t="shared" si="0"/>
        <v>46.8</v>
      </c>
      <c r="T5" s="32">
        <f t="shared" si="0"/>
        <v>46.8</v>
      </c>
      <c r="U5" s="32">
        <f t="shared" si="0"/>
        <v>51.7</v>
      </c>
      <c r="V5" s="32">
        <f t="shared" si="0"/>
        <v>51.7</v>
      </c>
      <c r="W5" s="32">
        <f t="shared" si="0"/>
        <v>45</v>
      </c>
      <c r="X5" s="32">
        <f t="shared" si="0"/>
        <v>41</v>
      </c>
      <c r="Y5" s="32">
        <f t="shared" si="0"/>
        <v>70</v>
      </c>
      <c r="Z5" s="32">
        <f t="shared" si="0"/>
        <v>70</v>
      </c>
      <c r="AA5" s="32">
        <f t="shared" si="0"/>
        <v>43.3</v>
      </c>
      <c r="AB5" s="32">
        <f t="shared" si="0"/>
        <v>57.4</v>
      </c>
      <c r="AC5" s="32">
        <f t="shared" si="0"/>
        <v>43.2</v>
      </c>
      <c r="AD5" s="32">
        <f t="shared" si="0"/>
        <v>27</v>
      </c>
      <c r="AE5" s="32">
        <f t="shared" si="0"/>
        <v>18.3</v>
      </c>
      <c r="AF5" s="32">
        <f>B72</f>
        <v>42.5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1738MW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Load=1651</v>
      </c>
      <c r="B7" s="37">
        <f>B79</f>
        <v>1782.84</v>
      </c>
      <c r="C7" s="37">
        <f t="shared" ref="C7:AF7" si="1">C79</f>
        <v>1774.34</v>
      </c>
      <c r="D7" s="37">
        <f t="shared" si="1"/>
        <v>1779.44</v>
      </c>
      <c r="E7" s="37">
        <f t="shared" si="1"/>
        <v>1679.34</v>
      </c>
      <c r="F7" s="37">
        <f t="shared" si="1"/>
        <v>1677.74</v>
      </c>
      <c r="G7" s="37">
        <f t="shared" si="1"/>
        <v>1656.74</v>
      </c>
      <c r="H7" s="37">
        <f t="shared" si="1"/>
        <v>1655.14</v>
      </c>
      <c r="I7" s="37">
        <f t="shared" si="1"/>
        <v>1650.74</v>
      </c>
      <c r="J7" s="37">
        <f t="shared" si="1"/>
        <v>1719.04</v>
      </c>
      <c r="K7" s="37">
        <f t="shared" si="1"/>
        <v>1717.24</v>
      </c>
      <c r="L7" s="37">
        <f t="shared" si="1"/>
        <v>1723.74</v>
      </c>
      <c r="M7" s="37">
        <f t="shared" si="1"/>
        <v>1737.84</v>
      </c>
      <c r="N7" s="37">
        <f t="shared" si="1"/>
        <v>1735.74</v>
      </c>
      <c r="O7" s="37">
        <f t="shared" si="1"/>
        <v>1718.2400000000002</v>
      </c>
      <c r="P7" s="37">
        <f t="shared" si="1"/>
        <v>1767.4400000000003</v>
      </c>
      <c r="Q7" s="37">
        <f t="shared" si="1"/>
        <v>1786.8400000000001</v>
      </c>
      <c r="R7" s="37">
        <f t="shared" si="1"/>
        <v>1804.84</v>
      </c>
      <c r="S7" s="37">
        <f t="shared" si="1"/>
        <v>1766.44</v>
      </c>
      <c r="T7" s="37">
        <f t="shared" si="1"/>
        <v>1766.84</v>
      </c>
      <c r="U7" s="37">
        <f t="shared" si="1"/>
        <v>1793.84</v>
      </c>
      <c r="V7" s="37">
        <f t="shared" si="1"/>
        <v>1798.74</v>
      </c>
      <c r="W7" s="37">
        <f t="shared" si="1"/>
        <v>1798.74</v>
      </c>
      <c r="X7" s="37">
        <f t="shared" si="1"/>
        <v>1792.04</v>
      </c>
      <c r="Y7" s="37">
        <f t="shared" si="1"/>
        <v>1788.04</v>
      </c>
      <c r="Z7" s="37">
        <f t="shared" si="1"/>
        <v>1818.1399999999999</v>
      </c>
      <c r="AA7" s="37">
        <f t="shared" si="1"/>
        <v>1877.1399999999999</v>
      </c>
      <c r="AB7" s="37">
        <f t="shared" si="1"/>
        <v>1862.5399999999997</v>
      </c>
      <c r="AC7" s="37">
        <f t="shared" si="1"/>
        <v>1822.84</v>
      </c>
      <c r="AD7" s="37">
        <f t="shared" si="1"/>
        <v>1817.04</v>
      </c>
      <c r="AE7" s="37">
        <f t="shared" si="1"/>
        <v>1787.6399999999999</v>
      </c>
      <c r="AF7" s="37">
        <f t="shared" si="1"/>
        <v>1782.9399999999998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179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2">
        <v>53.5</v>
      </c>
      <c r="C11" s="52">
        <v>53.4</v>
      </c>
      <c r="D11" s="52">
        <v>53.5</v>
      </c>
      <c r="E11" s="52">
        <v>53.5</v>
      </c>
      <c r="F11" s="52">
        <v>53.5</v>
      </c>
      <c r="G11" s="52">
        <v>53.5</v>
      </c>
      <c r="H11" s="52">
        <v>53.5</v>
      </c>
      <c r="I11" s="52">
        <v>53.5</v>
      </c>
      <c r="J11" s="52">
        <v>53.5</v>
      </c>
      <c r="K11" s="52">
        <v>53.5</v>
      </c>
      <c r="L11" s="52">
        <v>53.5</v>
      </c>
      <c r="M11" s="50">
        <v>53.5</v>
      </c>
      <c r="N11" s="50">
        <v>53.5</v>
      </c>
      <c r="O11" s="50">
        <v>53.5</v>
      </c>
      <c r="P11" s="50">
        <v>53.5</v>
      </c>
      <c r="Q11" s="50">
        <v>53.5</v>
      </c>
      <c r="R11" s="50">
        <v>53.5</v>
      </c>
      <c r="S11" s="50">
        <v>53.5</v>
      </c>
      <c r="T11" s="50">
        <v>53.5</v>
      </c>
      <c r="U11" s="50">
        <v>53.5</v>
      </c>
      <c r="V11" s="50">
        <v>53.5</v>
      </c>
      <c r="W11" s="50">
        <v>53.5</v>
      </c>
      <c r="X11" s="50">
        <v>53.5</v>
      </c>
      <c r="Y11" s="50">
        <v>53.5</v>
      </c>
      <c r="Z11" s="50">
        <v>53.5</v>
      </c>
      <c r="AA11" s="50">
        <v>53.5</v>
      </c>
      <c r="AB11" s="50">
        <v>53.5</v>
      </c>
      <c r="AC11" s="50">
        <v>53.5</v>
      </c>
      <c r="AD11" s="50">
        <v>53.5</v>
      </c>
      <c r="AE11" s="50">
        <v>53.5</v>
      </c>
      <c r="AF11" s="50">
        <v>53.5</v>
      </c>
      <c r="AG11" s="133">
        <v>52.4</v>
      </c>
      <c r="AH11" s="54">
        <f>MAX(B11:AF11)</f>
        <v>53.5</v>
      </c>
      <c r="AI11" s="55">
        <f>MIN(B11:AF11)</f>
        <v>53.4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50.2</v>
      </c>
      <c r="C12" s="50">
        <v>50.2</v>
      </c>
      <c r="D12" s="50">
        <v>50.7</v>
      </c>
      <c r="E12" s="50">
        <v>50.7</v>
      </c>
      <c r="F12" s="50">
        <v>50.7</v>
      </c>
      <c r="G12" s="50">
        <v>50.7</v>
      </c>
      <c r="H12" s="50">
        <v>50.7</v>
      </c>
      <c r="I12" s="50">
        <v>50.7</v>
      </c>
      <c r="J12" s="50">
        <v>50.7</v>
      </c>
      <c r="K12" s="50">
        <v>50.7</v>
      </c>
      <c r="L12" s="50">
        <v>50.7</v>
      </c>
      <c r="M12" s="50">
        <v>50.7</v>
      </c>
      <c r="N12" s="50">
        <v>50.7</v>
      </c>
      <c r="O12" s="50">
        <v>50.7</v>
      </c>
      <c r="P12" s="50">
        <v>50.7</v>
      </c>
      <c r="Q12" s="50">
        <v>50.7</v>
      </c>
      <c r="R12" s="50">
        <v>50.7</v>
      </c>
      <c r="S12" s="50">
        <v>50.7</v>
      </c>
      <c r="T12" s="50">
        <v>50.7</v>
      </c>
      <c r="U12" s="50">
        <v>50.7</v>
      </c>
      <c r="V12" s="50">
        <v>50.7</v>
      </c>
      <c r="W12" s="50">
        <v>50.7</v>
      </c>
      <c r="X12" s="50">
        <v>50.7</v>
      </c>
      <c r="Y12" s="50">
        <v>50.7</v>
      </c>
      <c r="Z12" s="50">
        <v>50.7</v>
      </c>
      <c r="AA12" s="50">
        <v>50.7</v>
      </c>
      <c r="AB12" s="50">
        <v>50.7</v>
      </c>
      <c r="AC12" s="50">
        <v>50.7</v>
      </c>
      <c r="AD12" s="50">
        <v>50.7</v>
      </c>
      <c r="AE12" s="50">
        <v>50.7</v>
      </c>
      <c r="AF12" s="50">
        <v>50.7</v>
      </c>
      <c r="AG12" s="134">
        <v>50</v>
      </c>
      <c r="AH12" s="54">
        <f t="shared" ref="AH12:AH79" si="2">MAX(B12:AF12)</f>
        <v>50.7</v>
      </c>
      <c r="AI12" s="55">
        <f t="shared" ref="AI12:AI79" si="3">MIN(B12:AF12)</f>
        <v>50.2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45.9</v>
      </c>
      <c r="C13" s="50">
        <v>46</v>
      </c>
      <c r="D13" s="50">
        <v>46</v>
      </c>
      <c r="E13" s="50">
        <v>46</v>
      </c>
      <c r="F13" s="50">
        <v>46</v>
      </c>
      <c r="G13" s="50">
        <v>46</v>
      </c>
      <c r="H13" s="50">
        <v>46</v>
      </c>
      <c r="I13" s="50">
        <v>46</v>
      </c>
      <c r="J13" s="50">
        <v>46</v>
      </c>
      <c r="K13" s="50">
        <v>46</v>
      </c>
      <c r="L13" s="50">
        <v>46</v>
      </c>
      <c r="M13" s="50">
        <v>46</v>
      </c>
      <c r="N13" s="50">
        <v>46</v>
      </c>
      <c r="O13" s="50">
        <v>46</v>
      </c>
      <c r="P13" s="50">
        <v>46</v>
      </c>
      <c r="Q13" s="50">
        <v>46</v>
      </c>
      <c r="R13" s="50">
        <v>46</v>
      </c>
      <c r="S13" s="50">
        <v>46</v>
      </c>
      <c r="T13" s="50">
        <v>46</v>
      </c>
      <c r="U13" s="50">
        <v>46</v>
      </c>
      <c r="V13" s="50">
        <v>46</v>
      </c>
      <c r="W13" s="50">
        <v>46</v>
      </c>
      <c r="X13" s="50">
        <v>46</v>
      </c>
      <c r="Y13" s="50">
        <v>46</v>
      </c>
      <c r="Z13" s="50">
        <v>46</v>
      </c>
      <c r="AA13" s="50">
        <v>46</v>
      </c>
      <c r="AB13" s="50">
        <v>46</v>
      </c>
      <c r="AC13" s="50">
        <v>46</v>
      </c>
      <c r="AD13" s="50">
        <v>46</v>
      </c>
      <c r="AE13" s="50">
        <v>46</v>
      </c>
      <c r="AF13" s="50">
        <v>46</v>
      </c>
      <c r="AG13" s="134">
        <v>45</v>
      </c>
      <c r="AH13" s="54">
        <f t="shared" si="2"/>
        <v>46</v>
      </c>
      <c r="AI13" s="55">
        <f t="shared" si="3"/>
        <v>45.9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30</v>
      </c>
      <c r="C14" s="50">
        <v>30</v>
      </c>
      <c r="D14" s="50">
        <v>30</v>
      </c>
      <c r="E14" s="50">
        <v>30</v>
      </c>
      <c r="F14" s="50">
        <v>30</v>
      </c>
      <c r="G14" s="50">
        <v>30</v>
      </c>
      <c r="H14" s="50">
        <v>30</v>
      </c>
      <c r="I14" s="50">
        <v>30</v>
      </c>
      <c r="J14" s="50">
        <v>14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30</v>
      </c>
      <c r="Q14" s="50">
        <v>40</v>
      </c>
      <c r="R14" s="50">
        <v>26</v>
      </c>
      <c r="S14" s="50">
        <v>26</v>
      </c>
      <c r="T14" s="50">
        <v>26</v>
      </c>
      <c r="U14" s="50">
        <v>26</v>
      </c>
      <c r="V14" s="50">
        <v>26</v>
      </c>
      <c r="W14" s="50">
        <v>26</v>
      </c>
      <c r="X14" s="50">
        <v>26</v>
      </c>
      <c r="Y14" s="50">
        <v>26</v>
      </c>
      <c r="Z14" s="50">
        <v>26</v>
      </c>
      <c r="AA14" s="50">
        <v>35</v>
      </c>
      <c r="AB14" s="50">
        <v>35</v>
      </c>
      <c r="AC14" s="50">
        <v>35</v>
      </c>
      <c r="AD14" s="50">
        <v>30</v>
      </c>
      <c r="AE14" s="50">
        <v>26</v>
      </c>
      <c r="AF14" s="50">
        <v>30</v>
      </c>
      <c r="AG14" s="134">
        <v>42</v>
      </c>
      <c r="AH14" s="54">
        <f t="shared" si="2"/>
        <v>40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0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30</v>
      </c>
      <c r="R15" s="50">
        <v>30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30</v>
      </c>
      <c r="AB15" s="50">
        <v>30</v>
      </c>
      <c r="AC15" s="50">
        <v>0</v>
      </c>
      <c r="AD15" s="50">
        <v>0</v>
      </c>
      <c r="AE15" s="50">
        <v>0</v>
      </c>
      <c r="AF15" s="50">
        <v>0</v>
      </c>
      <c r="AG15" s="135">
        <v>30</v>
      </c>
      <c r="AH15" s="54">
        <f t="shared" si="2"/>
        <v>30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26.2</v>
      </c>
      <c r="C16" s="50">
        <v>26.3</v>
      </c>
      <c r="D16" s="50">
        <v>26.3</v>
      </c>
      <c r="E16" s="50">
        <v>26.3</v>
      </c>
      <c r="F16" s="50">
        <v>26.3</v>
      </c>
      <c r="G16" s="50">
        <v>26.3</v>
      </c>
      <c r="H16" s="50">
        <v>26.3</v>
      </c>
      <c r="I16" s="50">
        <v>26.3</v>
      </c>
      <c r="J16" s="50">
        <v>16</v>
      </c>
      <c r="K16" s="50">
        <v>13.5</v>
      </c>
      <c r="L16" s="50">
        <v>13.1</v>
      </c>
      <c r="M16" s="50">
        <v>13.1</v>
      </c>
      <c r="N16" s="50">
        <v>13.1</v>
      </c>
      <c r="O16" s="50">
        <v>13.1</v>
      </c>
      <c r="P16" s="50">
        <v>13.1</v>
      </c>
      <c r="Q16" s="50">
        <v>26.2</v>
      </c>
      <c r="R16" s="50">
        <v>26.2</v>
      </c>
      <c r="S16" s="50">
        <v>26.2</v>
      </c>
      <c r="T16" s="50">
        <v>26.2</v>
      </c>
      <c r="U16" s="50">
        <v>26.2</v>
      </c>
      <c r="V16" s="50">
        <v>26.2</v>
      </c>
      <c r="W16" s="50">
        <v>26.2</v>
      </c>
      <c r="X16" s="50">
        <v>26.2</v>
      </c>
      <c r="Y16" s="50">
        <v>26.2</v>
      </c>
      <c r="Z16" s="50">
        <v>26.2</v>
      </c>
      <c r="AA16" s="50">
        <v>26.2</v>
      </c>
      <c r="AB16" s="50">
        <v>26.2</v>
      </c>
      <c r="AC16" s="50">
        <v>26.2</v>
      </c>
      <c r="AD16" s="50">
        <v>26.2</v>
      </c>
      <c r="AE16" s="50">
        <v>26.2</v>
      </c>
      <c r="AF16" s="50">
        <v>26.2</v>
      </c>
      <c r="AG16" s="134">
        <v>25</v>
      </c>
      <c r="AH16" s="54">
        <f t="shared" si="2"/>
        <v>26.3</v>
      </c>
      <c r="AI16" s="55">
        <f t="shared" si="3"/>
        <v>13.1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25</v>
      </c>
      <c r="O17" s="50">
        <v>12.5</v>
      </c>
      <c r="P17" s="50">
        <v>12.5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12.5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25</v>
      </c>
      <c r="D18" s="50">
        <v>25</v>
      </c>
      <c r="E18" s="50">
        <v>25</v>
      </c>
      <c r="F18" s="50">
        <v>25</v>
      </c>
      <c r="G18" s="50">
        <v>25</v>
      </c>
      <c r="H18" s="50">
        <v>25</v>
      </c>
      <c r="I18" s="50">
        <v>25</v>
      </c>
      <c r="J18" s="50">
        <v>25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25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25</v>
      </c>
      <c r="C19" s="50">
        <v>26</v>
      </c>
      <c r="D19" s="50">
        <v>26</v>
      </c>
      <c r="E19" s="50">
        <v>26</v>
      </c>
      <c r="F19" s="50">
        <v>26</v>
      </c>
      <c r="G19" s="50">
        <v>26</v>
      </c>
      <c r="H19" s="50">
        <v>26</v>
      </c>
      <c r="I19" s="50">
        <v>26</v>
      </c>
      <c r="J19" s="50">
        <v>26</v>
      </c>
      <c r="K19" s="50">
        <v>26</v>
      </c>
      <c r="L19" s="50">
        <v>33</v>
      </c>
      <c r="M19" s="50">
        <v>33.200000000000003</v>
      </c>
      <c r="N19" s="50">
        <v>33.200000000000003</v>
      </c>
      <c r="O19" s="50">
        <v>25.3</v>
      </c>
      <c r="P19" s="50">
        <v>25.3</v>
      </c>
      <c r="Q19" s="50">
        <v>25.3</v>
      </c>
      <c r="R19" s="50">
        <v>25.3</v>
      </c>
      <c r="S19" s="50">
        <v>25.3</v>
      </c>
      <c r="T19" s="50">
        <v>25.3</v>
      </c>
      <c r="U19" s="50">
        <v>25.3</v>
      </c>
      <c r="V19" s="50">
        <v>25.3</v>
      </c>
      <c r="W19" s="50">
        <v>25.3</v>
      </c>
      <c r="X19" s="50">
        <v>25.3</v>
      </c>
      <c r="Y19" s="50">
        <v>25.3</v>
      </c>
      <c r="Z19" s="50">
        <v>25.3</v>
      </c>
      <c r="AA19" s="50">
        <v>25.3</v>
      </c>
      <c r="AB19" s="50">
        <v>25.3</v>
      </c>
      <c r="AC19" s="50">
        <v>25.3</v>
      </c>
      <c r="AD19" s="50">
        <v>25.3</v>
      </c>
      <c r="AE19" s="50">
        <v>25.3</v>
      </c>
      <c r="AF19" s="50">
        <v>25.3</v>
      </c>
      <c r="AG19" s="134">
        <v>24.2</v>
      </c>
      <c r="AH19" s="54">
        <f t="shared" si="2"/>
        <v>33.200000000000003</v>
      </c>
      <c r="AI19" s="55">
        <f t="shared" si="3"/>
        <v>25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23.7</v>
      </c>
      <c r="C20" s="50">
        <v>23.6</v>
      </c>
      <c r="D20" s="50">
        <v>23.6</v>
      </c>
      <c r="E20" s="50">
        <v>23.6</v>
      </c>
      <c r="F20" s="50">
        <v>23.6</v>
      </c>
      <c r="G20" s="50">
        <v>23.6</v>
      </c>
      <c r="H20" s="50">
        <v>23.6</v>
      </c>
      <c r="I20" s="50">
        <v>23.6</v>
      </c>
      <c r="J20" s="50">
        <v>23.6</v>
      </c>
      <c r="K20" s="50">
        <v>23.6</v>
      </c>
      <c r="L20" s="50">
        <v>23.6</v>
      </c>
      <c r="M20" s="50">
        <v>23.4</v>
      </c>
      <c r="N20" s="50">
        <v>23.4</v>
      </c>
      <c r="O20" s="50">
        <v>23.4</v>
      </c>
      <c r="P20" s="50">
        <v>0</v>
      </c>
      <c r="Q20" s="50">
        <v>23.4</v>
      </c>
      <c r="R20" s="50">
        <v>23.4</v>
      </c>
      <c r="S20" s="50">
        <v>23.4</v>
      </c>
      <c r="T20" s="50">
        <v>23.4</v>
      </c>
      <c r="U20" s="50">
        <v>23.4</v>
      </c>
      <c r="V20" s="50">
        <v>23.4</v>
      </c>
      <c r="W20" s="50">
        <v>23.4</v>
      </c>
      <c r="X20" s="50">
        <v>23.4</v>
      </c>
      <c r="Y20" s="50">
        <v>23.4</v>
      </c>
      <c r="Z20" s="50">
        <v>23.4</v>
      </c>
      <c r="AA20" s="50">
        <v>23.4</v>
      </c>
      <c r="AB20" s="50">
        <v>23.5</v>
      </c>
      <c r="AC20" s="50">
        <v>23.5</v>
      </c>
      <c r="AD20" s="50">
        <v>23.5</v>
      </c>
      <c r="AE20" s="50">
        <v>23.5</v>
      </c>
      <c r="AF20" s="50">
        <v>23.5</v>
      </c>
      <c r="AG20" s="134">
        <v>23.5</v>
      </c>
      <c r="AH20" s="54">
        <f t="shared" si="2"/>
        <v>23.7</v>
      </c>
      <c r="AI20" s="55">
        <f t="shared" si="3"/>
        <v>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19</v>
      </c>
      <c r="C21" s="50">
        <v>19</v>
      </c>
      <c r="D21" s="50">
        <v>19</v>
      </c>
      <c r="E21" s="50">
        <v>19</v>
      </c>
      <c r="F21" s="50">
        <v>19</v>
      </c>
      <c r="G21" s="50">
        <v>19</v>
      </c>
      <c r="H21" s="50">
        <v>19</v>
      </c>
      <c r="I21" s="50">
        <v>19</v>
      </c>
      <c r="J21" s="50">
        <v>19</v>
      </c>
      <c r="K21" s="50">
        <v>19</v>
      </c>
      <c r="L21" s="50">
        <v>19</v>
      </c>
      <c r="M21" s="50">
        <v>19</v>
      </c>
      <c r="N21" s="50">
        <v>19</v>
      </c>
      <c r="O21" s="50">
        <v>19</v>
      </c>
      <c r="P21" s="50">
        <v>19</v>
      </c>
      <c r="Q21" s="50">
        <v>19</v>
      </c>
      <c r="R21" s="50">
        <v>19</v>
      </c>
      <c r="S21" s="50">
        <v>19</v>
      </c>
      <c r="T21" s="50">
        <v>19</v>
      </c>
      <c r="U21" s="50">
        <v>19</v>
      </c>
      <c r="V21" s="50">
        <v>19</v>
      </c>
      <c r="W21" s="50">
        <v>19</v>
      </c>
      <c r="X21" s="50">
        <v>19</v>
      </c>
      <c r="Y21" s="50">
        <v>19</v>
      </c>
      <c r="Z21" s="50">
        <v>19</v>
      </c>
      <c r="AA21" s="50">
        <v>19</v>
      </c>
      <c r="AB21" s="50">
        <v>19</v>
      </c>
      <c r="AC21" s="50">
        <v>19</v>
      </c>
      <c r="AD21" s="50">
        <v>19</v>
      </c>
      <c r="AE21" s="50">
        <v>19</v>
      </c>
      <c r="AF21" s="50">
        <v>19</v>
      </c>
      <c r="AG21" s="134">
        <v>22.2</v>
      </c>
      <c r="AH21" s="54">
        <f t="shared" si="2"/>
        <v>19</v>
      </c>
      <c r="AI21" s="55">
        <f t="shared" si="3"/>
        <v>19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134">
        <v>22.1</v>
      </c>
      <c r="AH22" s="54">
        <f t="shared" si="2"/>
        <v>22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22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50">
        <v>22</v>
      </c>
      <c r="K24" s="50">
        <v>20.9</v>
      </c>
      <c r="L24" s="50">
        <v>8</v>
      </c>
      <c r="M24" s="50">
        <v>8</v>
      </c>
      <c r="N24" s="50">
        <v>0</v>
      </c>
      <c r="O24" s="50">
        <v>0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22</v>
      </c>
      <c r="AI24" s="55">
        <f t="shared" si="3"/>
        <v>0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10</v>
      </c>
      <c r="C25" s="50">
        <v>10</v>
      </c>
      <c r="D25" s="50">
        <v>10</v>
      </c>
      <c r="E25" s="50">
        <v>5</v>
      </c>
      <c r="F25" s="50">
        <v>5</v>
      </c>
      <c r="G25" s="50">
        <v>5</v>
      </c>
      <c r="H25" s="50">
        <v>5</v>
      </c>
      <c r="I25" s="50">
        <v>5</v>
      </c>
      <c r="J25" s="50">
        <v>5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20</v>
      </c>
      <c r="AB25" s="50">
        <v>20</v>
      </c>
      <c r="AC25" s="50">
        <v>10</v>
      </c>
      <c r="AD25" s="50">
        <v>10</v>
      </c>
      <c r="AE25" s="50">
        <v>0</v>
      </c>
      <c r="AF25" s="50">
        <v>0</v>
      </c>
      <c r="AG25" s="134">
        <v>20</v>
      </c>
      <c r="AH25" s="54">
        <f t="shared" si="2"/>
        <v>20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14.9</v>
      </c>
      <c r="C26" s="50">
        <v>14.9</v>
      </c>
      <c r="D26" s="50">
        <v>14.9</v>
      </c>
      <c r="E26" s="50">
        <v>14.9</v>
      </c>
      <c r="F26" s="50">
        <v>14.9</v>
      </c>
      <c r="G26" s="50">
        <v>14.9</v>
      </c>
      <c r="H26" s="50">
        <v>14.9</v>
      </c>
      <c r="I26" s="50">
        <v>14.9</v>
      </c>
      <c r="J26" s="50">
        <v>14.9</v>
      </c>
      <c r="K26" s="50">
        <v>14.9</v>
      </c>
      <c r="L26" s="50">
        <v>14.9</v>
      </c>
      <c r="M26" s="50">
        <v>14.9</v>
      </c>
      <c r="N26" s="50">
        <v>14.9</v>
      </c>
      <c r="O26" s="50">
        <v>14.9</v>
      </c>
      <c r="P26" s="50">
        <v>14.9</v>
      </c>
      <c r="Q26" s="50">
        <v>14.9</v>
      </c>
      <c r="R26" s="50">
        <v>14.9</v>
      </c>
      <c r="S26" s="50">
        <v>14.9</v>
      </c>
      <c r="T26" s="50">
        <v>14.9</v>
      </c>
      <c r="U26" s="50">
        <v>14.9</v>
      </c>
      <c r="V26" s="50">
        <v>14.9</v>
      </c>
      <c r="W26" s="50">
        <v>14.9</v>
      </c>
      <c r="X26" s="50">
        <v>14.9</v>
      </c>
      <c r="Y26" s="50">
        <v>14.9</v>
      </c>
      <c r="Z26" s="50">
        <v>14.9</v>
      </c>
      <c r="AA26" s="50">
        <v>14.9</v>
      </c>
      <c r="AB26" s="50">
        <v>14.9</v>
      </c>
      <c r="AC26" s="50">
        <v>14.9</v>
      </c>
      <c r="AD26" s="50">
        <v>14.9</v>
      </c>
      <c r="AE26" s="50">
        <v>14.9</v>
      </c>
      <c r="AF26" s="50">
        <v>14.9</v>
      </c>
      <c r="AG26" s="134">
        <v>14.9</v>
      </c>
      <c r="AH26" s="54">
        <f t="shared" si="2"/>
        <v>14.9</v>
      </c>
      <c r="AI26" s="55">
        <f t="shared" si="3"/>
        <v>14.9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12</v>
      </c>
      <c r="C27" s="50">
        <v>12</v>
      </c>
      <c r="D27" s="50">
        <v>12</v>
      </c>
      <c r="E27" s="50">
        <v>12</v>
      </c>
      <c r="F27" s="50">
        <v>12</v>
      </c>
      <c r="G27" s="50">
        <v>12</v>
      </c>
      <c r="H27" s="50">
        <v>12</v>
      </c>
      <c r="I27" s="50">
        <v>12</v>
      </c>
      <c r="J27" s="50">
        <v>12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12</v>
      </c>
      <c r="Q27" s="50">
        <v>12</v>
      </c>
      <c r="R27" s="50">
        <v>12</v>
      </c>
      <c r="S27" s="50">
        <v>12</v>
      </c>
      <c r="T27" s="50">
        <v>12</v>
      </c>
      <c r="U27" s="50">
        <v>12</v>
      </c>
      <c r="V27" s="50">
        <v>12</v>
      </c>
      <c r="W27" s="50">
        <v>12</v>
      </c>
      <c r="X27" s="50">
        <v>12</v>
      </c>
      <c r="Y27" s="50">
        <v>12</v>
      </c>
      <c r="Z27" s="50">
        <v>12</v>
      </c>
      <c r="AA27" s="50">
        <v>12</v>
      </c>
      <c r="AB27" s="50">
        <v>12</v>
      </c>
      <c r="AC27" s="50">
        <v>12</v>
      </c>
      <c r="AD27" s="50">
        <v>12</v>
      </c>
      <c r="AE27" s="50">
        <v>12</v>
      </c>
      <c r="AF27" s="50">
        <v>12</v>
      </c>
      <c r="AG27" s="134">
        <v>13.6</v>
      </c>
      <c r="AH27" s="54">
        <f t="shared" si="2"/>
        <v>12</v>
      </c>
      <c r="AI27" s="55">
        <f t="shared" si="3"/>
        <v>0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13</v>
      </c>
      <c r="AC28" s="50">
        <v>13</v>
      </c>
      <c r="AD28" s="50">
        <v>13</v>
      </c>
      <c r="AE28" s="50">
        <v>13</v>
      </c>
      <c r="AF28" s="50">
        <v>13</v>
      </c>
      <c r="AG28" s="134">
        <v>13</v>
      </c>
      <c r="AH28" s="54">
        <f t="shared" si="2"/>
        <v>13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8</v>
      </c>
      <c r="C29" s="50">
        <v>8</v>
      </c>
      <c r="D29" s="50">
        <v>8</v>
      </c>
      <c r="E29" s="50">
        <v>8</v>
      </c>
      <c r="F29" s="50">
        <v>8</v>
      </c>
      <c r="G29" s="50">
        <v>8</v>
      </c>
      <c r="H29" s="50">
        <v>8</v>
      </c>
      <c r="I29" s="50">
        <v>8</v>
      </c>
      <c r="J29" s="50">
        <v>8</v>
      </c>
      <c r="K29" s="50">
        <v>8</v>
      </c>
      <c r="L29" s="50">
        <v>8</v>
      </c>
      <c r="M29" s="50">
        <v>8</v>
      </c>
      <c r="N29" s="50">
        <v>8</v>
      </c>
      <c r="O29" s="50">
        <v>8</v>
      </c>
      <c r="P29" s="50">
        <v>8</v>
      </c>
      <c r="Q29" s="50">
        <v>8</v>
      </c>
      <c r="R29" s="50">
        <v>8</v>
      </c>
      <c r="S29" s="50">
        <v>8</v>
      </c>
      <c r="T29" s="50">
        <v>8</v>
      </c>
      <c r="U29" s="50">
        <v>8</v>
      </c>
      <c r="V29" s="50">
        <v>8</v>
      </c>
      <c r="W29" s="50">
        <v>8</v>
      </c>
      <c r="X29" s="50">
        <v>8</v>
      </c>
      <c r="Y29" s="50">
        <v>8</v>
      </c>
      <c r="Z29" s="50">
        <v>8</v>
      </c>
      <c r="AA29" s="50">
        <v>8</v>
      </c>
      <c r="AB29" s="50">
        <v>8</v>
      </c>
      <c r="AC29" s="50">
        <v>8</v>
      </c>
      <c r="AD29" s="50">
        <v>8</v>
      </c>
      <c r="AE29" s="50">
        <v>8</v>
      </c>
      <c r="AF29" s="50">
        <v>8</v>
      </c>
      <c r="AG29" s="134">
        <v>12</v>
      </c>
      <c r="AH29" s="54">
        <f t="shared" si="2"/>
        <v>8</v>
      </c>
      <c r="AI29" s="55">
        <f t="shared" si="3"/>
        <v>8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2</v>
      </c>
      <c r="C30" s="50">
        <v>2</v>
      </c>
      <c r="D30" s="50">
        <v>2</v>
      </c>
      <c r="E30" s="50">
        <v>2</v>
      </c>
      <c r="F30" s="50">
        <v>2</v>
      </c>
      <c r="G30" s="50">
        <v>2</v>
      </c>
      <c r="H30" s="50">
        <v>2</v>
      </c>
      <c r="I30" s="50">
        <v>2</v>
      </c>
      <c r="J30" s="50">
        <v>2</v>
      </c>
      <c r="K30" s="50">
        <v>2</v>
      </c>
      <c r="L30" s="50">
        <v>2</v>
      </c>
      <c r="M30" s="50">
        <v>2</v>
      </c>
      <c r="N30" s="50">
        <v>2</v>
      </c>
      <c r="O30" s="50">
        <v>2</v>
      </c>
      <c r="P30" s="50">
        <v>2</v>
      </c>
      <c r="Q30" s="50">
        <v>2</v>
      </c>
      <c r="R30" s="50">
        <v>2</v>
      </c>
      <c r="S30" s="50">
        <v>2</v>
      </c>
      <c r="T30" s="50">
        <v>2</v>
      </c>
      <c r="U30" s="50">
        <v>2</v>
      </c>
      <c r="V30" s="50">
        <v>2</v>
      </c>
      <c r="W30" s="50">
        <v>2</v>
      </c>
      <c r="X30" s="50">
        <v>2</v>
      </c>
      <c r="Y30" s="50">
        <v>2</v>
      </c>
      <c r="Z30" s="50">
        <v>2</v>
      </c>
      <c r="AA30" s="50">
        <v>2</v>
      </c>
      <c r="AB30" s="50">
        <v>2</v>
      </c>
      <c r="AC30" s="50">
        <v>2</v>
      </c>
      <c r="AD30" s="50">
        <v>2</v>
      </c>
      <c r="AE30" s="50">
        <v>2</v>
      </c>
      <c r="AF30" s="50">
        <v>2</v>
      </c>
      <c r="AG30" s="134">
        <v>12</v>
      </c>
      <c r="AH30" s="54">
        <f t="shared" si="2"/>
        <v>2</v>
      </c>
      <c r="AI30" s="55">
        <f t="shared" si="3"/>
        <v>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12</v>
      </c>
      <c r="C31" s="50">
        <v>12</v>
      </c>
      <c r="D31" s="50">
        <v>12</v>
      </c>
      <c r="E31" s="50">
        <v>12</v>
      </c>
      <c r="F31" s="50">
        <v>12</v>
      </c>
      <c r="G31" s="50">
        <v>12</v>
      </c>
      <c r="H31" s="50">
        <v>12</v>
      </c>
      <c r="I31" s="50">
        <v>12</v>
      </c>
      <c r="J31" s="50">
        <v>12</v>
      </c>
      <c r="K31" s="50">
        <v>12</v>
      </c>
      <c r="L31" s="50">
        <v>12</v>
      </c>
      <c r="M31" s="50">
        <v>12</v>
      </c>
      <c r="N31" s="50">
        <v>12</v>
      </c>
      <c r="O31" s="50">
        <v>12</v>
      </c>
      <c r="P31" s="50">
        <v>12</v>
      </c>
      <c r="Q31" s="50">
        <v>12</v>
      </c>
      <c r="R31" s="50">
        <v>12</v>
      </c>
      <c r="S31" s="50">
        <v>12</v>
      </c>
      <c r="T31" s="50">
        <v>12</v>
      </c>
      <c r="U31" s="50">
        <v>12</v>
      </c>
      <c r="V31" s="50">
        <v>12</v>
      </c>
      <c r="W31" s="50">
        <v>12</v>
      </c>
      <c r="X31" s="50">
        <v>12</v>
      </c>
      <c r="Y31" s="50">
        <v>12</v>
      </c>
      <c r="Z31" s="50">
        <v>12</v>
      </c>
      <c r="AA31" s="50">
        <v>12</v>
      </c>
      <c r="AB31" s="50">
        <v>12</v>
      </c>
      <c r="AC31" s="50">
        <v>12</v>
      </c>
      <c r="AD31" s="50">
        <v>12</v>
      </c>
      <c r="AE31" s="50">
        <v>12</v>
      </c>
      <c r="AF31" s="50">
        <v>12</v>
      </c>
      <c r="AG31" s="178">
        <v>22</v>
      </c>
      <c r="AH31" s="54">
        <f>MAX(B31:AF31)</f>
        <v>12</v>
      </c>
      <c r="AI31" s="55">
        <f>MIN(B31:AF31)</f>
        <v>12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11.5</v>
      </c>
      <c r="C32" s="50">
        <v>11.5</v>
      </c>
      <c r="D32" s="50">
        <v>11.5</v>
      </c>
      <c r="E32" s="50">
        <v>11.5</v>
      </c>
      <c r="F32" s="50">
        <v>11.5</v>
      </c>
      <c r="G32" s="50">
        <v>11.5</v>
      </c>
      <c r="H32" s="50">
        <v>11.5</v>
      </c>
      <c r="I32" s="50">
        <v>11.5</v>
      </c>
      <c r="J32" s="50">
        <v>11.5</v>
      </c>
      <c r="K32" s="50">
        <v>0</v>
      </c>
      <c r="L32" s="50">
        <v>0</v>
      </c>
      <c r="M32" s="50">
        <v>0</v>
      </c>
      <c r="N32" s="50">
        <v>0</v>
      </c>
      <c r="O32" s="50">
        <v>4</v>
      </c>
      <c r="P32" s="50">
        <v>4</v>
      </c>
      <c r="Q32" s="50">
        <v>4</v>
      </c>
      <c r="R32" s="50">
        <v>4</v>
      </c>
      <c r="S32" s="50">
        <v>4</v>
      </c>
      <c r="T32" s="50">
        <v>4</v>
      </c>
      <c r="U32" s="50">
        <v>4</v>
      </c>
      <c r="V32" s="50">
        <v>4</v>
      </c>
      <c r="W32" s="50">
        <v>4</v>
      </c>
      <c r="X32" s="50">
        <v>4</v>
      </c>
      <c r="Y32" s="50">
        <v>4</v>
      </c>
      <c r="Z32" s="50">
        <v>4</v>
      </c>
      <c r="AA32" s="50">
        <v>4</v>
      </c>
      <c r="AB32" s="50">
        <v>11</v>
      </c>
      <c r="AC32" s="50">
        <v>11</v>
      </c>
      <c r="AD32" s="50">
        <v>11</v>
      </c>
      <c r="AE32" s="50">
        <v>11</v>
      </c>
      <c r="AF32" s="50">
        <v>11</v>
      </c>
      <c r="AG32" s="135">
        <v>11.88</v>
      </c>
      <c r="AH32" s="54">
        <f t="shared" si="2"/>
        <v>11.5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11</v>
      </c>
      <c r="D33" s="50">
        <v>11</v>
      </c>
      <c r="E33" s="50">
        <v>11</v>
      </c>
      <c r="F33" s="50">
        <v>11</v>
      </c>
      <c r="G33" s="50">
        <v>11</v>
      </c>
      <c r="H33" s="50">
        <v>11</v>
      </c>
      <c r="I33" s="50">
        <v>11</v>
      </c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11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10</v>
      </c>
      <c r="C34" s="50">
        <v>10</v>
      </c>
      <c r="D34" s="50">
        <v>10</v>
      </c>
      <c r="E34" s="50">
        <v>10</v>
      </c>
      <c r="F34" s="50">
        <v>10</v>
      </c>
      <c r="G34" s="50">
        <v>4.7</v>
      </c>
      <c r="H34" s="50">
        <v>4.7</v>
      </c>
      <c r="I34" s="50">
        <v>4.7</v>
      </c>
      <c r="J34" s="50">
        <v>4.7</v>
      </c>
      <c r="K34" s="50">
        <v>4.7</v>
      </c>
      <c r="L34" s="50">
        <v>4.5</v>
      </c>
      <c r="M34" s="50">
        <v>4.5</v>
      </c>
      <c r="N34" s="50">
        <v>4.5</v>
      </c>
      <c r="O34" s="50">
        <v>4.5</v>
      </c>
      <c r="P34" s="50">
        <v>4.5</v>
      </c>
      <c r="Q34" s="50">
        <v>4.5</v>
      </c>
      <c r="R34" s="50">
        <v>4.5</v>
      </c>
      <c r="S34" s="50">
        <v>4.5</v>
      </c>
      <c r="T34" s="50">
        <v>4.5</v>
      </c>
      <c r="U34" s="50">
        <v>4.5</v>
      </c>
      <c r="V34" s="50">
        <v>4.5</v>
      </c>
      <c r="W34" s="50">
        <v>4.5</v>
      </c>
      <c r="X34" s="50">
        <v>4.5</v>
      </c>
      <c r="Y34" s="50">
        <v>4.5</v>
      </c>
      <c r="Z34" s="50">
        <v>4.5</v>
      </c>
      <c r="AA34" s="50">
        <v>4.5</v>
      </c>
      <c r="AB34" s="50">
        <v>4.5</v>
      </c>
      <c r="AC34" s="50">
        <v>4.5</v>
      </c>
      <c r="AD34" s="50">
        <v>4.5</v>
      </c>
      <c r="AE34" s="50">
        <v>4.5</v>
      </c>
      <c r="AF34" s="50">
        <v>4.5</v>
      </c>
      <c r="AG34" s="136">
        <v>10</v>
      </c>
      <c r="AH34" s="54">
        <f t="shared" si="2"/>
        <v>10</v>
      </c>
      <c r="AI34" s="55">
        <f t="shared" si="3"/>
        <v>4.5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3</v>
      </c>
      <c r="N35" s="50">
        <v>3</v>
      </c>
      <c r="O35" s="50">
        <v>3</v>
      </c>
      <c r="P35" s="50">
        <v>3</v>
      </c>
      <c r="Q35" s="50">
        <v>3</v>
      </c>
      <c r="R35" s="50">
        <v>3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136">
        <v>10</v>
      </c>
      <c r="AH35" s="54">
        <f t="shared" si="2"/>
        <v>3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300</v>
      </c>
      <c r="C36" s="62">
        <v>300</v>
      </c>
      <c r="D36" s="62">
        <v>300</v>
      </c>
      <c r="E36" s="62">
        <v>300</v>
      </c>
      <c r="F36" s="62">
        <v>300</v>
      </c>
      <c r="G36" s="62">
        <v>300</v>
      </c>
      <c r="H36" s="62">
        <v>300</v>
      </c>
      <c r="I36" s="62">
        <v>300</v>
      </c>
      <c r="J36" s="62">
        <v>300</v>
      </c>
      <c r="K36" s="62">
        <v>300</v>
      </c>
      <c r="L36" s="62">
        <v>300</v>
      </c>
      <c r="M36" s="62">
        <v>300</v>
      </c>
      <c r="N36" s="62">
        <v>300</v>
      </c>
      <c r="O36" s="62">
        <v>300</v>
      </c>
      <c r="P36" s="62">
        <v>300</v>
      </c>
      <c r="Q36" s="62">
        <v>300</v>
      </c>
      <c r="R36" s="62">
        <v>300</v>
      </c>
      <c r="S36" s="62">
        <v>300</v>
      </c>
      <c r="T36" s="62">
        <v>300</v>
      </c>
      <c r="U36" s="62">
        <f>327</f>
        <v>327</v>
      </c>
      <c r="V36" s="62">
        <f>327</f>
        <v>327</v>
      </c>
      <c r="W36" s="62">
        <f>327</f>
        <v>327</v>
      </c>
      <c r="X36" s="62">
        <f>327</f>
        <v>327</v>
      </c>
      <c r="Y36" s="62">
        <f>327</f>
        <v>327</v>
      </c>
      <c r="Z36" s="62">
        <f>327</f>
        <v>327</v>
      </c>
      <c r="AA36" s="62">
        <f>327</f>
        <v>327</v>
      </c>
      <c r="AB36" s="62">
        <f>327</f>
        <v>327</v>
      </c>
      <c r="AC36" s="62">
        <f>327</f>
        <v>327</v>
      </c>
      <c r="AD36" s="62">
        <f>327</f>
        <v>327</v>
      </c>
      <c r="AE36" s="62">
        <f>327</f>
        <v>327</v>
      </c>
      <c r="AF36" s="62">
        <f>327</f>
        <v>327</v>
      </c>
      <c r="AG36" s="136">
        <v>85</v>
      </c>
      <c r="AH36" s="54">
        <f t="shared" si="2"/>
        <v>327</v>
      </c>
      <c r="AI36" s="55">
        <f t="shared" si="3"/>
        <v>300</v>
      </c>
      <c r="AK36" s="56"/>
    </row>
    <row r="37" spans="1:88" ht="15.75" thickBot="1" x14ac:dyDescent="0.3">
      <c r="A37" s="63" t="s">
        <v>21</v>
      </c>
      <c r="B37" s="64"/>
      <c r="C37" s="64"/>
      <c r="D37" s="64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136">
        <v>240</v>
      </c>
      <c r="AH37" s="54">
        <f t="shared" si="2"/>
        <v>0</v>
      </c>
      <c r="AI37" s="55">
        <f t="shared" si="3"/>
        <v>0</v>
      </c>
      <c r="AK37" s="56"/>
    </row>
    <row r="38" spans="1:88" ht="15.75" thickBot="1" x14ac:dyDescent="0.3">
      <c r="A38" s="131" t="s">
        <v>22</v>
      </c>
      <c r="B38" s="66">
        <f t="shared" ref="B38" si="4">SUM(B11:B36)</f>
        <v>780.89999999999986</v>
      </c>
      <c r="C38" s="66">
        <f t="shared" ref="C38:AG38" si="5">SUM(C11:C36)</f>
        <v>781.9</v>
      </c>
      <c r="D38" s="66">
        <f t="shared" si="5"/>
        <v>782.5</v>
      </c>
      <c r="E38" s="66">
        <f t="shared" si="5"/>
        <v>777.5</v>
      </c>
      <c r="F38" s="66">
        <f t="shared" si="5"/>
        <v>777.5</v>
      </c>
      <c r="G38" s="66">
        <f t="shared" si="5"/>
        <v>772.2</v>
      </c>
      <c r="H38" s="66">
        <f t="shared" si="5"/>
        <v>772.2</v>
      </c>
      <c r="I38" s="66">
        <f t="shared" si="5"/>
        <v>772.2</v>
      </c>
      <c r="J38" s="66">
        <f t="shared" si="5"/>
        <v>745.9</v>
      </c>
      <c r="K38" s="66">
        <f t="shared" si="5"/>
        <v>699.8</v>
      </c>
      <c r="L38" s="66">
        <f t="shared" si="5"/>
        <v>693.3</v>
      </c>
      <c r="M38" s="66">
        <f t="shared" si="5"/>
        <v>696.3</v>
      </c>
      <c r="N38" s="66">
        <f t="shared" si="5"/>
        <v>688.3</v>
      </c>
      <c r="O38" s="66">
        <f t="shared" si="5"/>
        <v>671.9</v>
      </c>
      <c r="P38" s="66">
        <f t="shared" si="5"/>
        <v>712.5</v>
      </c>
      <c r="Q38" s="66">
        <f t="shared" si="5"/>
        <v>801.5</v>
      </c>
      <c r="R38" s="66">
        <f t="shared" si="5"/>
        <v>787.5</v>
      </c>
      <c r="S38" s="66">
        <f t="shared" si="5"/>
        <v>754.5</v>
      </c>
      <c r="T38" s="66">
        <f t="shared" si="5"/>
        <v>754.5</v>
      </c>
      <c r="U38" s="66">
        <f t="shared" si="5"/>
        <v>781.5</v>
      </c>
      <c r="V38" s="66">
        <f t="shared" si="5"/>
        <v>781.5</v>
      </c>
      <c r="W38" s="66">
        <f t="shared" si="5"/>
        <v>781.5</v>
      </c>
      <c r="X38" s="66">
        <f t="shared" si="5"/>
        <v>781.5</v>
      </c>
      <c r="Y38" s="66">
        <f t="shared" si="5"/>
        <v>781.5</v>
      </c>
      <c r="Z38" s="66">
        <f t="shared" si="5"/>
        <v>781.5</v>
      </c>
      <c r="AA38" s="66">
        <f t="shared" si="5"/>
        <v>840.5</v>
      </c>
      <c r="AB38" s="66">
        <f t="shared" si="5"/>
        <v>860.59999999999991</v>
      </c>
      <c r="AC38" s="66">
        <f t="shared" si="5"/>
        <v>820.59999999999991</v>
      </c>
      <c r="AD38" s="66">
        <f t="shared" si="5"/>
        <v>815.59999999999991</v>
      </c>
      <c r="AE38" s="66">
        <f t="shared" si="5"/>
        <v>801.59999999999991</v>
      </c>
      <c r="AF38" s="66">
        <f t="shared" si="5"/>
        <v>805.59999999999991</v>
      </c>
      <c r="AG38" s="143">
        <f t="shared" si="5"/>
        <v>665.78</v>
      </c>
      <c r="AH38" s="54">
        <f t="shared" si="2"/>
        <v>860.59999999999991</v>
      </c>
      <c r="AI38" s="55">
        <f t="shared" si="3"/>
        <v>671.9</v>
      </c>
      <c r="AK38" s="56"/>
    </row>
    <row r="39" spans="1:88" x14ac:dyDescent="0.25">
      <c r="A39" s="159" t="s">
        <v>130</v>
      </c>
      <c r="B39" s="50">
        <v>456</v>
      </c>
      <c r="C39" s="50">
        <v>456</v>
      </c>
      <c r="D39" s="50">
        <v>456</v>
      </c>
      <c r="E39" s="50">
        <v>420</v>
      </c>
      <c r="F39" s="50">
        <v>420</v>
      </c>
      <c r="G39" s="50">
        <v>420</v>
      </c>
      <c r="H39" s="50">
        <v>420</v>
      </c>
      <c r="I39" s="50">
        <v>420</v>
      </c>
      <c r="J39" s="50">
        <v>456</v>
      </c>
      <c r="K39" s="50">
        <v>456</v>
      </c>
      <c r="L39" s="50">
        <v>456</v>
      </c>
      <c r="M39" s="50">
        <v>456</v>
      </c>
      <c r="N39" s="50">
        <v>456</v>
      </c>
      <c r="O39" s="50">
        <v>456</v>
      </c>
      <c r="P39" s="50">
        <v>456</v>
      </c>
      <c r="Q39" s="50">
        <v>456</v>
      </c>
      <c r="R39" s="50">
        <v>456</v>
      </c>
      <c r="S39" s="50">
        <v>456</v>
      </c>
      <c r="T39" s="50">
        <v>456</v>
      </c>
      <c r="U39" s="50">
        <v>456</v>
      </c>
      <c r="V39" s="50">
        <v>456</v>
      </c>
      <c r="W39" s="50">
        <v>456</v>
      </c>
      <c r="X39" s="50">
        <v>456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456</v>
      </c>
      <c r="AF39" s="50">
        <v>456</v>
      </c>
      <c r="AG39" s="135">
        <v>456</v>
      </c>
      <c r="AH39" s="54">
        <f t="shared" si="2"/>
        <v>456</v>
      </c>
      <c r="AI39" s="55">
        <f t="shared" si="3"/>
        <v>420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f t="shared" ref="B42" si="6">SUM(B39:B41)</f>
        <v>538</v>
      </c>
      <c r="C42" s="66">
        <f t="shared" ref="C42:AG42" si="7">SUM(C39:C41)</f>
        <v>538</v>
      </c>
      <c r="D42" s="66">
        <f t="shared" si="7"/>
        <v>538</v>
      </c>
      <c r="E42" s="66">
        <f t="shared" si="7"/>
        <v>502</v>
      </c>
      <c r="F42" s="66">
        <f t="shared" si="7"/>
        <v>502</v>
      </c>
      <c r="G42" s="66">
        <f t="shared" si="7"/>
        <v>502</v>
      </c>
      <c r="H42" s="66">
        <f t="shared" si="7"/>
        <v>502</v>
      </c>
      <c r="I42" s="66">
        <f t="shared" si="7"/>
        <v>502</v>
      </c>
      <c r="J42" s="66">
        <f t="shared" si="7"/>
        <v>538</v>
      </c>
      <c r="K42" s="66">
        <f t="shared" si="7"/>
        <v>538</v>
      </c>
      <c r="L42" s="66">
        <f t="shared" si="7"/>
        <v>538</v>
      </c>
      <c r="M42" s="66">
        <f t="shared" si="7"/>
        <v>538</v>
      </c>
      <c r="N42" s="66">
        <f t="shared" si="7"/>
        <v>538</v>
      </c>
      <c r="O42" s="66">
        <f t="shared" si="7"/>
        <v>538</v>
      </c>
      <c r="P42" s="66">
        <f t="shared" si="7"/>
        <v>538</v>
      </c>
      <c r="Q42" s="66">
        <f t="shared" si="7"/>
        <v>538</v>
      </c>
      <c r="R42" s="66">
        <f t="shared" si="7"/>
        <v>538</v>
      </c>
      <c r="S42" s="66">
        <f t="shared" si="7"/>
        <v>538</v>
      </c>
      <c r="T42" s="66">
        <f t="shared" si="7"/>
        <v>538</v>
      </c>
      <c r="U42" s="66">
        <f t="shared" si="7"/>
        <v>538</v>
      </c>
      <c r="V42" s="66">
        <f t="shared" si="7"/>
        <v>538</v>
      </c>
      <c r="W42" s="66">
        <f t="shared" si="7"/>
        <v>538</v>
      </c>
      <c r="X42" s="66">
        <f t="shared" si="7"/>
        <v>538</v>
      </c>
      <c r="Y42" s="66">
        <f t="shared" si="7"/>
        <v>538</v>
      </c>
      <c r="Z42" s="66">
        <f t="shared" si="7"/>
        <v>538</v>
      </c>
      <c r="AA42" s="66">
        <f t="shared" si="7"/>
        <v>538</v>
      </c>
      <c r="AB42" s="66">
        <f t="shared" si="7"/>
        <v>538</v>
      </c>
      <c r="AC42" s="66">
        <f t="shared" si="7"/>
        <v>538</v>
      </c>
      <c r="AD42" s="66">
        <f t="shared" si="7"/>
        <v>538</v>
      </c>
      <c r="AE42" s="66">
        <f t="shared" si="7"/>
        <v>538</v>
      </c>
      <c r="AF42" s="66">
        <f t="shared" si="7"/>
        <v>538</v>
      </c>
      <c r="AG42" s="143">
        <f t="shared" si="7"/>
        <v>538.1</v>
      </c>
      <c r="AH42" s="54">
        <f t="shared" si="2"/>
        <v>538</v>
      </c>
      <c r="AI42" s="55">
        <f t="shared" si="3"/>
        <v>502</v>
      </c>
      <c r="AK42" s="56"/>
    </row>
    <row r="43" spans="1:88" x14ac:dyDescent="0.25">
      <c r="A43" s="57" t="s">
        <v>23</v>
      </c>
      <c r="B43" s="50">
        <v>142</v>
      </c>
      <c r="C43" s="50">
        <v>141.1</v>
      </c>
      <c r="D43" s="50">
        <v>140.9</v>
      </c>
      <c r="E43" s="50">
        <v>140.9</v>
      </c>
      <c r="F43" s="50">
        <v>140.9</v>
      </c>
      <c r="G43" s="50">
        <v>126</v>
      </c>
      <c r="H43" s="50">
        <v>126</v>
      </c>
      <c r="I43" s="50">
        <v>126</v>
      </c>
      <c r="J43" s="50">
        <v>126</v>
      </c>
      <c r="K43" s="50">
        <v>140</v>
      </c>
      <c r="L43" s="50">
        <v>141.69999999999999</v>
      </c>
      <c r="M43" s="50">
        <v>141.4</v>
      </c>
      <c r="N43" s="50">
        <v>141.4</v>
      </c>
      <c r="O43" s="50">
        <v>140.6</v>
      </c>
      <c r="P43" s="50">
        <v>140.6</v>
      </c>
      <c r="Q43" s="50">
        <v>140.9</v>
      </c>
      <c r="R43" s="50">
        <v>140.9</v>
      </c>
      <c r="S43" s="50">
        <v>140.9</v>
      </c>
      <c r="T43" s="50">
        <v>140.9</v>
      </c>
      <c r="U43" s="50">
        <v>140.9</v>
      </c>
      <c r="V43" s="50">
        <v>140.9</v>
      </c>
      <c r="W43" s="50">
        <v>140.9</v>
      </c>
      <c r="X43" s="50">
        <v>140.9</v>
      </c>
      <c r="Y43" s="50">
        <v>140.9</v>
      </c>
      <c r="Z43" s="50">
        <v>142</v>
      </c>
      <c r="AA43" s="50">
        <v>142</v>
      </c>
      <c r="AB43" s="50">
        <v>142</v>
      </c>
      <c r="AC43" s="50">
        <v>142</v>
      </c>
      <c r="AD43" s="50">
        <v>142</v>
      </c>
      <c r="AE43" s="50">
        <v>142</v>
      </c>
      <c r="AF43" s="50">
        <v>142</v>
      </c>
      <c r="AG43" s="135">
        <v>144</v>
      </c>
      <c r="AH43" s="54">
        <f t="shared" si="2"/>
        <v>142</v>
      </c>
      <c r="AI43" s="55">
        <f t="shared" si="3"/>
        <v>126</v>
      </c>
      <c r="AK43" s="56"/>
    </row>
    <row r="44" spans="1:88" x14ac:dyDescent="0.25">
      <c r="A44" s="60" t="s">
        <v>24</v>
      </c>
      <c r="B44" s="48">
        <v>71.599999999999994</v>
      </c>
      <c r="C44" s="48">
        <v>70</v>
      </c>
      <c r="D44" s="48">
        <v>70</v>
      </c>
      <c r="E44" s="48">
        <v>60</v>
      </c>
      <c r="F44" s="48">
        <v>60</v>
      </c>
      <c r="G44" s="48">
        <v>61.8</v>
      </c>
      <c r="H44" s="48">
        <v>61.8</v>
      </c>
      <c r="I44" s="48">
        <v>61.8</v>
      </c>
      <c r="J44" s="48">
        <v>61.8</v>
      </c>
      <c r="K44" s="48">
        <v>61.8</v>
      </c>
      <c r="L44" s="48">
        <v>71.8</v>
      </c>
      <c r="M44" s="50">
        <v>70.099999999999994</v>
      </c>
      <c r="N44" s="50">
        <v>70.099999999999994</v>
      </c>
      <c r="O44" s="50">
        <v>61</v>
      </c>
      <c r="P44" s="50">
        <v>70.099999999999994</v>
      </c>
      <c r="Q44" s="50">
        <v>70.2</v>
      </c>
      <c r="R44" s="50">
        <v>70.2</v>
      </c>
      <c r="S44" s="50">
        <v>70.2</v>
      </c>
      <c r="T44" s="50">
        <v>70.2</v>
      </c>
      <c r="U44" s="50">
        <v>70.2</v>
      </c>
      <c r="V44" s="50">
        <v>70.2</v>
      </c>
      <c r="W44" s="50">
        <v>70.2</v>
      </c>
      <c r="X44" s="50">
        <v>70.2</v>
      </c>
      <c r="Y44" s="50">
        <v>70.2</v>
      </c>
      <c r="Z44" s="50">
        <v>70.2</v>
      </c>
      <c r="AA44" s="50">
        <v>70.2</v>
      </c>
      <c r="AB44" s="50">
        <v>70.2</v>
      </c>
      <c r="AC44" s="50">
        <v>70.2</v>
      </c>
      <c r="AD44" s="50">
        <v>70.2</v>
      </c>
      <c r="AE44" s="50">
        <v>70</v>
      </c>
      <c r="AF44" s="50">
        <v>70</v>
      </c>
      <c r="AG44" s="136">
        <v>70</v>
      </c>
      <c r="AH44" s="54">
        <f t="shared" si="2"/>
        <v>71.8</v>
      </c>
      <c r="AI44" s="55">
        <f t="shared" si="3"/>
        <v>60</v>
      </c>
      <c r="AK44" s="56"/>
    </row>
    <row r="45" spans="1:88" x14ac:dyDescent="0.25">
      <c r="A45" s="60" t="s">
        <v>25</v>
      </c>
      <c r="B45" s="48">
        <v>63.5</v>
      </c>
      <c r="C45" s="48">
        <v>62.9</v>
      </c>
      <c r="D45" s="48">
        <v>63.6</v>
      </c>
      <c r="E45" s="48">
        <v>56</v>
      </c>
      <c r="F45" s="48">
        <v>56</v>
      </c>
      <c r="G45" s="48">
        <v>56</v>
      </c>
      <c r="H45" s="48">
        <v>56</v>
      </c>
      <c r="I45" s="48">
        <v>56</v>
      </c>
      <c r="J45" s="48">
        <v>62</v>
      </c>
      <c r="K45" s="48">
        <v>62</v>
      </c>
      <c r="L45" s="48">
        <v>64.3</v>
      </c>
      <c r="M45" s="50">
        <v>63.8</v>
      </c>
      <c r="N45" s="50">
        <v>63.8</v>
      </c>
      <c r="O45" s="50">
        <v>63.8</v>
      </c>
      <c r="P45" s="50">
        <v>63.8</v>
      </c>
      <c r="Q45" s="50">
        <v>63.5</v>
      </c>
      <c r="R45" s="50">
        <v>63.5</v>
      </c>
      <c r="S45" s="50">
        <v>63.5</v>
      </c>
      <c r="T45" s="50">
        <v>63.5</v>
      </c>
      <c r="U45" s="50">
        <v>63.5</v>
      </c>
      <c r="V45" s="50">
        <v>63.5</v>
      </c>
      <c r="W45" s="50">
        <v>63.5</v>
      </c>
      <c r="X45" s="50">
        <v>63.5</v>
      </c>
      <c r="Y45" s="50">
        <v>63.5</v>
      </c>
      <c r="Z45" s="50">
        <v>63.5</v>
      </c>
      <c r="AA45" s="50">
        <v>63.5</v>
      </c>
      <c r="AB45" s="50">
        <v>63.5</v>
      </c>
      <c r="AC45" s="50">
        <v>63.5</v>
      </c>
      <c r="AD45" s="50">
        <v>63.5</v>
      </c>
      <c r="AE45" s="50">
        <v>63.5</v>
      </c>
      <c r="AF45" s="50">
        <v>63.5</v>
      </c>
      <c r="AG45" s="136">
        <v>69</v>
      </c>
      <c r="AH45" s="54">
        <f t="shared" si="2"/>
        <v>64.3</v>
      </c>
      <c r="AI45" s="55">
        <f t="shared" si="3"/>
        <v>56</v>
      </c>
      <c r="AK45" s="56"/>
    </row>
    <row r="46" spans="1:88" x14ac:dyDescent="0.25">
      <c r="A46" s="60" t="s">
        <v>26</v>
      </c>
      <c r="B46" s="62">
        <v>60.7</v>
      </c>
      <c r="C46" s="62">
        <v>56</v>
      </c>
      <c r="D46" s="62">
        <v>61</v>
      </c>
      <c r="E46" s="62">
        <v>46.6</v>
      </c>
      <c r="F46" s="62">
        <v>46.6</v>
      </c>
      <c r="G46" s="62">
        <v>46.6</v>
      </c>
      <c r="H46" s="62">
        <v>46.6</v>
      </c>
      <c r="I46" s="62">
        <v>46.6</v>
      </c>
      <c r="J46" s="62">
        <v>60</v>
      </c>
      <c r="K46" s="62">
        <v>60</v>
      </c>
      <c r="L46" s="62">
        <v>62</v>
      </c>
      <c r="M46" s="50">
        <v>62</v>
      </c>
      <c r="N46" s="50">
        <v>62</v>
      </c>
      <c r="O46" s="50">
        <v>62</v>
      </c>
      <c r="P46" s="50">
        <v>62</v>
      </c>
      <c r="Q46" s="50">
        <v>60</v>
      </c>
      <c r="R46" s="50">
        <v>60</v>
      </c>
      <c r="S46" s="50">
        <v>60</v>
      </c>
      <c r="T46" s="50">
        <v>60</v>
      </c>
      <c r="U46" s="50">
        <v>60</v>
      </c>
      <c r="V46" s="50">
        <v>60</v>
      </c>
      <c r="W46" s="50">
        <v>60</v>
      </c>
      <c r="X46" s="50">
        <v>60</v>
      </c>
      <c r="Y46" s="50">
        <v>60</v>
      </c>
      <c r="Z46" s="50">
        <v>60</v>
      </c>
      <c r="AA46" s="50">
        <v>60</v>
      </c>
      <c r="AB46" s="50">
        <v>60</v>
      </c>
      <c r="AC46" s="50">
        <v>60</v>
      </c>
      <c r="AD46" s="50">
        <v>60</v>
      </c>
      <c r="AE46" s="50">
        <v>60</v>
      </c>
      <c r="AF46" s="50">
        <v>60</v>
      </c>
      <c r="AG46" s="136">
        <v>60</v>
      </c>
      <c r="AH46" s="54">
        <f t="shared" si="2"/>
        <v>62</v>
      </c>
      <c r="AI46" s="55">
        <f t="shared" si="3"/>
        <v>46.6</v>
      </c>
      <c r="AK46" s="56"/>
    </row>
    <row r="47" spans="1:88" x14ac:dyDescent="0.25">
      <c r="A47" s="60" t="s">
        <v>27</v>
      </c>
      <c r="B47" s="62">
        <v>28.7</v>
      </c>
      <c r="C47" s="62">
        <v>28.7</v>
      </c>
      <c r="D47" s="62">
        <v>28.7</v>
      </c>
      <c r="E47" s="62">
        <v>28.6</v>
      </c>
      <c r="F47" s="62">
        <v>28.6</v>
      </c>
      <c r="G47" s="62">
        <v>28.6</v>
      </c>
      <c r="H47" s="62">
        <v>28.6</v>
      </c>
      <c r="I47" s="62">
        <v>28.6</v>
      </c>
      <c r="J47" s="62">
        <v>28.6</v>
      </c>
      <c r="K47" s="62">
        <v>28.6</v>
      </c>
      <c r="L47" s="62">
        <v>28.6</v>
      </c>
      <c r="M47" s="50">
        <v>28.5</v>
      </c>
      <c r="N47" s="50">
        <v>28.5</v>
      </c>
      <c r="O47" s="50">
        <v>28.5</v>
      </c>
      <c r="P47" s="50">
        <v>28.5</v>
      </c>
      <c r="Q47" s="50">
        <v>28.8</v>
      </c>
      <c r="R47" s="50">
        <v>28.8</v>
      </c>
      <c r="S47" s="50">
        <v>28.8</v>
      </c>
      <c r="T47" s="50">
        <v>28.8</v>
      </c>
      <c r="U47" s="50">
        <v>28.8</v>
      </c>
      <c r="V47" s="50">
        <v>28.8</v>
      </c>
      <c r="W47" s="50">
        <v>28.8</v>
      </c>
      <c r="X47" s="50">
        <v>28.8</v>
      </c>
      <c r="Y47" s="50">
        <v>28.8</v>
      </c>
      <c r="Z47" s="50">
        <v>28.8</v>
      </c>
      <c r="AA47" s="50">
        <v>28.8</v>
      </c>
      <c r="AB47" s="50">
        <v>28.8</v>
      </c>
      <c r="AC47" s="50">
        <v>15</v>
      </c>
      <c r="AD47" s="50">
        <v>28.6</v>
      </c>
      <c r="AE47" s="50">
        <v>28.6</v>
      </c>
      <c r="AF47" s="50">
        <v>28.6</v>
      </c>
      <c r="AG47" s="136">
        <v>30</v>
      </c>
      <c r="AH47" s="54">
        <f t="shared" si="2"/>
        <v>28.8</v>
      </c>
      <c r="AI47" s="55">
        <f t="shared" si="3"/>
        <v>15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48">
        <v>0</v>
      </c>
      <c r="M48" s="50">
        <v>8</v>
      </c>
      <c r="N48" s="50">
        <v>8</v>
      </c>
      <c r="O48" s="50">
        <v>8</v>
      </c>
      <c r="P48" s="50">
        <v>8</v>
      </c>
      <c r="Q48" s="50">
        <v>8</v>
      </c>
      <c r="R48" s="50">
        <v>8</v>
      </c>
      <c r="S48" s="50">
        <v>8</v>
      </c>
      <c r="T48" s="50">
        <v>8</v>
      </c>
      <c r="U48" s="50">
        <v>8</v>
      </c>
      <c r="V48" s="50">
        <v>8</v>
      </c>
      <c r="W48" s="50">
        <v>8</v>
      </c>
      <c r="X48" s="50">
        <v>8</v>
      </c>
      <c r="Y48" s="50">
        <v>8</v>
      </c>
      <c r="Z48" s="50">
        <v>8</v>
      </c>
      <c r="AA48" s="50">
        <v>8</v>
      </c>
      <c r="AB48" s="50">
        <v>0</v>
      </c>
      <c r="AC48" s="50">
        <v>0</v>
      </c>
      <c r="AD48" s="50">
        <v>0</v>
      </c>
      <c r="AE48" s="50">
        <v>0</v>
      </c>
      <c r="AF48" s="50">
        <v>0</v>
      </c>
      <c r="AG48" s="136">
        <v>25</v>
      </c>
      <c r="AH48" s="54">
        <f t="shared" si="2"/>
        <v>8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13.4</v>
      </c>
      <c r="C49" s="48">
        <v>13.4</v>
      </c>
      <c r="D49" s="48">
        <v>13.4</v>
      </c>
      <c r="E49" s="48">
        <v>13.4</v>
      </c>
      <c r="F49" s="48">
        <v>13.4</v>
      </c>
      <c r="G49" s="48">
        <v>13.4</v>
      </c>
      <c r="H49" s="48">
        <v>13.4</v>
      </c>
      <c r="I49" s="48">
        <v>13.4</v>
      </c>
      <c r="J49" s="48">
        <v>13.4</v>
      </c>
      <c r="K49" s="48">
        <v>13.4</v>
      </c>
      <c r="L49" s="48">
        <v>14.1</v>
      </c>
      <c r="M49" s="50">
        <v>14</v>
      </c>
      <c r="N49" s="50">
        <v>14</v>
      </c>
      <c r="O49" s="50">
        <v>14</v>
      </c>
      <c r="P49" s="50">
        <v>14</v>
      </c>
      <c r="Q49" s="50">
        <v>14.4</v>
      </c>
      <c r="R49" s="50">
        <v>14.4</v>
      </c>
      <c r="S49" s="50">
        <v>14.4</v>
      </c>
      <c r="T49" s="50">
        <v>14.4</v>
      </c>
      <c r="U49" s="50">
        <v>14.4</v>
      </c>
      <c r="V49" s="50">
        <v>14.4</v>
      </c>
      <c r="W49" s="50">
        <v>14.4</v>
      </c>
      <c r="X49" s="50">
        <v>14.4</v>
      </c>
      <c r="Y49" s="50">
        <v>14.4</v>
      </c>
      <c r="Z49" s="50">
        <v>14.4</v>
      </c>
      <c r="AA49" s="50">
        <v>14.4</v>
      </c>
      <c r="AB49" s="50">
        <v>14.4</v>
      </c>
      <c r="AC49" s="50">
        <v>14.4</v>
      </c>
      <c r="AD49" s="50">
        <v>14.4</v>
      </c>
      <c r="AE49" s="50">
        <v>14.4</v>
      </c>
      <c r="AF49" s="50">
        <v>14.4</v>
      </c>
      <c r="AG49" s="136">
        <v>24</v>
      </c>
      <c r="AH49" s="54">
        <f t="shared" si="2"/>
        <v>14.4</v>
      </c>
      <c r="AI49" s="55">
        <f t="shared" si="3"/>
        <v>13.4</v>
      </c>
      <c r="AK49" s="56"/>
    </row>
    <row r="50" spans="1:41" x14ac:dyDescent="0.25">
      <c r="A50" s="60" t="s">
        <v>30</v>
      </c>
      <c r="B50" s="48">
        <v>3</v>
      </c>
      <c r="C50" s="48">
        <v>3</v>
      </c>
      <c r="D50" s="48">
        <v>3</v>
      </c>
      <c r="E50" s="48">
        <v>3</v>
      </c>
      <c r="F50" s="48">
        <v>3</v>
      </c>
      <c r="G50" s="48">
        <v>3</v>
      </c>
      <c r="H50" s="48">
        <v>3</v>
      </c>
      <c r="I50" s="48">
        <v>3</v>
      </c>
      <c r="J50" s="48">
        <v>3</v>
      </c>
      <c r="K50" s="48">
        <v>3</v>
      </c>
      <c r="L50" s="48">
        <v>3</v>
      </c>
      <c r="M50" s="50">
        <v>3</v>
      </c>
      <c r="N50" s="50">
        <v>3</v>
      </c>
      <c r="O50" s="50">
        <v>3</v>
      </c>
      <c r="P50" s="50">
        <v>0</v>
      </c>
      <c r="Q50" s="50">
        <v>3</v>
      </c>
      <c r="R50" s="50">
        <v>3</v>
      </c>
      <c r="S50" s="50">
        <v>3</v>
      </c>
      <c r="T50" s="50">
        <v>3</v>
      </c>
      <c r="U50" s="50">
        <v>3</v>
      </c>
      <c r="V50" s="50">
        <v>3</v>
      </c>
      <c r="W50" s="50">
        <v>3</v>
      </c>
      <c r="X50" s="50">
        <v>3</v>
      </c>
      <c r="Y50" s="50">
        <v>3</v>
      </c>
      <c r="Z50" s="50">
        <v>3</v>
      </c>
      <c r="AA50" s="50">
        <v>3</v>
      </c>
      <c r="AB50" s="50">
        <v>3</v>
      </c>
      <c r="AC50" s="50">
        <v>3</v>
      </c>
      <c r="AD50" s="50">
        <v>3</v>
      </c>
      <c r="AE50" s="50">
        <v>3</v>
      </c>
      <c r="AF50" s="50">
        <v>3</v>
      </c>
      <c r="AG50" s="136">
        <v>15</v>
      </c>
      <c r="AH50" s="54">
        <f t="shared" si="2"/>
        <v>3</v>
      </c>
      <c r="AI50" s="55">
        <f t="shared" si="3"/>
        <v>0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8.8000000000000007</v>
      </c>
      <c r="C51" s="48">
        <v>8.8000000000000007</v>
      </c>
      <c r="D51" s="48">
        <v>8.6</v>
      </c>
      <c r="E51" s="48">
        <v>8.6999999999999993</v>
      </c>
      <c r="F51" s="48">
        <v>8.6999999999999993</v>
      </c>
      <c r="G51" s="48">
        <v>8.6999999999999993</v>
      </c>
      <c r="H51" s="48">
        <v>8.6999999999999993</v>
      </c>
      <c r="I51" s="48">
        <v>8.6999999999999993</v>
      </c>
      <c r="J51" s="48">
        <v>8.6999999999999993</v>
      </c>
      <c r="K51" s="48">
        <v>8.6999999999999993</v>
      </c>
      <c r="L51" s="48">
        <v>9.6</v>
      </c>
      <c r="M51" s="50">
        <v>9.6</v>
      </c>
      <c r="N51" s="50">
        <v>9.6</v>
      </c>
      <c r="O51" s="50">
        <v>9.6</v>
      </c>
      <c r="P51" s="50">
        <v>9.6</v>
      </c>
      <c r="Q51" s="50">
        <v>9.6</v>
      </c>
      <c r="R51" s="50">
        <v>8.8000000000000007</v>
      </c>
      <c r="S51" s="50">
        <v>8.8000000000000007</v>
      </c>
      <c r="T51" s="50">
        <v>8.8000000000000007</v>
      </c>
      <c r="U51" s="50">
        <v>8.8000000000000007</v>
      </c>
      <c r="V51" s="50">
        <v>8.8000000000000007</v>
      </c>
      <c r="W51" s="50">
        <v>8.8000000000000007</v>
      </c>
      <c r="X51" s="50">
        <v>8.8000000000000007</v>
      </c>
      <c r="Y51" s="50">
        <v>8.8000000000000007</v>
      </c>
      <c r="Z51" s="50">
        <v>8.8000000000000007</v>
      </c>
      <c r="AA51" s="50">
        <v>8.8000000000000007</v>
      </c>
      <c r="AB51" s="50">
        <v>8.8000000000000007</v>
      </c>
      <c r="AC51" s="50">
        <v>8.8000000000000007</v>
      </c>
      <c r="AD51" s="50">
        <v>8.8000000000000007</v>
      </c>
      <c r="AE51" s="50">
        <v>9.8000000000000007</v>
      </c>
      <c r="AF51" s="50">
        <v>9.8000000000000007</v>
      </c>
      <c r="AG51" s="136">
        <v>14.1</v>
      </c>
      <c r="AH51" s="54">
        <f t="shared" si="2"/>
        <v>9.8000000000000007</v>
      </c>
      <c r="AI51" s="55">
        <f t="shared" si="3"/>
        <v>8.6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14</v>
      </c>
      <c r="C52" s="48">
        <v>14</v>
      </c>
      <c r="D52" s="48">
        <v>14</v>
      </c>
      <c r="E52" s="48">
        <v>13.9</v>
      </c>
      <c r="F52" s="48">
        <v>13.9</v>
      </c>
      <c r="G52" s="48">
        <v>13.9</v>
      </c>
      <c r="H52" s="48">
        <v>13.9</v>
      </c>
      <c r="I52" s="48">
        <v>13.9</v>
      </c>
      <c r="J52" s="48">
        <v>13.9</v>
      </c>
      <c r="K52" s="48">
        <v>13.9</v>
      </c>
      <c r="L52" s="48">
        <v>7</v>
      </c>
      <c r="M52" s="50">
        <v>6.8</v>
      </c>
      <c r="N52" s="50">
        <v>6.8</v>
      </c>
      <c r="O52" s="50">
        <v>2.7</v>
      </c>
      <c r="P52" s="50">
        <v>6.8</v>
      </c>
      <c r="Q52" s="50">
        <v>6.8</v>
      </c>
      <c r="R52" s="50">
        <v>14.2</v>
      </c>
      <c r="S52" s="50">
        <v>14.2</v>
      </c>
      <c r="T52" s="50">
        <v>14.2</v>
      </c>
      <c r="U52" s="50">
        <v>14.2</v>
      </c>
      <c r="V52" s="50">
        <v>14.2</v>
      </c>
      <c r="W52" s="50">
        <v>14.2</v>
      </c>
      <c r="X52" s="50">
        <v>14.2</v>
      </c>
      <c r="Y52" s="50">
        <v>14.2</v>
      </c>
      <c r="Z52" s="50">
        <v>14.2</v>
      </c>
      <c r="AA52" s="50">
        <v>14.2</v>
      </c>
      <c r="AB52" s="50">
        <v>14.2</v>
      </c>
      <c r="AC52" s="50">
        <v>14.2</v>
      </c>
      <c r="AD52" s="50">
        <v>14</v>
      </c>
      <c r="AE52" s="50">
        <v>14</v>
      </c>
      <c r="AF52" s="50">
        <v>14</v>
      </c>
      <c r="AG52" s="136">
        <v>14</v>
      </c>
      <c r="AH52" s="54">
        <f t="shared" si="2"/>
        <v>14.2</v>
      </c>
      <c r="AI52" s="55">
        <f t="shared" si="3"/>
        <v>2.7</v>
      </c>
      <c r="AK52" s="56"/>
    </row>
    <row r="53" spans="1:41" x14ac:dyDescent="0.25">
      <c r="A53" s="60" t="s">
        <v>33</v>
      </c>
      <c r="B53" s="48">
        <v>6</v>
      </c>
      <c r="C53" s="48">
        <v>6</v>
      </c>
      <c r="D53" s="48">
        <v>6</v>
      </c>
      <c r="E53" s="48">
        <v>6</v>
      </c>
      <c r="F53" s="48">
        <v>6</v>
      </c>
      <c r="G53" s="48">
        <v>6</v>
      </c>
      <c r="H53" s="48">
        <v>6</v>
      </c>
      <c r="I53" s="48">
        <v>6</v>
      </c>
      <c r="J53" s="48">
        <v>6</v>
      </c>
      <c r="K53" s="48">
        <v>6</v>
      </c>
      <c r="L53" s="48">
        <v>6</v>
      </c>
      <c r="M53" s="50">
        <v>6</v>
      </c>
      <c r="N53" s="50">
        <v>6</v>
      </c>
      <c r="O53" s="50">
        <v>6</v>
      </c>
      <c r="P53" s="50">
        <v>6</v>
      </c>
      <c r="Q53" s="50">
        <v>6</v>
      </c>
      <c r="R53" s="50">
        <v>6</v>
      </c>
      <c r="S53" s="50">
        <v>6</v>
      </c>
      <c r="T53" s="50">
        <v>6</v>
      </c>
      <c r="U53" s="50">
        <v>6</v>
      </c>
      <c r="V53" s="50">
        <v>6</v>
      </c>
      <c r="W53" s="50">
        <v>6</v>
      </c>
      <c r="X53" s="50">
        <v>6</v>
      </c>
      <c r="Y53" s="50">
        <v>6</v>
      </c>
      <c r="Z53" s="50">
        <v>6</v>
      </c>
      <c r="AA53" s="50">
        <v>6</v>
      </c>
      <c r="AB53" s="50">
        <v>6</v>
      </c>
      <c r="AC53" s="50">
        <v>6</v>
      </c>
      <c r="AD53" s="50">
        <v>6</v>
      </c>
      <c r="AE53" s="50">
        <v>6</v>
      </c>
      <c r="AF53" s="50">
        <v>6</v>
      </c>
      <c r="AG53" s="136">
        <v>10.050000000000001</v>
      </c>
      <c r="AH53" s="54">
        <f t="shared" si="2"/>
        <v>6</v>
      </c>
      <c r="AI53" s="55">
        <f t="shared" si="3"/>
        <v>6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50">
        <v>6.2</v>
      </c>
      <c r="N54" s="50">
        <v>6.2</v>
      </c>
      <c r="O54" s="50">
        <v>6.2</v>
      </c>
      <c r="P54" s="50">
        <v>6.2</v>
      </c>
      <c r="Q54" s="50">
        <v>6.2</v>
      </c>
      <c r="R54" s="50">
        <v>6.2</v>
      </c>
      <c r="S54" s="50">
        <v>6.2</v>
      </c>
      <c r="T54" s="50">
        <v>6.2</v>
      </c>
      <c r="U54" s="50">
        <v>6.2</v>
      </c>
      <c r="V54" s="50">
        <v>6.2</v>
      </c>
      <c r="W54" s="50">
        <v>6.2</v>
      </c>
      <c r="X54" s="50">
        <v>6.2</v>
      </c>
      <c r="Y54" s="50">
        <v>6.2</v>
      </c>
      <c r="Z54" s="50">
        <v>6.2</v>
      </c>
      <c r="AA54" s="50">
        <v>6.2</v>
      </c>
      <c r="AB54" s="50">
        <v>6.2</v>
      </c>
      <c r="AC54" s="50">
        <v>6.2</v>
      </c>
      <c r="AD54" s="50">
        <v>6.2</v>
      </c>
      <c r="AE54" s="50">
        <v>6.2</v>
      </c>
      <c r="AF54" s="50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8">AG221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 t="shared" ref="B56" si="9">SUM(B43:B55)</f>
        <v>421.44</v>
      </c>
      <c r="C56" s="66">
        <f t="shared" ref="C56:AG56" si="10">SUM(C43:C55)</f>
        <v>413.64</v>
      </c>
      <c r="D56" s="66">
        <f t="shared" si="10"/>
        <v>418.94</v>
      </c>
      <c r="E56" s="66">
        <f t="shared" si="10"/>
        <v>386.84</v>
      </c>
      <c r="F56" s="66">
        <f t="shared" si="10"/>
        <v>386.84</v>
      </c>
      <c r="G56" s="66">
        <f t="shared" si="10"/>
        <v>373.74</v>
      </c>
      <c r="H56" s="66">
        <f t="shared" si="10"/>
        <v>373.74</v>
      </c>
      <c r="I56" s="66">
        <f t="shared" si="10"/>
        <v>373.74</v>
      </c>
      <c r="J56" s="66">
        <f t="shared" si="10"/>
        <v>393.14</v>
      </c>
      <c r="K56" s="66">
        <f t="shared" si="10"/>
        <v>407.14</v>
      </c>
      <c r="L56" s="66">
        <f t="shared" si="10"/>
        <v>417.84000000000009</v>
      </c>
      <c r="M56" s="66">
        <f t="shared" si="10"/>
        <v>422.94000000000005</v>
      </c>
      <c r="N56" s="66">
        <f t="shared" si="10"/>
        <v>422.94000000000005</v>
      </c>
      <c r="O56" s="66">
        <f t="shared" si="10"/>
        <v>408.94</v>
      </c>
      <c r="P56" s="66">
        <f t="shared" si="10"/>
        <v>419.14000000000004</v>
      </c>
      <c r="Q56" s="66">
        <f t="shared" si="10"/>
        <v>420.94000000000005</v>
      </c>
      <c r="R56" s="66">
        <f t="shared" si="10"/>
        <v>427.54</v>
      </c>
      <c r="S56" s="66">
        <f t="shared" si="10"/>
        <v>427.54</v>
      </c>
      <c r="T56" s="66">
        <f t="shared" si="10"/>
        <v>427.54</v>
      </c>
      <c r="U56" s="66">
        <f t="shared" si="10"/>
        <v>427.54</v>
      </c>
      <c r="V56" s="66">
        <f t="shared" si="10"/>
        <v>427.54</v>
      </c>
      <c r="W56" s="66">
        <f t="shared" si="10"/>
        <v>427.54</v>
      </c>
      <c r="X56" s="66">
        <f t="shared" si="10"/>
        <v>427.54</v>
      </c>
      <c r="Y56" s="66">
        <f t="shared" si="10"/>
        <v>427.54</v>
      </c>
      <c r="Z56" s="66">
        <f t="shared" si="10"/>
        <v>428.64</v>
      </c>
      <c r="AA56" s="66">
        <f t="shared" si="10"/>
        <v>428.64</v>
      </c>
      <c r="AB56" s="66">
        <f t="shared" si="10"/>
        <v>420.64</v>
      </c>
      <c r="AC56" s="66">
        <f t="shared" si="10"/>
        <v>406.84</v>
      </c>
      <c r="AD56" s="66">
        <f t="shared" si="10"/>
        <v>420.24</v>
      </c>
      <c r="AE56" s="66">
        <f t="shared" si="10"/>
        <v>421.04</v>
      </c>
      <c r="AF56" s="66">
        <f t="shared" si="10"/>
        <v>421.04</v>
      </c>
      <c r="AG56" s="143">
        <f t="shared" si="10"/>
        <v>489.91</v>
      </c>
      <c r="AH56" s="54">
        <f t="shared" si="2"/>
        <v>428.64</v>
      </c>
      <c r="AI56" s="55">
        <f t="shared" si="3"/>
        <v>373.74</v>
      </c>
      <c r="AK56" s="56"/>
    </row>
    <row r="57" spans="1:41" x14ac:dyDescent="0.25">
      <c r="A57" s="57" t="s">
        <v>37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50">
        <v>9.6</v>
      </c>
      <c r="P57" s="50">
        <v>9.6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0</v>
      </c>
      <c r="AB57" s="50">
        <v>0</v>
      </c>
      <c r="AC57" s="50">
        <v>0</v>
      </c>
      <c r="AD57" s="50">
        <v>0</v>
      </c>
      <c r="AE57" s="50">
        <v>0</v>
      </c>
      <c r="AF57" s="50">
        <v>0</v>
      </c>
      <c r="AG57" s="135">
        <v>60</v>
      </c>
      <c r="AH57" s="54">
        <f t="shared" si="2"/>
        <v>9.6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3.9</v>
      </c>
      <c r="P58" s="48">
        <v>3.9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136">
        <v>32</v>
      </c>
      <c r="AH58" s="54">
        <f t="shared" si="2"/>
        <v>3.9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70">
        <v>1.4</v>
      </c>
      <c r="P59" s="70">
        <v>1.4</v>
      </c>
      <c r="Q59" s="70">
        <v>0</v>
      </c>
      <c r="R59" s="70">
        <v>0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70">
        <v>0</v>
      </c>
      <c r="AB59" s="70">
        <v>0</v>
      </c>
      <c r="AC59" s="70">
        <v>0</v>
      </c>
      <c r="AD59" s="70">
        <v>0</v>
      </c>
      <c r="AE59" s="70">
        <v>0</v>
      </c>
      <c r="AF59" s="70">
        <v>0</v>
      </c>
      <c r="AG59" s="137">
        <v>14</v>
      </c>
      <c r="AH59" s="54">
        <f t="shared" si="2"/>
        <v>1.4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 t="shared" ref="B60" si="11">SUM(B57:B59)</f>
        <v>0</v>
      </c>
      <c r="C60" s="66">
        <f t="shared" ref="C60:AG60" si="12">SUM(C57:C59)</f>
        <v>0</v>
      </c>
      <c r="D60" s="66">
        <f t="shared" si="12"/>
        <v>0</v>
      </c>
      <c r="E60" s="66">
        <f t="shared" si="12"/>
        <v>0</v>
      </c>
      <c r="F60" s="66">
        <f t="shared" si="12"/>
        <v>0</v>
      </c>
      <c r="G60" s="66">
        <f t="shared" si="12"/>
        <v>0</v>
      </c>
      <c r="H60" s="66">
        <f t="shared" si="12"/>
        <v>0</v>
      </c>
      <c r="I60" s="66">
        <f t="shared" si="12"/>
        <v>0</v>
      </c>
      <c r="J60" s="66">
        <f t="shared" si="12"/>
        <v>0</v>
      </c>
      <c r="K60" s="66">
        <f t="shared" si="12"/>
        <v>0</v>
      </c>
      <c r="L60" s="66">
        <f t="shared" si="12"/>
        <v>0</v>
      </c>
      <c r="M60" s="66">
        <f t="shared" si="12"/>
        <v>0</v>
      </c>
      <c r="N60" s="66">
        <f t="shared" si="12"/>
        <v>0</v>
      </c>
      <c r="O60" s="66">
        <f t="shared" si="12"/>
        <v>14.9</v>
      </c>
      <c r="P60" s="66">
        <f t="shared" si="12"/>
        <v>14.9</v>
      </c>
      <c r="Q60" s="66">
        <f t="shared" si="12"/>
        <v>0</v>
      </c>
      <c r="R60" s="66">
        <f t="shared" si="12"/>
        <v>0</v>
      </c>
      <c r="S60" s="66">
        <f t="shared" si="12"/>
        <v>0</v>
      </c>
      <c r="T60" s="66">
        <f t="shared" si="12"/>
        <v>0</v>
      </c>
      <c r="U60" s="66">
        <f t="shared" si="12"/>
        <v>0</v>
      </c>
      <c r="V60" s="66">
        <f t="shared" si="12"/>
        <v>0</v>
      </c>
      <c r="W60" s="66">
        <f t="shared" si="12"/>
        <v>0</v>
      </c>
      <c r="X60" s="66">
        <f t="shared" si="12"/>
        <v>0</v>
      </c>
      <c r="Y60" s="66">
        <f t="shared" si="12"/>
        <v>0</v>
      </c>
      <c r="Z60" s="66">
        <f t="shared" si="12"/>
        <v>0</v>
      </c>
      <c r="AA60" s="66">
        <f t="shared" si="12"/>
        <v>0</v>
      </c>
      <c r="AB60" s="66">
        <f t="shared" si="12"/>
        <v>0</v>
      </c>
      <c r="AC60" s="66">
        <f t="shared" si="12"/>
        <v>0</v>
      </c>
      <c r="AD60" s="66">
        <f t="shared" si="12"/>
        <v>0</v>
      </c>
      <c r="AE60" s="66">
        <f t="shared" si="12"/>
        <v>0</v>
      </c>
      <c r="AF60" s="66">
        <f t="shared" si="12"/>
        <v>0</v>
      </c>
      <c r="AG60" s="143">
        <f t="shared" si="12"/>
        <v>106</v>
      </c>
      <c r="AH60" s="54">
        <f t="shared" si="2"/>
        <v>14.9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42.5</v>
      </c>
      <c r="C61" s="50">
        <v>40.799999999999997</v>
      </c>
      <c r="D61" s="50">
        <v>40</v>
      </c>
      <c r="E61" s="50">
        <v>13</v>
      </c>
      <c r="F61" s="50">
        <v>11.4</v>
      </c>
      <c r="G61" s="50">
        <v>8.8000000000000007</v>
      </c>
      <c r="H61" s="50">
        <v>7.2</v>
      </c>
      <c r="I61" s="50">
        <v>2.8</v>
      </c>
      <c r="J61" s="50">
        <v>42</v>
      </c>
      <c r="K61" s="50">
        <v>44.7</v>
      </c>
      <c r="L61" s="50">
        <v>47.6</v>
      </c>
      <c r="M61" s="50">
        <v>45.6</v>
      </c>
      <c r="N61" s="50">
        <v>51.5</v>
      </c>
      <c r="O61" s="50">
        <v>51.5</v>
      </c>
      <c r="P61" s="50">
        <v>48.9</v>
      </c>
      <c r="Q61" s="50">
        <v>21.4</v>
      </c>
      <c r="R61" s="50">
        <v>46.8</v>
      </c>
      <c r="S61" s="50">
        <v>41.4</v>
      </c>
      <c r="T61" s="50">
        <v>41.8</v>
      </c>
      <c r="U61" s="50">
        <v>41.8</v>
      </c>
      <c r="V61" s="50">
        <v>46.7</v>
      </c>
      <c r="W61" s="50">
        <v>46.7</v>
      </c>
      <c r="X61" s="50">
        <v>40</v>
      </c>
      <c r="Y61" s="50">
        <v>36</v>
      </c>
      <c r="Z61" s="50">
        <v>65</v>
      </c>
      <c r="AA61" s="50">
        <v>65</v>
      </c>
      <c r="AB61" s="50">
        <v>38.299999999999997</v>
      </c>
      <c r="AC61" s="50">
        <v>52.4</v>
      </c>
      <c r="AD61" s="50">
        <v>38.200000000000003</v>
      </c>
      <c r="AE61" s="50">
        <v>22</v>
      </c>
      <c r="AF61" s="50">
        <v>13.3</v>
      </c>
      <c r="AG61" s="135"/>
      <c r="AH61" s="54">
        <f t="shared" si="2"/>
        <v>65</v>
      </c>
      <c r="AI61" s="55">
        <f t="shared" si="3"/>
        <v>2.8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-399</v>
      </c>
      <c r="C63" s="48">
        <v>-409</v>
      </c>
      <c r="D63" s="48">
        <v>-402</v>
      </c>
      <c r="E63" s="48">
        <v>-393.6</v>
      </c>
      <c r="F63" s="48">
        <v>-401</v>
      </c>
      <c r="G63" s="48">
        <v>-388</v>
      </c>
      <c r="H63" s="48">
        <v>-378</v>
      </c>
      <c r="I63" s="48">
        <v>-392</v>
      </c>
      <c r="J63" s="48">
        <v>-395</v>
      </c>
      <c r="K63" s="48">
        <v>-375.5</v>
      </c>
      <c r="L63" s="48">
        <v>-315</v>
      </c>
      <c r="M63" s="48">
        <v>-290</v>
      </c>
      <c r="N63" s="48">
        <v>-287</v>
      </c>
      <c r="O63" s="48">
        <v>-274</v>
      </c>
      <c r="P63" s="48">
        <v>-274</v>
      </c>
      <c r="Q63" s="48">
        <v>-300</v>
      </c>
      <c r="R63" s="48">
        <v>-335</v>
      </c>
      <c r="S63" s="48">
        <v>-296</v>
      </c>
      <c r="T63" s="48">
        <v>-284</v>
      </c>
      <c r="U63" s="48">
        <v>-284</v>
      </c>
      <c r="V63" s="48">
        <v>-309</v>
      </c>
      <c r="W63" s="48">
        <v>-315</v>
      </c>
      <c r="X63" s="48">
        <v>-378</v>
      </c>
      <c r="Y63" s="48">
        <v>-392</v>
      </c>
      <c r="Z63" s="48">
        <v>-365</v>
      </c>
      <c r="AA63" s="48">
        <v>-361</v>
      </c>
      <c r="AB63" s="48">
        <v>-381</v>
      </c>
      <c r="AC63" s="48">
        <v>-396</v>
      </c>
      <c r="AD63" s="48">
        <v>-373</v>
      </c>
      <c r="AE63" s="48">
        <v>-394</v>
      </c>
      <c r="AF63" s="48">
        <v>-395</v>
      </c>
      <c r="AG63" s="140"/>
      <c r="AH63" s="54">
        <f t="shared" si="2"/>
        <v>-274</v>
      </c>
      <c r="AI63" s="55">
        <f t="shared" si="3"/>
        <v>-409</v>
      </c>
      <c r="AK63" s="56"/>
    </row>
    <row r="64" spans="1:41" x14ac:dyDescent="0.25">
      <c r="A64" s="60" t="s">
        <v>44</v>
      </c>
      <c r="B64" s="71">
        <v>0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27.6</v>
      </c>
      <c r="L64" s="71">
        <v>27</v>
      </c>
      <c r="M64" s="71">
        <v>30</v>
      </c>
      <c r="N64" s="71">
        <v>30</v>
      </c>
      <c r="O64" s="71">
        <v>28</v>
      </c>
      <c r="P64" s="71">
        <v>29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140"/>
      <c r="AH64" s="54">
        <f t="shared" si="2"/>
        <v>30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0</v>
      </c>
      <c r="C66" s="72">
        <v>0</v>
      </c>
      <c r="D66" s="72">
        <v>0</v>
      </c>
      <c r="E66" s="72">
        <v>0</v>
      </c>
      <c r="F66" s="72">
        <v>0</v>
      </c>
      <c r="G66" s="72">
        <v>0</v>
      </c>
      <c r="H66" s="72">
        <v>0</v>
      </c>
      <c r="I66" s="72">
        <v>0</v>
      </c>
      <c r="J66" s="72">
        <v>0</v>
      </c>
      <c r="K66" s="72">
        <v>0</v>
      </c>
      <c r="L66" s="72">
        <v>0</v>
      </c>
      <c r="M66" s="72">
        <v>5</v>
      </c>
      <c r="N66" s="72">
        <v>5</v>
      </c>
      <c r="O66" s="72">
        <v>5</v>
      </c>
      <c r="P66" s="72">
        <v>5</v>
      </c>
      <c r="Q66" s="72">
        <v>5</v>
      </c>
      <c r="R66" s="72">
        <v>5</v>
      </c>
      <c r="S66" s="72">
        <v>5</v>
      </c>
      <c r="T66" s="72">
        <v>5</v>
      </c>
      <c r="U66" s="72">
        <v>5</v>
      </c>
      <c r="V66" s="72">
        <v>5</v>
      </c>
      <c r="W66" s="72">
        <v>5</v>
      </c>
      <c r="X66" s="72">
        <v>5</v>
      </c>
      <c r="Y66" s="72">
        <v>5</v>
      </c>
      <c r="Z66" s="72">
        <v>5</v>
      </c>
      <c r="AA66" s="72">
        <v>5</v>
      </c>
      <c r="AB66" s="72">
        <v>5</v>
      </c>
      <c r="AC66" s="72">
        <v>5</v>
      </c>
      <c r="AD66" s="72">
        <v>5</v>
      </c>
      <c r="AE66" s="72">
        <v>5</v>
      </c>
      <c r="AF66" s="72">
        <v>5</v>
      </c>
      <c r="AG66" s="140"/>
      <c r="AH66" s="54">
        <f t="shared" si="2"/>
        <v>5</v>
      </c>
      <c r="AI66" s="55">
        <f t="shared" si="3"/>
        <v>0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2">
        <v>0</v>
      </c>
      <c r="C68" s="71">
        <v>0</v>
      </c>
      <c r="D68" s="71">
        <v>0</v>
      </c>
      <c r="E68" s="71">
        <v>0</v>
      </c>
      <c r="F68" s="71">
        <v>0</v>
      </c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2">
        <v>0</v>
      </c>
      <c r="C69" s="71">
        <v>0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2">
        <v>0</v>
      </c>
      <c r="C70" s="74">
        <v>0</v>
      </c>
      <c r="D70" s="74">
        <v>0</v>
      </c>
      <c r="E70" s="74">
        <v>0</v>
      </c>
      <c r="F70" s="74">
        <v>0</v>
      </c>
      <c r="G70" s="74">
        <v>0</v>
      </c>
      <c r="H70" s="74">
        <v>0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2">
        <v>0</v>
      </c>
      <c r="C71" s="74">
        <v>0</v>
      </c>
      <c r="D71" s="74">
        <v>0</v>
      </c>
      <c r="E71" s="74">
        <v>0</v>
      </c>
      <c r="F71" s="74">
        <v>0</v>
      </c>
      <c r="G71" s="74">
        <v>0</v>
      </c>
      <c r="H71" s="74">
        <v>0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 t="shared" ref="B72" si="13">SUMIF(B61:B71,"&gt;0")</f>
        <v>42.5</v>
      </c>
      <c r="C72" s="66">
        <f t="shared" ref="C72:L72" si="14">SUMIF(C61:C71,"&gt;0")</f>
        <v>40.799999999999997</v>
      </c>
      <c r="D72" s="66">
        <f t="shared" si="14"/>
        <v>40</v>
      </c>
      <c r="E72" s="66">
        <f t="shared" si="14"/>
        <v>13</v>
      </c>
      <c r="F72" s="66">
        <f>SUMIF(F61:F71,"&gt;0")</f>
        <v>11.4</v>
      </c>
      <c r="G72" s="66">
        <f t="shared" si="14"/>
        <v>8.8000000000000007</v>
      </c>
      <c r="H72" s="66">
        <f t="shared" si="14"/>
        <v>7.2</v>
      </c>
      <c r="I72" s="66">
        <f t="shared" si="14"/>
        <v>2.8</v>
      </c>
      <c r="J72" s="66">
        <f t="shared" si="14"/>
        <v>42</v>
      </c>
      <c r="K72" s="66">
        <f t="shared" si="14"/>
        <v>72.300000000000011</v>
      </c>
      <c r="L72" s="66">
        <f t="shared" si="14"/>
        <v>74.599999999999994</v>
      </c>
      <c r="M72" s="66">
        <f>SUMIF(M61:M71,"&gt;0")</f>
        <v>80.599999999999994</v>
      </c>
      <c r="N72" s="66">
        <f t="shared" ref="N72:AF72" si="15">SUMIF(N61:N71,"&gt;0")</f>
        <v>86.5</v>
      </c>
      <c r="O72" s="66">
        <f t="shared" si="15"/>
        <v>84.5</v>
      </c>
      <c r="P72" s="66">
        <f t="shared" si="15"/>
        <v>82.9</v>
      </c>
      <c r="Q72" s="66">
        <f t="shared" si="15"/>
        <v>26.4</v>
      </c>
      <c r="R72" s="66">
        <f t="shared" si="15"/>
        <v>51.8</v>
      </c>
      <c r="S72" s="66">
        <f t="shared" si="15"/>
        <v>46.4</v>
      </c>
      <c r="T72" s="66">
        <f t="shared" si="15"/>
        <v>46.8</v>
      </c>
      <c r="U72" s="66">
        <f t="shared" si="15"/>
        <v>46.8</v>
      </c>
      <c r="V72" s="66">
        <f t="shared" si="15"/>
        <v>51.7</v>
      </c>
      <c r="W72" s="66">
        <f t="shared" si="15"/>
        <v>51.7</v>
      </c>
      <c r="X72" s="66">
        <f t="shared" si="15"/>
        <v>45</v>
      </c>
      <c r="Y72" s="66">
        <f t="shared" si="15"/>
        <v>41</v>
      </c>
      <c r="Z72" s="66">
        <f t="shared" si="15"/>
        <v>70</v>
      </c>
      <c r="AA72" s="66">
        <f t="shared" si="15"/>
        <v>70</v>
      </c>
      <c r="AB72" s="66">
        <f t="shared" si="15"/>
        <v>43.3</v>
      </c>
      <c r="AC72" s="66">
        <f t="shared" si="15"/>
        <v>57.4</v>
      </c>
      <c r="AD72" s="66">
        <f t="shared" si="15"/>
        <v>43.2</v>
      </c>
      <c r="AE72" s="66">
        <f t="shared" si="15"/>
        <v>27</v>
      </c>
      <c r="AF72" s="66">
        <f t="shared" si="15"/>
        <v>18.3</v>
      </c>
      <c r="AG72" s="138">
        <f>SUM(AG61:AG71)</f>
        <v>0</v>
      </c>
      <c r="AH72" s="54">
        <f t="shared" si="2"/>
        <v>86.5</v>
      </c>
      <c r="AI72" s="55">
        <f t="shared" si="3"/>
        <v>2.8</v>
      </c>
      <c r="AK72" s="56"/>
    </row>
    <row r="73" spans="1:88" x14ac:dyDescent="0.25">
      <c r="A73" s="57" t="s">
        <v>53</v>
      </c>
      <c r="B73" s="71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>
        <v>0</v>
      </c>
      <c r="C75" s="74">
        <v>0</v>
      </c>
      <c r="D75" s="74">
        <v>0</v>
      </c>
      <c r="E75" s="74">
        <v>0</v>
      </c>
      <c r="F75" s="74">
        <v>0</v>
      </c>
      <c r="G75" s="74">
        <v>0</v>
      </c>
      <c r="H75" s="74">
        <v>0</v>
      </c>
      <c r="I75" s="74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 t="shared" ref="B77" si="16">B38+B42+B60+B56+B72+B76</f>
        <v>1782.84</v>
      </c>
      <c r="C77" s="75">
        <f t="shared" ref="C77:AF77" si="17">C38+C42+C60+C56+C72+C76</f>
        <v>1774.34</v>
      </c>
      <c r="D77" s="75">
        <f t="shared" si="17"/>
        <v>1779.44</v>
      </c>
      <c r="E77" s="75">
        <f t="shared" si="17"/>
        <v>1679.34</v>
      </c>
      <c r="F77" s="75">
        <f t="shared" si="17"/>
        <v>1677.74</v>
      </c>
      <c r="G77" s="75">
        <f t="shared" si="17"/>
        <v>1656.74</v>
      </c>
      <c r="H77" s="75">
        <f t="shared" si="17"/>
        <v>1655.14</v>
      </c>
      <c r="I77" s="75">
        <f t="shared" si="17"/>
        <v>1650.74</v>
      </c>
      <c r="J77" s="75">
        <f t="shared" si="17"/>
        <v>1719.04</v>
      </c>
      <c r="K77" s="75">
        <f t="shared" si="17"/>
        <v>1717.24</v>
      </c>
      <c r="L77" s="75">
        <f t="shared" si="17"/>
        <v>1723.74</v>
      </c>
      <c r="M77" s="75">
        <f t="shared" si="17"/>
        <v>1737.84</v>
      </c>
      <c r="N77" s="75">
        <f t="shared" si="17"/>
        <v>1735.74</v>
      </c>
      <c r="O77" s="75">
        <f t="shared" si="17"/>
        <v>1718.2400000000002</v>
      </c>
      <c r="P77" s="75">
        <f t="shared" si="17"/>
        <v>1767.4400000000003</v>
      </c>
      <c r="Q77" s="75">
        <f t="shared" si="17"/>
        <v>1786.8400000000001</v>
      </c>
      <c r="R77" s="75">
        <f t="shared" si="17"/>
        <v>1804.84</v>
      </c>
      <c r="S77" s="75">
        <f t="shared" si="17"/>
        <v>1766.44</v>
      </c>
      <c r="T77" s="75">
        <f t="shared" si="17"/>
        <v>1766.84</v>
      </c>
      <c r="U77" s="75">
        <f t="shared" si="17"/>
        <v>1793.84</v>
      </c>
      <c r="V77" s="75">
        <f t="shared" si="17"/>
        <v>1798.74</v>
      </c>
      <c r="W77" s="75">
        <f t="shared" si="17"/>
        <v>1798.74</v>
      </c>
      <c r="X77" s="75">
        <f t="shared" si="17"/>
        <v>1792.04</v>
      </c>
      <c r="Y77" s="75">
        <f t="shared" si="17"/>
        <v>1788.04</v>
      </c>
      <c r="Z77" s="75">
        <f t="shared" si="17"/>
        <v>1818.1399999999999</v>
      </c>
      <c r="AA77" s="75">
        <f t="shared" si="17"/>
        <v>1877.1399999999999</v>
      </c>
      <c r="AB77" s="75">
        <f t="shared" si="17"/>
        <v>1862.5399999999997</v>
      </c>
      <c r="AC77" s="75">
        <f t="shared" si="17"/>
        <v>1822.84</v>
      </c>
      <c r="AD77" s="75">
        <f t="shared" si="17"/>
        <v>1817.04</v>
      </c>
      <c r="AE77" s="75">
        <f t="shared" si="17"/>
        <v>1787.6399999999999</v>
      </c>
      <c r="AF77" s="75">
        <f t="shared" si="17"/>
        <v>1782.9399999999998</v>
      </c>
      <c r="AG77" s="143">
        <f>AG38+AG42+AG60+AG56+AG72+AG76</f>
        <v>1855.1900000000003</v>
      </c>
      <c r="AH77" s="54">
        <f t="shared" si="2"/>
        <v>1877.1399999999999</v>
      </c>
      <c r="AI77" s="55">
        <f t="shared" si="3"/>
        <v>1650.74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0</v>
      </c>
      <c r="AI78" s="55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 t="shared" ref="B79" si="18">B77+B78</f>
        <v>1782.84</v>
      </c>
      <c r="C79" s="75">
        <f t="shared" ref="C79:AF79" si="19">C77+C78</f>
        <v>1774.34</v>
      </c>
      <c r="D79" s="75">
        <f t="shared" si="19"/>
        <v>1779.44</v>
      </c>
      <c r="E79" s="75">
        <f t="shared" si="19"/>
        <v>1679.34</v>
      </c>
      <c r="F79" s="75">
        <f t="shared" si="19"/>
        <v>1677.74</v>
      </c>
      <c r="G79" s="75">
        <f t="shared" si="19"/>
        <v>1656.74</v>
      </c>
      <c r="H79" s="75">
        <f t="shared" si="19"/>
        <v>1655.14</v>
      </c>
      <c r="I79" s="75">
        <f t="shared" si="19"/>
        <v>1650.74</v>
      </c>
      <c r="J79" s="75">
        <f t="shared" si="19"/>
        <v>1719.04</v>
      </c>
      <c r="K79" s="75">
        <f t="shared" si="19"/>
        <v>1717.24</v>
      </c>
      <c r="L79" s="75">
        <f t="shared" si="19"/>
        <v>1723.74</v>
      </c>
      <c r="M79" s="75">
        <f t="shared" si="19"/>
        <v>1737.84</v>
      </c>
      <c r="N79" s="75">
        <f t="shared" si="19"/>
        <v>1735.74</v>
      </c>
      <c r="O79" s="75">
        <f t="shared" si="19"/>
        <v>1718.2400000000002</v>
      </c>
      <c r="P79" s="75">
        <f t="shared" si="19"/>
        <v>1767.4400000000003</v>
      </c>
      <c r="Q79" s="75">
        <f t="shared" si="19"/>
        <v>1786.8400000000001</v>
      </c>
      <c r="R79" s="75">
        <f t="shared" si="19"/>
        <v>1804.84</v>
      </c>
      <c r="S79" s="75">
        <f t="shared" si="19"/>
        <v>1766.44</v>
      </c>
      <c r="T79" s="75">
        <f t="shared" si="19"/>
        <v>1766.84</v>
      </c>
      <c r="U79" s="75">
        <f t="shared" si="19"/>
        <v>1793.84</v>
      </c>
      <c r="V79" s="75">
        <f t="shared" si="19"/>
        <v>1798.74</v>
      </c>
      <c r="W79" s="75">
        <f t="shared" si="19"/>
        <v>1798.74</v>
      </c>
      <c r="X79" s="75">
        <f t="shared" si="19"/>
        <v>1792.04</v>
      </c>
      <c r="Y79" s="75">
        <f t="shared" si="19"/>
        <v>1788.04</v>
      </c>
      <c r="Z79" s="75">
        <f t="shared" si="19"/>
        <v>1818.1399999999999</v>
      </c>
      <c r="AA79" s="75">
        <f t="shared" si="19"/>
        <v>1877.1399999999999</v>
      </c>
      <c r="AB79" s="75">
        <f t="shared" si="19"/>
        <v>1862.5399999999997</v>
      </c>
      <c r="AC79" s="75">
        <f t="shared" si="19"/>
        <v>1822.84</v>
      </c>
      <c r="AD79" s="75">
        <f t="shared" si="19"/>
        <v>1817.04</v>
      </c>
      <c r="AE79" s="75">
        <f t="shared" si="19"/>
        <v>1787.6399999999999</v>
      </c>
      <c r="AF79" s="75">
        <f t="shared" si="19"/>
        <v>1782.9399999999998</v>
      </c>
      <c r="AG79" s="138">
        <f>AG76+AG72+AG60+AG56+AG38+AG78</f>
        <v>1317.0900000000001</v>
      </c>
      <c r="AH79" s="54">
        <f t="shared" si="2"/>
        <v>1877.1399999999999</v>
      </c>
      <c r="AI79" s="55">
        <f t="shared" si="3"/>
        <v>1650.74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" si="20">B79-B87</f>
        <v>1383.84</v>
      </c>
      <c r="C80" s="75">
        <f t="shared" ref="C80:AF80" si="21">C79-C87</f>
        <v>1365.34</v>
      </c>
      <c r="D80" s="75">
        <f t="shared" si="21"/>
        <v>1377.44</v>
      </c>
      <c r="E80" s="75">
        <f t="shared" si="21"/>
        <v>1285.7399999999998</v>
      </c>
      <c r="F80" s="75">
        <f t="shared" si="21"/>
        <v>1276.74</v>
      </c>
      <c r="G80" s="75">
        <f t="shared" si="21"/>
        <v>1268.74</v>
      </c>
      <c r="H80" s="75">
        <f t="shared" si="21"/>
        <v>1277.1400000000001</v>
      </c>
      <c r="I80" s="75">
        <f t="shared" si="21"/>
        <v>1258.74</v>
      </c>
      <c r="J80" s="75">
        <f t="shared" si="21"/>
        <v>1324.04</v>
      </c>
      <c r="K80" s="75">
        <f t="shared" si="21"/>
        <v>1341.74</v>
      </c>
      <c r="L80" s="75">
        <f t="shared" si="21"/>
        <v>1408.74</v>
      </c>
      <c r="M80" s="75">
        <f t="shared" si="21"/>
        <v>1447.84</v>
      </c>
      <c r="N80" s="75">
        <f t="shared" si="21"/>
        <v>1448.74</v>
      </c>
      <c r="O80" s="75">
        <f t="shared" si="21"/>
        <v>1444.2400000000002</v>
      </c>
      <c r="P80" s="75">
        <f t="shared" si="21"/>
        <v>1493.4400000000003</v>
      </c>
      <c r="Q80" s="75">
        <f t="shared" si="21"/>
        <v>1486.8400000000001</v>
      </c>
      <c r="R80" s="75">
        <f t="shared" si="21"/>
        <v>1469.84</v>
      </c>
      <c r="S80" s="75">
        <f t="shared" si="21"/>
        <v>1470.44</v>
      </c>
      <c r="T80" s="75">
        <f t="shared" si="21"/>
        <v>1482.84</v>
      </c>
      <c r="U80" s="75">
        <f t="shared" si="21"/>
        <v>1509.84</v>
      </c>
      <c r="V80" s="75">
        <f t="shared" si="21"/>
        <v>1489.74</v>
      </c>
      <c r="W80" s="75">
        <f t="shared" si="21"/>
        <v>1483.74</v>
      </c>
      <c r="X80" s="75">
        <f t="shared" si="21"/>
        <v>1414.04</v>
      </c>
      <c r="Y80" s="75">
        <f t="shared" si="21"/>
        <v>1396.04</v>
      </c>
      <c r="Z80" s="75">
        <f t="shared" si="21"/>
        <v>1453.1399999999999</v>
      </c>
      <c r="AA80" s="75">
        <f t="shared" si="21"/>
        <v>1516.1399999999999</v>
      </c>
      <c r="AB80" s="75">
        <f t="shared" si="21"/>
        <v>1481.5399999999997</v>
      </c>
      <c r="AC80" s="75">
        <f t="shared" si="21"/>
        <v>1426.84</v>
      </c>
      <c r="AD80" s="75">
        <f t="shared" si="21"/>
        <v>1444.04</v>
      </c>
      <c r="AE80" s="75">
        <f t="shared" si="21"/>
        <v>1393.6399999999999</v>
      </c>
      <c r="AF80" s="75">
        <f t="shared" si="21"/>
        <v>1387.9399999999998</v>
      </c>
      <c r="AG80" s="138"/>
      <c r="AH80" s="54">
        <f t="shared" ref="AH80:AH97" si="22">MAX(B80:AF80)</f>
        <v>1516.1399999999999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 t="shared" ref="B81" si="23">IF(B64&lt;0,B64*-1,0)</f>
        <v>0</v>
      </c>
      <c r="C81" s="71">
        <f t="shared" ref="C81:AF81" si="24">IF(C64&lt;0,C64*-1,0)</f>
        <v>0</v>
      </c>
      <c r="D81" s="71">
        <f t="shared" si="24"/>
        <v>0</v>
      </c>
      <c r="E81" s="71">
        <f t="shared" si="24"/>
        <v>0</v>
      </c>
      <c r="F81" s="71">
        <f t="shared" si="24"/>
        <v>0</v>
      </c>
      <c r="G81" s="71">
        <f t="shared" si="24"/>
        <v>0</v>
      </c>
      <c r="H81" s="71">
        <f t="shared" si="24"/>
        <v>0</v>
      </c>
      <c r="I81" s="71">
        <f t="shared" si="24"/>
        <v>0</v>
      </c>
      <c r="J81" s="71">
        <f t="shared" si="24"/>
        <v>0</v>
      </c>
      <c r="K81" s="71">
        <f t="shared" si="24"/>
        <v>0</v>
      </c>
      <c r="L81" s="71">
        <f t="shared" si="24"/>
        <v>0</v>
      </c>
      <c r="M81" s="71">
        <f t="shared" si="24"/>
        <v>0</v>
      </c>
      <c r="N81" s="71">
        <f t="shared" si="24"/>
        <v>0</v>
      </c>
      <c r="O81" s="71">
        <f t="shared" si="24"/>
        <v>0</v>
      </c>
      <c r="P81" s="71">
        <f t="shared" si="24"/>
        <v>0</v>
      </c>
      <c r="Q81" s="71">
        <f t="shared" si="24"/>
        <v>0</v>
      </c>
      <c r="R81" s="71">
        <f t="shared" si="24"/>
        <v>0</v>
      </c>
      <c r="S81" s="71">
        <f t="shared" si="24"/>
        <v>0</v>
      </c>
      <c r="T81" s="71">
        <f t="shared" si="24"/>
        <v>0</v>
      </c>
      <c r="U81" s="71">
        <f t="shared" si="24"/>
        <v>0</v>
      </c>
      <c r="V81" s="71">
        <f t="shared" si="24"/>
        <v>0</v>
      </c>
      <c r="W81" s="71">
        <f t="shared" si="24"/>
        <v>0</v>
      </c>
      <c r="X81" s="71">
        <f t="shared" si="24"/>
        <v>0</v>
      </c>
      <c r="Y81" s="71">
        <f t="shared" si="24"/>
        <v>0</v>
      </c>
      <c r="Z81" s="71">
        <f t="shared" si="24"/>
        <v>0</v>
      </c>
      <c r="AA81" s="71">
        <f t="shared" si="24"/>
        <v>0</v>
      </c>
      <c r="AB81" s="71">
        <f t="shared" si="24"/>
        <v>0</v>
      </c>
      <c r="AC81" s="71">
        <f t="shared" si="24"/>
        <v>0</v>
      </c>
      <c r="AD81" s="71">
        <f t="shared" si="24"/>
        <v>0</v>
      </c>
      <c r="AE81" s="71">
        <f t="shared" si="24"/>
        <v>0</v>
      </c>
      <c r="AF81" s="71">
        <f t="shared" si="24"/>
        <v>0</v>
      </c>
      <c r="AG81" s="135"/>
      <c r="AH81" s="54">
        <f t="shared" si="22"/>
        <v>0</v>
      </c>
      <c r="AI81" s="55">
        <f t="shared" ref="AI81:AI97" si="25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 t="shared" ref="B82" si="26">IF(B62&lt;0,B62*-1,0)</f>
        <v>0</v>
      </c>
      <c r="C82" s="71">
        <f t="shared" ref="C82:AF82" si="27">IF(C62&lt;0,C62*-1,0)</f>
        <v>0</v>
      </c>
      <c r="D82" s="71">
        <f t="shared" si="27"/>
        <v>0</v>
      </c>
      <c r="E82" s="71">
        <f t="shared" si="27"/>
        <v>0</v>
      </c>
      <c r="F82" s="71">
        <f t="shared" si="27"/>
        <v>0</v>
      </c>
      <c r="G82" s="71">
        <f t="shared" si="27"/>
        <v>0</v>
      </c>
      <c r="H82" s="71">
        <f t="shared" si="27"/>
        <v>0</v>
      </c>
      <c r="I82" s="71">
        <f t="shared" si="27"/>
        <v>0</v>
      </c>
      <c r="J82" s="71">
        <f t="shared" si="27"/>
        <v>0</v>
      </c>
      <c r="K82" s="71">
        <f t="shared" si="27"/>
        <v>0</v>
      </c>
      <c r="L82" s="71">
        <f t="shared" si="27"/>
        <v>0</v>
      </c>
      <c r="M82" s="71">
        <f t="shared" si="27"/>
        <v>0</v>
      </c>
      <c r="N82" s="71">
        <f t="shared" si="27"/>
        <v>0</v>
      </c>
      <c r="O82" s="71">
        <f t="shared" si="27"/>
        <v>0</v>
      </c>
      <c r="P82" s="71">
        <f t="shared" si="27"/>
        <v>0</v>
      </c>
      <c r="Q82" s="71">
        <f t="shared" si="27"/>
        <v>0</v>
      </c>
      <c r="R82" s="71">
        <f t="shared" si="27"/>
        <v>0</v>
      </c>
      <c r="S82" s="71">
        <f t="shared" si="27"/>
        <v>0</v>
      </c>
      <c r="T82" s="71">
        <f t="shared" si="27"/>
        <v>0</v>
      </c>
      <c r="U82" s="71">
        <f t="shared" si="27"/>
        <v>0</v>
      </c>
      <c r="V82" s="71">
        <f t="shared" si="27"/>
        <v>0</v>
      </c>
      <c r="W82" s="71">
        <f t="shared" si="27"/>
        <v>0</v>
      </c>
      <c r="X82" s="71">
        <f t="shared" si="27"/>
        <v>0</v>
      </c>
      <c r="Y82" s="71">
        <f t="shared" si="27"/>
        <v>0</v>
      </c>
      <c r="Z82" s="71">
        <f t="shared" si="27"/>
        <v>0</v>
      </c>
      <c r="AA82" s="71">
        <f t="shared" si="27"/>
        <v>0</v>
      </c>
      <c r="AB82" s="71">
        <f t="shared" si="27"/>
        <v>0</v>
      </c>
      <c r="AC82" s="71">
        <f t="shared" si="27"/>
        <v>0</v>
      </c>
      <c r="AD82" s="71">
        <f t="shared" si="27"/>
        <v>0</v>
      </c>
      <c r="AE82" s="71">
        <f t="shared" si="27"/>
        <v>0</v>
      </c>
      <c r="AF82" s="71">
        <f t="shared" si="27"/>
        <v>0</v>
      </c>
      <c r="AG82" s="136"/>
      <c r="AH82" s="54">
        <f t="shared" si="22"/>
        <v>0</v>
      </c>
      <c r="AI82" s="55">
        <f t="shared" si="25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 t="shared" ref="B83" si="28">IF(B65&lt;0,B65*-1,0)</f>
        <v>0</v>
      </c>
      <c r="C83" s="71">
        <f t="shared" ref="C83:AF83" si="29">IF(C65&lt;0,C65*-1,0)</f>
        <v>0</v>
      </c>
      <c r="D83" s="71">
        <f t="shared" si="29"/>
        <v>0</v>
      </c>
      <c r="E83" s="71">
        <f t="shared" si="29"/>
        <v>0</v>
      </c>
      <c r="F83" s="71">
        <f t="shared" si="29"/>
        <v>0</v>
      </c>
      <c r="G83" s="71">
        <f t="shared" si="29"/>
        <v>0</v>
      </c>
      <c r="H83" s="71">
        <f t="shared" si="29"/>
        <v>0</v>
      </c>
      <c r="I83" s="71">
        <f t="shared" si="29"/>
        <v>0</v>
      </c>
      <c r="J83" s="71">
        <f t="shared" si="29"/>
        <v>0</v>
      </c>
      <c r="K83" s="71">
        <f t="shared" si="29"/>
        <v>0</v>
      </c>
      <c r="L83" s="71">
        <f t="shared" si="29"/>
        <v>0</v>
      </c>
      <c r="M83" s="71">
        <f t="shared" si="29"/>
        <v>0</v>
      </c>
      <c r="N83" s="71">
        <f t="shared" si="29"/>
        <v>0</v>
      </c>
      <c r="O83" s="71">
        <f t="shared" si="29"/>
        <v>0</v>
      </c>
      <c r="P83" s="71">
        <f t="shared" si="29"/>
        <v>0</v>
      </c>
      <c r="Q83" s="71">
        <f t="shared" si="29"/>
        <v>0</v>
      </c>
      <c r="R83" s="71">
        <f t="shared" si="29"/>
        <v>0</v>
      </c>
      <c r="S83" s="71">
        <f t="shared" si="29"/>
        <v>0</v>
      </c>
      <c r="T83" s="71">
        <f t="shared" si="29"/>
        <v>0</v>
      </c>
      <c r="U83" s="71">
        <f t="shared" si="29"/>
        <v>0</v>
      </c>
      <c r="V83" s="71">
        <f t="shared" si="29"/>
        <v>0</v>
      </c>
      <c r="W83" s="71">
        <f t="shared" si="29"/>
        <v>0</v>
      </c>
      <c r="X83" s="71">
        <f t="shared" si="29"/>
        <v>0</v>
      </c>
      <c r="Y83" s="71">
        <f t="shared" si="29"/>
        <v>0</v>
      </c>
      <c r="Z83" s="71">
        <f t="shared" si="29"/>
        <v>0</v>
      </c>
      <c r="AA83" s="71">
        <f t="shared" si="29"/>
        <v>0</v>
      </c>
      <c r="AB83" s="71">
        <f t="shared" si="29"/>
        <v>0</v>
      </c>
      <c r="AC83" s="71">
        <f t="shared" si="29"/>
        <v>0</v>
      </c>
      <c r="AD83" s="71">
        <f t="shared" si="29"/>
        <v>0</v>
      </c>
      <c r="AE83" s="71">
        <f t="shared" si="29"/>
        <v>0</v>
      </c>
      <c r="AF83" s="71">
        <f t="shared" si="29"/>
        <v>0</v>
      </c>
      <c r="AG83" s="144"/>
      <c r="AH83" s="54">
        <f t="shared" si="22"/>
        <v>0</v>
      </c>
      <c r="AI83" s="55">
        <f t="shared" si="25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 t="shared" ref="B84" si="30">IF(B63&lt;0,B63*-1,0)</f>
        <v>399</v>
      </c>
      <c r="C84" s="71">
        <f t="shared" ref="C84:AF84" si="31">IF(C63&lt;0,C63*-1,0)</f>
        <v>409</v>
      </c>
      <c r="D84" s="71">
        <f t="shared" si="31"/>
        <v>402</v>
      </c>
      <c r="E84" s="71">
        <f t="shared" si="31"/>
        <v>393.6</v>
      </c>
      <c r="F84" s="71">
        <f t="shared" si="31"/>
        <v>401</v>
      </c>
      <c r="G84" s="71">
        <f t="shared" si="31"/>
        <v>388</v>
      </c>
      <c r="H84" s="71">
        <f t="shared" si="31"/>
        <v>378</v>
      </c>
      <c r="I84" s="71">
        <f t="shared" si="31"/>
        <v>392</v>
      </c>
      <c r="J84" s="71">
        <f t="shared" si="31"/>
        <v>395</v>
      </c>
      <c r="K84" s="71">
        <f t="shared" si="31"/>
        <v>375.5</v>
      </c>
      <c r="L84" s="71">
        <f t="shared" si="31"/>
        <v>315</v>
      </c>
      <c r="M84" s="71">
        <f t="shared" si="31"/>
        <v>290</v>
      </c>
      <c r="N84" s="71">
        <f t="shared" si="31"/>
        <v>287</v>
      </c>
      <c r="O84" s="71">
        <f t="shared" si="31"/>
        <v>274</v>
      </c>
      <c r="P84" s="71">
        <f t="shared" si="31"/>
        <v>274</v>
      </c>
      <c r="Q84" s="71">
        <f t="shared" si="31"/>
        <v>300</v>
      </c>
      <c r="R84" s="71">
        <f t="shared" si="31"/>
        <v>335</v>
      </c>
      <c r="S84" s="71">
        <f t="shared" si="31"/>
        <v>296</v>
      </c>
      <c r="T84" s="71">
        <f t="shared" si="31"/>
        <v>284</v>
      </c>
      <c r="U84" s="71">
        <f t="shared" si="31"/>
        <v>284</v>
      </c>
      <c r="V84" s="71">
        <f t="shared" si="31"/>
        <v>309</v>
      </c>
      <c r="W84" s="71">
        <f t="shared" si="31"/>
        <v>315</v>
      </c>
      <c r="X84" s="71">
        <f t="shared" si="31"/>
        <v>378</v>
      </c>
      <c r="Y84" s="71">
        <f t="shared" si="31"/>
        <v>392</v>
      </c>
      <c r="Z84" s="71">
        <f t="shared" si="31"/>
        <v>365</v>
      </c>
      <c r="AA84" s="71">
        <f t="shared" si="31"/>
        <v>361</v>
      </c>
      <c r="AB84" s="71">
        <f t="shared" si="31"/>
        <v>381</v>
      </c>
      <c r="AC84" s="71">
        <f t="shared" si="31"/>
        <v>396</v>
      </c>
      <c r="AD84" s="71">
        <f t="shared" si="31"/>
        <v>373</v>
      </c>
      <c r="AE84" s="71">
        <f t="shared" si="31"/>
        <v>394</v>
      </c>
      <c r="AF84" s="71">
        <f t="shared" si="31"/>
        <v>395</v>
      </c>
      <c r="AG84" s="144"/>
      <c r="AH84" s="54">
        <f t="shared" si="22"/>
        <v>409</v>
      </c>
      <c r="AI84" s="55">
        <f t="shared" si="25"/>
        <v>274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 t="shared" ref="B85" si="32">IF(B61&lt;0,B61*-1,0)</f>
        <v>0</v>
      </c>
      <c r="C85" s="71">
        <f t="shared" ref="C85:AF85" si="33">IF(C61&lt;0,C61*-1,0)</f>
        <v>0</v>
      </c>
      <c r="D85" s="71">
        <f t="shared" si="33"/>
        <v>0</v>
      </c>
      <c r="E85" s="71">
        <f t="shared" si="33"/>
        <v>0</v>
      </c>
      <c r="F85" s="71">
        <f t="shared" si="33"/>
        <v>0</v>
      </c>
      <c r="G85" s="71">
        <f t="shared" si="33"/>
        <v>0</v>
      </c>
      <c r="H85" s="71">
        <f t="shared" si="33"/>
        <v>0</v>
      </c>
      <c r="I85" s="71">
        <f t="shared" si="33"/>
        <v>0</v>
      </c>
      <c r="J85" s="71">
        <f t="shared" si="33"/>
        <v>0</v>
      </c>
      <c r="K85" s="71">
        <f t="shared" si="33"/>
        <v>0</v>
      </c>
      <c r="L85" s="71">
        <f t="shared" si="33"/>
        <v>0</v>
      </c>
      <c r="M85" s="71">
        <f t="shared" si="33"/>
        <v>0</v>
      </c>
      <c r="N85" s="71">
        <f t="shared" si="33"/>
        <v>0</v>
      </c>
      <c r="O85" s="71">
        <f t="shared" si="33"/>
        <v>0</v>
      </c>
      <c r="P85" s="71">
        <f t="shared" si="33"/>
        <v>0</v>
      </c>
      <c r="Q85" s="71">
        <f t="shared" si="33"/>
        <v>0</v>
      </c>
      <c r="R85" s="71">
        <f t="shared" si="33"/>
        <v>0</v>
      </c>
      <c r="S85" s="71">
        <f t="shared" si="33"/>
        <v>0</v>
      </c>
      <c r="T85" s="71">
        <f t="shared" si="33"/>
        <v>0</v>
      </c>
      <c r="U85" s="71">
        <f t="shared" si="33"/>
        <v>0</v>
      </c>
      <c r="V85" s="71">
        <f t="shared" si="33"/>
        <v>0</v>
      </c>
      <c r="W85" s="71">
        <f t="shared" si="33"/>
        <v>0</v>
      </c>
      <c r="X85" s="71">
        <f t="shared" si="33"/>
        <v>0</v>
      </c>
      <c r="Y85" s="71">
        <f t="shared" si="33"/>
        <v>0</v>
      </c>
      <c r="Z85" s="71">
        <f t="shared" si="33"/>
        <v>0</v>
      </c>
      <c r="AA85" s="71">
        <f t="shared" si="33"/>
        <v>0</v>
      </c>
      <c r="AB85" s="71">
        <f t="shared" si="33"/>
        <v>0</v>
      </c>
      <c r="AC85" s="71">
        <f t="shared" si="33"/>
        <v>0</v>
      </c>
      <c r="AD85" s="71">
        <f t="shared" si="33"/>
        <v>0</v>
      </c>
      <c r="AE85" s="71">
        <f t="shared" si="33"/>
        <v>0</v>
      </c>
      <c r="AF85" s="71">
        <f t="shared" si="33"/>
        <v>0</v>
      </c>
      <c r="AG85" s="144"/>
      <c r="AH85" s="54">
        <f t="shared" si="22"/>
        <v>0</v>
      </c>
      <c r="AI85" s="55">
        <f t="shared" si="25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/>
      <c r="AD86" s="74"/>
      <c r="AE86" s="74"/>
      <c r="AF86" s="74"/>
      <c r="AG86" s="141"/>
      <c r="AH86" s="54">
        <f t="shared" si="22"/>
        <v>0</v>
      </c>
      <c r="AI86" s="55">
        <f t="shared" si="25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 t="shared" ref="B87" si="34">SUM(B81:B86)</f>
        <v>399</v>
      </c>
      <c r="C87" s="66">
        <f t="shared" ref="C87:AF87" si="35">SUM(C81:C86)</f>
        <v>409</v>
      </c>
      <c r="D87" s="66">
        <f t="shared" si="35"/>
        <v>402</v>
      </c>
      <c r="E87" s="66">
        <f t="shared" si="35"/>
        <v>393.6</v>
      </c>
      <c r="F87" s="66">
        <f t="shared" si="35"/>
        <v>401</v>
      </c>
      <c r="G87" s="66">
        <f t="shared" si="35"/>
        <v>388</v>
      </c>
      <c r="H87" s="66">
        <f t="shared" si="35"/>
        <v>378</v>
      </c>
      <c r="I87" s="66">
        <f t="shared" si="35"/>
        <v>392</v>
      </c>
      <c r="J87" s="66">
        <f t="shared" si="35"/>
        <v>395</v>
      </c>
      <c r="K87" s="66">
        <f t="shared" si="35"/>
        <v>375.5</v>
      </c>
      <c r="L87" s="66">
        <f t="shared" si="35"/>
        <v>315</v>
      </c>
      <c r="M87" s="66">
        <f t="shared" si="35"/>
        <v>290</v>
      </c>
      <c r="N87" s="66">
        <f t="shared" si="35"/>
        <v>287</v>
      </c>
      <c r="O87" s="66">
        <f t="shared" si="35"/>
        <v>274</v>
      </c>
      <c r="P87" s="66">
        <f t="shared" si="35"/>
        <v>274</v>
      </c>
      <c r="Q87" s="66">
        <f t="shared" si="35"/>
        <v>300</v>
      </c>
      <c r="R87" s="66">
        <f t="shared" si="35"/>
        <v>335</v>
      </c>
      <c r="S87" s="66">
        <f t="shared" si="35"/>
        <v>296</v>
      </c>
      <c r="T87" s="66">
        <f t="shared" si="35"/>
        <v>284</v>
      </c>
      <c r="U87" s="66">
        <f t="shared" si="35"/>
        <v>284</v>
      </c>
      <c r="V87" s="66">
        <f t="shared" si="35"/>
        <v>309</v>
      </c>
      <c r="W87" s="66">
        <f t="shared" si="35"/>
        <v>315</v>
      </c>
      <c r="X87" s="66">
        <f t="shared" si="35"/>
        <v>378</v>
      </c>
      <c r="Y87" s="66">
        <f t="shared" si="35"/>
        <v>392</v>
      </c>
      <c r="Z87" s="66">
        <f t="shared" si="35"/>
        <v>365</v>
      </c>
      <c r="AA87" s="66">
        <f t="shared" si="35"/>
        <v>361</v>
      </c>
      <c r="AB87" s="66">
        <f t="shared" si="35"/>
        <v>381</v>
      </c>
      <c r="AC87" s="66">
        <f t="shared" si="35"/>
        <v>396</v>
      </c>
      <c r="AD87" s="66">
        <f t="shared" si="35"/>
        <v>373</v>
      </c>
      <c r="AE87" s="66">
        <f t="shared" si="35"/>
        <v>394</v>
      </c>
      <c r="AF87" s="66">
        <f t="shared" si="35"/>
        <v>395</v>
      </c>
      <c r="AG87" s="138"/>
      <c r="AH87" s="54">
        <f t="shared" si="22"/>
        <v>409</v>
      </c>
      <c r="AI87" s="55">
        <f t="shared" si="25"/>
        <v>274</v>
      </c>
      <c r="AK87" s="56"/>
    </row>
    <row r="88" spans="1:88" s="1" customFormat="1" ht="15.75" thickBot="1" x14ac:dyDescent="0.3">
      <c r="A88" s="65" t="s">
        <v>64</v>
      </c>
      <c r="B88" s="66">
        <f t="shared" ref="B88" si="36">B72-B87</f>
        <v>-356.5</v>
      </c>
      <c r="C88" s="66">
        <f t="shared" ref="C88:AF88" si="37">C72-C87</f>
        <v>-368.2</v>
      </c>
      <c r="D88" s="66">
        <f t="shared" si="37"/>
        <v>-362</v>
      </c>
      <c r="E88" s="66">
        <f t="shared" si="37"/>
        <v>-380.6</v>
      </c>
      <c r="F88" s="66">
        <f t="shared" si="37"/>
        <v>-389.6</v>
      </c>
      <c r="G88" s="66">
        <f t="shared" si="37"/>
        <v>-379.2</v>
      </c>
      <c r="H88" s="66">
        <f t="shared" si="37"/>
        <v>-370.8</v>
      </c>
      <c r="I88" s="66">
        <f t="shared" si="37"/>
        <v>-389.2</v>
      </c>
      <c r="J88" s="66">
        <f t="shared" si="37"/>
        <v>-353</v>
      </c>
      <c r="K88" s="66">
        <f t="shared" si="37"/>
        <v>-303.2</v>
      </c>
      <c r="L88" s="66">
        <f t="shared" si="37"/>
        <v>-240.4</v>
      </c>
      <c r="M88" s="66">
        <f t="shared" si="37"/>
        <v>-209.4</v>
      </c>
      <c r="N88" s="66">
        <f t="shared" si="37"/>
        <v>-200.5</v>
      </c>
      <c r="O88" s="66">
        <f t="shared" si="37"/>
        <v>-189.5</v>
      </c>
      <c r="P88" s="66">
        <f t="shared" si="37"/>
        <v>-191.1</v>
      </c>
      <c r="Q88" s="66">
        <f t="shared" si="37"/>
        <v>-273.60000000000002</v>
      </c>
      <c r="R88" s="66">
        <f t="shared" si="37"/>
        <v>-283.2</v>
      </c>
      <c r="S88" s="66">
        <f t="shared" si="37"/>
        <v>-249.6</v>
      </c>
      <c r="T88" s="66">
        <f t="shared" si="37"/>
        <v>-237.2</v>
      </c>
      <c r="U88" s="66">
        <f t="shared" si="37"/>
        <v>-237.2</v>
      </c>
      <c r="V88" s="66">
        <f t="shared" si="37"/>
        <v>-257.3</v>
      </c>
      <c r="W88" s="66">
        <f t="shared" si="37"/>
        <v>-263.3</v>
      </c>
      <c r="X88" s="66">
        <f t="shared" si="37"/>
        <v>-333</v>
      </c>
      <c r="Y88" s="66">
        <f t="shared" si="37"/>
        <v>-351</v>
      </c>
      <c r="Z88" s="66">
        <f t="shared" si="37"/>
        <v>-295</v>
      </c>
      <c r="AA88" s="66">
        <f t="shared" si="37"/>
        <v>-291</v>
      </c>
      <c r="AB88" s="66">
        <f t="shared" si="37"/>
        <v>-337.7</v>
      </c>
      <c r="AC88" s="66">
        <f t="shared" si="37"/>
        <v>-338.6</v>
      </c>
      <c r="AD88" s="66">
        <f t="shared" si="37"/>
        <v>-329.8</v>
      </c>
      <c r="AE88" s="66">
        <f t="shared" si="37"/>
        <v>-367</v>
      </c>
      <c r="AF88" s="66">
        <f t="shared" si="37"/>
        <v>-376.7</v>
      </c>
      <c r="AG88" s="138"/>
      <c r="AH88" s="54">
        <f t="shared" si="22"/>
        <v>-189.5</v>
      </c>
      <c r="AI88" s="55">
        <f t="shared" si="25"/>
        <v>-389.6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50.02</v>
      </c>
      <c r="C89" s="80">
        <v>50.03</v>
      </c>
      <c r="D89" s="80">
        <v>49.96</v>
      </c>
      <c r="E89" s="80">
        <v>50.030999999999999</v>
      </c>
      <c r="F89" s="80">
        <v>50.03</v>
      </c>
      <c r="G89" s="80">
        <v>49.99</v>
      </c>
      <c r="H89" s="80">
        <v>50.005000000000003</v>
      </c>
      <c r="I89" s="80">
        <v>50.003999999999998</v>
      </c>
      <c r="J89" s="80">
        <v>50.002000000000002</v>
      </c>
      <c r="K89" s="80">
        <v>49.98</v>
      </c>
      <c r="L89" s="80">
        <v>49.981999999999999</v>
      </c>
      <c r="M89" s="80">
        <v>50.023000000000003</v>
      </c>
      <c r="N89" s="80">
        <v>50.052</v>
      </c>
      <c r="O89" s="80">
        <v>49.97</v>
      </c>
      <c r="P89" s="80">
        <v>49.97</v>
      </c>
      <c r="Q89" s="80">
        <v>50.012</v>
      </c>
      <c r="R89" s="80">
        <v>49.933</v>
      </c>
      <c r="S89" s="80">
        <v>49.981000000000002</v>
      </c>
      <c r="T89" s="80">
        <v>50.01</v>
      </c>
      <c r="U89" s="80">
        <v>49.98</v>
      </c>
      <c r="V89" s="80">
        <v>50.05</v>
      </c>
      <c r="W89" s="80">
        <v>50.06</v>
      </c>
      <c r="X89" s="80">
        <v>50.01</v>
      </c>
      <c r="Y89" s="80">
        <v>49.85</v>
      </c>
      <c r="Z89" s="80">
        <v>50.03</v>
      </c>
      <c r="AA89" s="80">
        <v>50.03</v>
      </c>
      <c r="AB89" s="80">
        <v>50.067999999999998</v>
      </c>
      <c r="AC89" s="80">
        <v>50.042000000000002</v>
      </c>
      <c r="AD89" s="80">
        <v>50.045999999999999</v>
      </c>
      <c r="AE89" s="80">
        <v>50.05</v>
      </c>
      <c r="AF89" s="80">
        <v>49.94</v>
      </c>
      <c r="AG89" s="145"/>
      <c r="AH89" s="54">
        <f t="shared" si="22"/>
        <v>50.067999999999998</v>
      </c>
      <c r="AI89" s="55">
        <f t="shared" si="25"/>
        <v>49.85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125.4</v>
      </c>
      <c r="C90" s="48">
        <v>124.6</v>
      </c>
      <c r="D90" s="48">
        <v>124.4</v>
      </c>
      <c r="E90" s="48">
        <v>125.2</v>
      </c>
      <c r="F90" s="48">
        <v>124.8</v>
      </c>
      <c r="G90" s="48">
        <v>124.8</v>
      </c>
      <c r="H90" s="48">
        <v>124.8</v>
      </c>
      <c r="I90" s="48">
        <v>124.8</v>
      </c>
      <c r="J90" s="48">
        <v>124.8</v>
      </c>
      <c r="K90" s="48">
        <v>124.8</v>
      </c>
      <c r="L90" s="48">
        <v>123.6</v>
      </c>
      <c r="M90" s="48">
        <v>125</v>
      </c>
      <c r="N90" s="48">
        <v>124.6</v>
      </c>
      <c r="O90" s="48">
        <v>123.3</v>
      </c>
      <c r="P90" s="48">
        <v>123.3</v>
      </c>
      <c r="Q90" s="48">
        <v>120.9</v>
      </c>
      <c r="R90" s="48">
        <v>121.6</v>
      </c>
      <c r="S90" s="48">
        <v>121.8</v>
      </c>
      <c r="T90" s="48">
        <v>121.5</v>
      </c>
      <c r="U90" s="48">
        <v>122.5</v>
      </c>
      <c r="V90" s="48">
        <v>123.8</v>
      </c>
      <c r="W90" s="48">
        <v>123.8</v>
      </c>
      <c r="X90" s="48">
        <v>123.8</v>
      </c>
      <c r="Y90" s="48">
        <v>123.8</v>
      </c>
      <c r="Z90" s="48">
        <v>125.8</v>
      </c>
      <c r="AA90" s="48">
        <v>125.8</v>
      </c>
      <c r="AB90" s="48">
        <v>122.6</v>
      </c>
      <c r="AC90" s="48">
        <v>122.2</v>
      </c>
      <c r="AD90" s="48">
        <v>123.5</v>
      </c>
      <c r="AE90" s="48">
        <v>123.2</v>
      </c>
      <c r="AF90" s="48">
        <v>122.1</v>
      </c>
      <c r="AG90" s="146"/>
      <c r="AH90" s="54">
        <f t="shared" si="22"/>
        <v>125.8</v>
      </c>
      <c r="AI90" s="55">
        <f t="shared" si="25"/>
        <v>120.9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129.69999999999999</v>
      </c>
      <c r="C91" s="48">
        <v>129.5</v>
      </c>
      <c r="D91" s="48">
        <v>129.30000000000001</v>
      </c>
      <c r="E91" s="48">
        <v>130</v>
      </c>
      <c r="F91" s="48">
        <v>129.80000000000001</v>
      </c>
      <c r="G91" s="48">
        <v>129.80000000000001</v>
      </c>
      <c r="H91" s="48">
        <v>129.80000000000001</v>
      </c>
      <c r="I91" s="48">
        <v>129.80000000000001</v>
      </c>
      <c r="J91" s="48">
        <v>129.80000000000001</v>
      </c>
      <c r="K91" s="48">
        <v>129.80000000000001</v>
      </c>
      <c r="L91" s="48">
        <v>127</v>
      </c>
      <c r="M91" s="48">
        <v>128.69999999999999</v>
      </c>
      <c r="N91" s="48">
        <v>128.1</v>
      </c>
      <c r="O91" s="48">
        <v>126.8</v>
      </c>
      <c r="P91" s="48">
        <v>126.8</v>
      </c>
      <c r="Q91" s="48">
        <v>126</v>
      </c>
      <c r="R91" s="48">
        <v>125.8</v>
      </c>
      <c r="S91" s="48">
        <v>126.1</v>
      </c>
      <c r="T91" s="48">
        <v>125.9</v>
      </c>
      <c r="U91" s="48">
        <v>126.4</v>
      </c>
      <c r="V91" s="48">
        <v>127.6</v>
      </c>
      <c r="W91" s="48">
        <v>127.6</v>
      </c>
      <c r="X91" s="48">
        <v>127.6</v>
      </c>
      <c r="Y91" s="48">
        <v>127.6</v>
      </c>
      <c r="Z91" s="48">
        <v>129.9</v>
      </c>
      <c r="AA91" s="48">
        <v>129.9</v>
      </c>
      <c r="AB91" s="48">
        <v>126.9</v>
      </c>
      <c r="AC91" s="48">
        <v>126.5</v>
      </c>
      <c r="AD91" s="48">
        <v>127.6</v>
      </c>
      <c r="AE91" s="48">
        <v>127.7</v>
      </c>
      <c r="AF91" s="48">
        <v>127.2</v>
      </c>
      <c r="AG91" s="146"/>
      <c r="AH91" s="54">
        <f t="shared" si="22"/>
        <v>130</v>
      </c>
      <c r="AI91" s="55">
        <f t="shared" si="25"/>
        <v>125.8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128.5</v>
      </c>
      <c r="C92" s="48">
        <v>131.1</v>
      </c>
      <c r="D92" s="48">
        <v>132.5</v>
      </c>
      <c r="E92" s="48">
        <v>130.4</v>
      </c>
      <c r="F92" s="48">
        <v>131.30000000000001</v>
      </c>
      <c r="G92" s="48">
        <v>131.30000000000001</v>
      </c>
      <c r="H92" s="48">
        <v>131.30000000000001</v>
      </c>
      <c r="I92" s="48">
        <v>131.30000000000001</v>
      </c>
      <c r="J92" s="48">
        <v>131.30000000000001</v>
      </c>
      <c r="K92" s="48">
        <v>131.30000000000001</v>
      </c>
      <c r="L92" s="48">
        <v>128.30000000000001</v>
      </c>
      <c r="M92" s="48">
        <v>127.7</v>
      </c>
      <c r="N92" s="48">
        <v>128</v>
      </c>
      <c r="O92" s="48">
        <v>129.4</v>
      </c>
      <c r="P92" s="48">
        <v>129.4</v>
      </c>
      <c r="Q92" s="48">
        <v>126.1</v>
      </c>
      <c r="R92" s="48">
        <v>129</v>
      </c>
      <c r="S92" s="48">
        <v>128</v>
      </c>
      <c r="T92" s="48">
        <v>129.5</v>
      </c>
      <c r="U92" s="48">
        <v>125.6</v>
      </c>
      <c r="V92" s="48">
        <v>130.9</v>
      </c>
      <c r="W92" s="48">
        <v>130.9</v>
      </c>
      <c r="X92" s="48">
        <v>130.9</v>
      </c>
      <c r="Y92" s="48">
        <v>131.69999999999999</v>
      </c>
      <c r="Z92" s="48">
        <v>129.4</v>
      </c>
      <c r="AA92" s="48">
        <v>129.4</v>
      </c>
      <c r="AB92" s="48">
        <v>129.5</v>
      </c>
      <c r="AC92" s="48">
        <v>128.19999999999999</v>
      </c>
      <c r="AD92" s="48">
        <v>127.7</v>
      </c>
      <c r="AE92" s="48">
        <v>126.8</v>
      </c>
      <c r="AF92" s="48">
        <v>127</v>
      </c>
      <c r="AG92" s="146"/>
      <c r="AH92" s="54">
        <f t="shared" si="22"/>
        <v>132.5</v>
      </c>
      <c r="AI92" s="55">
        <f t="shared" si="25"/>
        <v>125.6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146"/>
      <c r="AH93" s="54">
        <f t="shared" si="22"/>
        <v>0</v>
      </c>
      <c r="AI93" s="55">
        <f t="shared" si="25"/>
        <v>0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134.6</v>
      </c>
      <c r="C94" s="82">
        <v>131.9</v>
      </c>
      <c r="D94" s="82">
        <v>132.9</v>
      </c>
      <c r="E94" s="82">
        <v>132.80000000000001</v>
      </c>
      <c r="F94" s="82">
        <v>132.9</v>
      </c>
      <c r="G94" s="82">
        <v>132.9</v>
      </c>
      <c r="H94" s="82">
        <v>132.9</v>
      </c>
      <c r="I94" s="82">
        <v>132.9</v>
      </c>
      <c r="J94" s="82">
        <v>132.9</v>
      </c>
      <c r="K94" s="82">
        <v>132.9</v>
      </c>
      <c r="L94" s="82">
        <v>130.80000000000001</v>
      </c>
      <c r="M94" s="82">
        <v>134.19999999999999</v>
      </c>
      <c r="N94" s="82">
        <v>133.4</v>
      </c>
      <c r="O94" s="82">
        <v>133.30000000000001</v>
      </c>
      <c r="P94" s="82">
        <v>133.30000000000001</v>
      </c>
      <c r="Q94" s="82">
        <v>137</v>
      </c>
      <c r="R94" s="82">
        <v>130.4</v>
      </c>
      <c r="S94" s="82">
        <v>131.6</v>
      </c>
      <c r="T94" s="82">
        <v>133.69999999999999</v>
      </c>
      <c r="U94" s="82">
        <v>131.9</v>
      </c>
      <c r="V94" s="82">
        <v>134.1</v>
      </c>
      <c r="W94" s="82">
        <v>134.1</v>
      </c>
      <c r="X94" s="82">
        <v>134.1</v>
      </c>
      <c r="Y94" s="82">
        <v>133.6</v>
      </c>
      <c r="Z94" s="82">
        <v>134.30000000000001</v>
      </c>
      <c r="AA94" s="82">
        <v>134.30000000000001</v>
      </c>
      <c r="AB94" s="82">
        <v>130.4</v>
      </c>
      <c r="AC94" s="82">
        <v>131</v>
      </c>
      <c r="AD94" s="82">
        <v>131.19999999999999</v>
      </c>
      <c r="AE94" s="82">
        <v>132.80000000000001</v>
      </c>
      <c r="AF94" s="82">
        <v>132</v>
      </c>
      <c r="AG94" s="147"/>
      <c r="AH94" s="54">
        <f t="shared" si="22"/>
        <v>137</v>
      </c>
      <c r="AI94" s="55">
        <f t="shared" si="25"/>
        <v>130.4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130.80000000000001</v>
      </c>
      <c r="C95" s="48">
        <v>129.1</v>
      </c>
      <c r="D95" s="48">
        <v>127.7</v>
      </c>
      <c r="E95" s="48">
        <v>130.30000000000001</v>
      </c>
      <c r="F95" s="48">
        <v>128.9</v>
      </c>
      <c r="G95" s="48">
        <v>128.9</v>
      </c>
      <c r="H95" s="48">
        <v>128.9</v>
      </c>
      <c r="I95" s="48">
        <v>128.9</v>
      </c>
      <c r="J95" s="48">
        <v>128.9</v>
      </c>
      <c r="K95" s="48">
        <v>128.9</v>
      </c>
      <c r="L95" s="48">
        <v>128.69999999999999</v>
      </c>
      <c r="M95" s="48">
        <v>127.6</v>
      </c>
      <c r="N95" s="48">
        <v>129.30000000000001</v>
      </c>
      <c r="O95" s="48">
        <v>133.1</v>
      </c>
      <c r="P95" s="48">
        <v>133.1</v>
      </c>
      <c r="Q95" s="48">
        <v>133.6</v>
      </c>
      <c r="R95" s="48">
        <v>124.9</v>
      </c>
      <c r="S95" s="48">
        <v>129.80000000000001</v>
      </c>
      <c r="T95" s="48">
        <v>128.69999999999999</v>
      </c>
      <c r="U95" s="48">
        <v>128.80000000000001</v>
      </c>
      <c r="V95" s="48">
        <v>134</v>
      </c>
      <c r="W95" s="48">
        <v>134</v>
      </c>
      <c r="X95" s="48">
        <v>134</v>
      </c>
      <c r="Y95" s="48">
        <v>134</v>
      </c>
      <c r="Z95" s="48">
        <v>126.6</v>
      </c>
      <c r="AA95" s="48">
        <v>126.6</v>
      </c>
      <c r="AB95" s="48">
        <v>129</v>
      </c>
      <c r="AC95" s="48">
        <v>125.8</v>
      </c>
      <c r="AD95" s="48">
        <v>126</v>
      </c>
      <c r="AE95" s="48">
        <v>130</v>
      </c>
      <c r="AF95" s="48">
        <v>124.8</v>
      </c>
      <c r="AG95" s="146"/>
      <c r="AH95" s="54">
        <f t="shared" si="22"/>
        <v>134</v>
      </c>
      <c r="AI95" s="55">
        <f t="shared" si="25"/>
        <v>124.8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65.7</v>
      </c>
      <c r="C96" s="83">
        <v>65.3</v>
      </c>
      <c r="D96" s="83">
        <v>65.2</v>
      </c>
      <c r="E96" s="83">
        <v>65.599999999999994</v>
      </c>
      <c r="F96" s="83">
        <v>65.5</v>
      </c>
      <c r="G96" s="83">
        <v>65.5</v>
      </c>
      <c r="H96" s="83">
        <v>65.5</v>
      </c>
      <c r="I96" s="83">
        <v>65.5</v>
      </c>
      <c r="J96" s="83">
        <v>65.5</v>
      </c>
      <c r="K96" s="83">
        <v>65.5</v>
      </c>
      <c r="L96" s="83">
        <v>63.8</v>
      </c>
      <c r="M96" s="83">
        <v>65</v>
      </c>
      <c r="N96" s="83">
        <v>64.5</v>
      </c>
      <c r="O96" s="83">
        <v>64</v>
      </c>
      <c r="P96" s="83">
        <v>64</v>
      </c>
      <c r="Q96" s="83">
        <v>63</v>
      </c>
      <c r="R96" s="83">
        <v>63.3</v>
      </c>
      <c r="S96" s="83">
        <v>63.5</v>
      </c>
      <c r="T96" s="83">
        <v>63.2</v>
      </c>
      <c r="U96" s="83">
        <v>63.1</v>
      </c>
      <c r="V96" s="83">
        <v>64.3</v>
      </c>
      <c r="W96" s="83">
        <v>64.3</v>
      </c>
      <c r="X96" s="83">
        <v>64.3</v>
      </c>
      <c r="Y96" s="83">
        <v>63.8</v>
      </c>
      <c r="Z96" s="83">
        <v>65.8</v>
      </c>
      <c r="AA96" s="83">
        <v>65.8</v>
      </c>
      <c r="AB96" s="83">
        <v>64</v>
      </c>
      <c r="AC96" s="83">
        <v>64</v>
      </c>
      <c r="AD96" s="83">
        <v>64.5</v>
      </c>
      <c r="AE96" s="83">
        <v>64.5</v>
      </c>
      <c r="AF96" s="83">
        <v>64.3</v>
      </c>
      <c r="AG96" s="148"/>
      <c r="AH96" s="54">
        <f t="shared" si="22"/>
        <v>65.8</v>
      </c>
      <c r="AI96" s="55">
        <f t="shared" si="25"/>
        <v>63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 t="s">
        <v>281</v>
      </c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22"/>
        <v>0</v>
      </c>
      <c r="AI97" s="55">
        <f t="shared" si="25"/>
        <v>0</v>
      </c>
    </row>
    <row r="98" spans="1:37" ht="15.75" thickBot="1" x14ac:dyDescent="0.3">
      <c r="A98" s="85" t="s">
        <v>73</v>
      </c>
      <c r="B98" s="86">
        <f t="shared" ref="B98" si="38">SUM(B15,B18,B21:B22,B46,B48:B49,B51,B53,B99:B102,B124,B130,B136,B145,B147,B159,B166,B169:B170,B177,B179,B181,B185:B187,B189:B191,B196,B202:B203,B205:B207,B215,B220)</f>
        <v>43.999999999999993</v>
      </c>
      <c r="C98" s="86">
        <f t="shared" ref="C98:AF98" si="39">SUM(C15,C18,C21:C22,C46,C48:C49,C51,C53,C99:C102,C124,C130,C136,C145,C147,C159,C166,C169:C170,C177,C179,C181,C185:C187,C189:C191,C196,C202:C203,C205:C207,C215,C220)</f>
        <v>52.04000000000002</v>
      </c>
      <c r="D98" s="86">
        <f t="shared" si="39"/>
        <v>33.64</v>
      </c>
      <c r="E98" s="86">
        <f t="shared" si="39"/>
        <v>13.339999999999996</v>
      </c>
      <c r="F98" s="86">
        <f t="shared" si="39"/>
        <v>8.2399999999999878</v>
      </c>
      <c r="G98" s="86">
        <f t="shared" si="39"/>
        <v>35.54</v>
      </c>
      <c r="H98" s="86">
        <f t="shared" si="39"/>
        <v>35.54</v>
      </c>
      <c r="I98" s="86">
        <f t="shared" si="39"/>
        <v>35.54</v>
      </c>
      <c r="J98" s="86">
        <f t="shared" si="39"/>
        <v>48.940000000000005</v>
      </c>
      <c r="K98" s="86">
        <f t="shared" si="39"/>
        <v>48.940000000000005</v>
      </c>
      <c r="L98" s="86">
        <f t="shared" si="39"/>
        <v>161.03999999999996</v>
      </c>
      <c r="M98" s="86">
        <f t="shared" si="39"/>
        <v>158.63999999999999</v>
      </c>
      <c r="N98" s="86">
        <f t="shared" si="39"/>
        <v>164.74</v>
      </c>
      <c r="O98" s="86">
        <f t="shared" si="39"/>
        <v>179.14</v>
      </c>
      <c r="P98" s="86">
        <f t="shared" si="39"/>
        <v>180.14</v>
      </c>
      <c r="Q98" s="86">
        <f t="shared" si="39"/>
        <v>202.60000000000002</v>
      </c>
      <c r="R98" s="86">
        <f t="shared" si="39"/>
        <v>184.40000000000003</v>
      </c>
      <c r="S98" s="86">
        <f t="shared" si="39"/>
        <v>153.60000000000002</v>
      </c>
      <c r="T98" s="86">
        <f t="shared" si="39"/>
        <v>177.6</v>
      </c>
      <c r="U98" s="86">
        <f t="shared" si="39"/>
        <v>181.70000000000002</v>
      </c>
      <c r="V98" s="86">
        <f t="shared" si="39"/>
        <v>184.8</v>
      </c>
      <c r="W98" s="86">
        <f t="shared" si="39"/>
        <v>185.8</v>
      </c>
      <c r="X98" s="86">
        <f t="shared" si="39"/>
        <v>189.4</v>
      </c>
      <c r="Y98" s="86">
        <f t="shared" si="39"/>
        <v>195.3</v>
      </c>
      <c r="Z98" s="86">
        <f t="shared" si="39"/>
        <v>189.79999999999998</v>
      </c>
      <c r="AA98" s="86">
        <f t="shared" si="39"/>
        <v>220.79999999999998</v>
      </c>
      <c r="AB98" s="86">
        <f t="shared" si="39"/>
        <v>196.4</v>
      </c>
      <c r="AC98" s="86">
        <f t="shared" si="39"/>
        <v>155.40000000000003</v>
      </c>
      <c r="AD98" s="86">
        <f t="shared" si="39"/>
        <v>130.80000000000001</v>
      </c>
      <c r="AE98" s="86">
        <f t="shared" si="39"/>
        <v>75.900000000000006</v>
      </c>
      <c r="AF98" s="86">
        <f t="shared" si="39"/>
        <v>48.600000000000023</v>
      </c>
      <c r="AG98" s="150"/>
      <c r="AH98" s="54">
        <f>MAX(C98:AF98)</f>
        <v>220.79999999999998</v>
      </c>
      <c r="AI98" s="55">
        <f>MIN(C98:AF98)</f>
        <v>8.2399999999999878</v>
      </c>
    </row>
    <row r="99" spans="1:37" x14ac:dyDescent="0.25">
      <c r="A99" s="170" t="s">
        <v>74</v>
      </c>
      <c r="B99" s="87">
        <f>13.4+4.3</f>
        <v>17.7</v>
      </c>
      <c r="C99" s="87">
        <f>13.5+4.5</f>
        <v>18</v>
      </c>
      <c r="D99" s="87">
        <f>13.4+4.8</f>
        <v>18.2</v>
      </c>
      <c r="E99" s="87">
        <v>6.4</v>
      </c>
      <c r="F99" s="87">
        <v>12.5</v>
      </c>
      <c r="G99" s="87">
        <v>9.3000000000000007</v>
      </c>
      <c r="H99" s="87">
        <v>9.3000000000000007</v>
      </c>
      <c r="I99" s="87">
        <v>9.3000000000000007</v>
      </c>
      <c r="J99" s="87">
        <v>9.3000000000000007</v>
      </c>
      <c r="K99" s="87">
        <v>9.3000000000000007</v>
      </c>
      <c r="L99" s="87">
        <v>17.2</v>
      </c>
      <c r="M99" s="87">
        <v>13.2</v>
      </c>
      <c r="N99" s="87">
        <v>20.100000000000001</v>
      </c>
      <c r="O99" s="87">
        <v>13.1</v>
      </c>
      <c r="P99" s="87">
        <v>14.1</v>
      </c>
      <c r="Q99" s="87">
        <v>18.8</v>
      </c>
      <c r="R99" s="87">
        <v>23.6</v>
      </c>
      <c r="S99" s="87">
        <v>20.9</v>
      </c>
      <c r="T99" s="87">
        <v>22.7</v>
      </c>
      <c r="U99" s="87">
        <v>21.9</v>
      </c>
      <c r="V99" s="87">
        <v>19.399999999999999</v>
      </c>
      <c r="W99" s="87">
        <v>20.399999999999999</v>
      </c>
      <c r="X99" s="87">
        <v>24</v>
      </c>
      <c r="Y99" s="87">
        <v>29.9</v>
      </c>
      <c r="Z99" s="87">
        <v>30.7</v>
      </c>
      <c r="AA99" s="87">
        <v>31.7</v>
      </c>
      <c r="AB99" s="87">
        <v>24</v>
      </c>
      <c r="AC99" s="87">
        <v>23.8</v>
      </c>
      <c r="AD99" s="87">
        <v>17.5</v>
      </c>
      <c r="AE99" s="87">
        <v>14.2</v>
      </c>
      <c r="AF99" s="87">
        <v>7.9</v>
      </c>
      <c r="AG99" s="151">
        <v>75</v>
      </c>
      <c r="AH99" s="54">
        <f t="shared" ref="AH99:AH106" si="40">IF(ABS(MAX(C99:AF99))&gt;ABS(MIN(C99:AF99)),MAX(C99:AF99),MIN(C99:AF99))</f>
        <v>31.7</v>
      </c>
      <c r="AI99" s="89">
        <f t="shared" ref="AI99:AI106" si="41">INDEX($C$9:$AF$9,1,MATCH(AH99,C99:AF99,0))</f>
        <v>0.8125</v>
      </c>
    </row>
    <row r="100" spans="1:37" x14ac:dyDescent="0.25">
      <c r="A100" s="163" t="s">
        <v>75</v>
      </c>
      <c r="B100" s="90">
        <f>-60.5-65.7</f>
        <v>-126.2</v>
      </c>
      <c r="C100" s="90">
        <f>-56.2-60.9</f>
        <v>-117.1</v>
      </c>
      <c r="D100" s="90">
        <f>-66.4-71.3</f>
        <v>-137.69999999999999</v>
      </c>
      <c r="E100" s="90">
        <v>-133</v>
      </c>
      <c r="F100" s="90">
        <v>-142</v>
      </c>
      <c r="G100" s="90">
        <v>-113</v>
      </c>
      <c r="H100" s="90">
        <v>-113</v>
      </c>
      <c r="I100" s="90">
        <v>-113</v>
      </c>
      <c r="J100" s="90">
        <v>-113</v>
      </c>
      <c r="K100" s="90">
        <v>-113</v>
      </c>
      <c r="L100" s="90">
        <v>-83</v>
      </c>
      <c r="M100" s="90">
        <v>-88</v>
      </c>
      <c r="N100" s="90">
        <f>-38.8-43</f>
        <v>-81.8</v>
      </c>
      <c r="O100" s="90">
        <f>-36-41</f>
        <v>-77</v>
      </c>
      <c r="P100" s="90">
        <f>-36-41</f>
        <v>-77</v>
      </c>
      <c r="Q100" s="90">
        <f>-42.4-46.1</f>
        <v>-88.5</v>
      </c>
      <c r="R100" s="90">
        <f>-43.1-48</f>
        <v>-91.1</v>
      </c>
      <c r="S100" s="90">
        <f>-49.5-46.5</f>
        <v>-96</v>
      </c>
      <c r="T100" s="90">
        <f>-40.5-44.4</f>
        <v>-84.9</v>
      </c>
      <c r="U100" s="90">
        <f>-41.4-44.4</f>
        <v>-85.8</v>
      </c>
      <c r="V100" s="90">
        <f>-38.6-41.2</f>
        <v>-79.800000000000011</v>
      </c>
      <c r="W100" s="90">
        <f t="shared" ref="W100:Y100" si="42">-38.6-41.2</f>
        <v>-79.800000000000011</v>
      </c>
      <c r="X100" s="90">
        <f t="shared" si="42"/>
        <v>-79.800000000000011</v>
      </c>
      <c r="Y100" s="90">
        <f t="shared" si="42"/>
        <v>-79.800000000000011</v>
      </c>
      <c r="Z100" s="90">
        <f>-27-17.9</f>
        <v>-44.9</v>
      </c>
      <c r="AA100" s="90">
        <f>-27-17.9</f>
        <v>-44.9</v>
      </c>
      <c r="AB100" s="90">
        <f>-13.3-15.1</f>
        <v>-28.4</v>
      </c>
      <c r="AC100" s="90">
        <f>-17.4-20</f>
        <v>-37.4</v>
      </c>
      <c r="AD100" s="90">
        <f>-25-27</f>
        <v>-52</v>
      </c>
      <c r="AE100" s="90">
        <f>-47-51</f>
        <v>-98</v>
      </c>
      <c r="AF100" s="90">
        <f>-56.2-60</f>
        <v>-116.2</v>
      </c>
      <c r="AG100" s="151">
        <v>240</v>
      </c>
      <c r="AH100" s="54">
        <f t="shared" si="40"/>
        <v>-142</v>
      </c>
      <c r="AI100" s="89">
        <f t="shared" si="41"/>
        <v>0.16666666666666699</v>
      </c>
    </row>
    <row r="101" spans="1:37" x14ac:dyDescent="0.25">
      <c r="A101" s="163" t="s">
        <v>76</v>
      </c>
      <c r="B101" s="90">
        <v>-2.4</v>
      </c>
      <c r="C101" s="90">
        <v>0</v>
      </c>
      <c r="D101" s="90">
        <v>-2.8</v>
      </c>
      <c r="E101" s="90">
        <v>-1.7</v>
      </c>
      <c r="F101" s="90">
        <v>-3.9</v>
      </c>
      <c r="G101" s="90">
        <v>-2.4</v>
      </c>
      <c r="H101" s="90">
        <v>-2.4</v>
      </c>
      <c r="I101" s="90">
        <v>-2.4</v>
      </c>
      <c r="J101" s="90">
        <v>-2.4</v>
      </c>
      <c r="K101" s="90">
        <v>-2.4</v>
      </c>
      <c r="L101" s="90">
        <v>0</v>
      </c>
      <c r="M101" s="90">
        <v>-1.1000000000000001</v>
      </c>
      <c r="N101" s="90">
        <v>-2.1</v>
      </c>
      <c r="O101" s="90">
        <v>4.5</v>
      </c>
      <c r="P101" s="90">
        <v>4.5</v>
      </c>
      <c r="Q101" s="90">
        <v>10</v>
      </c>
      <c r="R101" s="90">
        <v>3</v>
      </c>
      <c r="S101" s="90">
        <v>8.5</v>
      </c>
      <c r="T101" s="90">
        <v>9.1</v>
      </c>
      <c r="U101" s="90">
        <v>9.3000000000000007</v>
      </c>
      <c r="V101" s="90">
        <v>10.1</v>
      </c>
      <c r="W101" s="90">
        <v>10.1</v>
      </c>
      <c r="X101" s="90">
        <v>10.1</v>
      </c>
      <c r="Y101" s="90">
        <v>10.1</v>
      </c>
      <c r="Z101" s="90">
        <v>22.7</v>
      </c>
      <c r="AA101" s="90">
        <v>22.7</v>
      </c>
      <c r="AB101" s="90">
        <v>15.6</v>
      </c>
      <c r="AC101" s="90">
        <v>13.8</v>
      </c>
      <c r="AD101" s="90">
        <v>10.1</v>
      </c>
      <c r="AE101" s="90">
        <v>3.5</v>
      </c>
      <c r="AF101" s="90">
        <v>0.7</v>
      </c>
      <c r="AG101" s="151">
        <v>60</v>
      </c>
      <c r="AH101" s="54">
        <f t="shared" si="40"/>
        <v>22.7</v>
      </c>
      <c r="AI101" s="89">
        <f t="shared" si="41"/>
        <v>0.79166666666666663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68.2</v>
      </c>
      <c r="M102" s="91">
        <v>68</v>
      </c>
      <c r="N102" s="91">
        <v>62</v>
      </c>
      <c r="O102" s="91">
        <v>72</v>
      </c>
      <c r="P102" s="91">
        <v>72</v>
      </c>
      <c r="Q102" s="91">
        <v>68.3</v>
      </c>
      <c r="R102" s="91">
        <v>55.7</v>
      </c>
      <c r="S102" s="91">
        <v>57</v>
      </c>
      <c r="T102" s="91">
        <v>67.5</v>
      </c>
      <c r="U102" s="91">
        <v>73.099999999999994</v>
      </c>
      <c r="V102" s="91">
        <v>71.900000000000006</v>
      </c>
      <c r="W102" s="91">
        <v>71.900000000000006</v>
      </c>
      <c r="X102" s="91">
        <v>71.900000000000006</v>
      </c>
      <c r="Y102" s="91">
        <v>71.900000000000006</v>
      </c>
      <c r="Z102" s="91">
        <v>18.100000000000001</v>
      </c>
      <c r="AA102" s="91">
        <v>18.100000000000001</v>
      </c>
      <c r="AB102" s="91">
        <v>0</v>
      </c>
      <c r="AC102" s="91">
        <v>0</v>
      </c>
      <c r="AD102" s="91">
        <v>0</v>
      </c>
      <c r="AE102" s="91">
        <v>0</v>
      </c>
      <c r="AF102" s="91">
        <v>0</v>
      </c>
      <c r="AG102" s="152">
        <v>120</v>
      </c>
      <c r="AH102" s="54">
        <f t="shared" si="40"/>
        <v>73.099999999999994</v>
      </c>
      <c r="AI102" s="89">
        <f t="shared" si="41"/>
        <v>0.66666666666666696</v>
      </c>
    </row>
    <row r="103" spans="1:37" x14ac:dyDescent="0.25">
      <c r="A103" s="164" t="s">
        <v>78</v>
      </c>
      <c r="B103" s="91">
        <v>41.7</v>
      </c>
      <c r="C103" s="91">
        <v>36.4</v>
      </c>
      <c r="D103" s="91">
        <v>32.5</v>
      </c>
      <c r="E103" s="91">
        <v>27.8</v>
      </c>
      <c r="F103" s="91">
        <v>24.4</v>
      </c>
      <c r="G103" s="91">
        <v>43.6</v>
      </c>
      <c r="H103" s="91">
        <v>43.6</v>
      </c>
      <c r="I103" s="91">
        <v>43.6</v>
      </c>
      <c r="J103" s="91">
        <v>43.6</v>
      </c>
      <c r="K103" s="91">
        <v>43.6</v>
      </c>
      <c r="L103" s="91">
        <v>63.1</v>
      </c>
      <c r="M103" s="91">
        <v>61</v>
      </c>
      <c r="N103" s="91">
        <v>60.7</v>
      </c>
      <c r="O103" s="91">
        <v>72</v>
      </c>
      <c r="P103" s="91">
        <v>72</v>
      </c>
      <c r="Q103" s="91">
        <v>65.2</v>
      </c>
      <c r="R103" s="91">
        <v>57</v>
      </c>
      <c r="S103" s="91">
        <v>59.4</v>
      </c>
      <c r="T103" s="91">
        <v>68.5</v>
      </c>
      <c r="U103" s="91">
        <v>73.099999999999994</v>
      </c>
      <c r="V103" s="91">
        <v>67.5</v>
      </c>
      <c r="W103" s="91">
        <v>67.5</v>
      </c>
      <c r="X103" s="91">
        <v>67.5</v>
      </c>
      <c r="Y103" s="91">
        <v>67.5</v>
      </c>
      <c r="Z103" s="91">
        <v>83.9</v>
      </c>
      <c r="AA103" s="91">
        <v>83.9</v>
      </c>
      <c r="AB103" s="91">
        <v>90</v>
      </c>
      <c r="AC103" s="91">
        <v>78.3</v>
      </c>
      <c r="AD103" s="91">
        <v>87</v>
      </c>
      <c r="AE103" s="91">
        <v>62.4</v>
      </c>
      <c r="AF103" s="91">
        <v>59.4</v>
      </c>
      <c r="AG103" s="152"/>
      <c r="AH103" s="54">
        <f t="shared" si="40"/>
        <v>90</v>
      </c>
      <c r="AI103" s="89">
        <f t="shared" si="41"/>
        <v>0.83333333333333337</v>
      </c>
    </row>
    <row r="104" spans="1:37" x14ac:dyDescent="0.25">
      <c r="A104" s="164" t="s">
        <v>105</v>
      </c>
      <c r="B104" s="91">
        <v>71</v>
      </c>
      <c r="C104" s="91">
        <v>69.2</v>
      </c>
      <c r="D104" s="91">
        <v>75.2</v>
      </c>
      <c r="E104" s="91">
        <v>59.5</v>
      </c>
      <c r="F104" s="91">
        <v>39.1</v>
      </c>
      <c r="G104" s="91">
        <v>60.9</v>
      </c>
      <c r="H104" s="91">
        <v>60.9</v>
      </c>
      <c r="I104" s="91">
        <v>60.9</v>
      </c>
      <c r="J104" s="91">
        <v>60.9</v>
      </c>
      <c r="K104" s="91">
        <v>60.9</v>
      </c>
      <c r="L104" s="91">
        <v>44.7</v>
      </c>
      <c r="M104" s="91">
        <v>60</v>
      </c>
      <c r="N104" s="91">
        <v>48.4</v>
      </c>
      <c r="O104" s="91">
        <v>55</v>
      </c>
      <c r="P104" s="91">
        <v>55</v>
      </c>
      <c r="Q104" s="91">
        <v>47.6</v>
      </c>
      <c r="R104" s="91">
        <v>15.6</v>
      </c>
      <c r="S104" s="91">
        <v>17.399999999999999</v>
      </c>
      <c r="T104" s="91">
        <v>8.6999999999999993</v>
      </c>
      <c r="U104" s="91">
        <v>14.6</v>
      </c>
      <c r="V104" s="91">
        <v>12.5</v>
      </c>
      <c r="W104" s="91">
        <v>12.5</v>
      </c>
      <c r="X104" s="91">
        <v>12.5</v>
      </c>
      <c r="Y104" s="91">
        <v>12.5</v>
      </c>
      <c r="Z104" s="91">
        <v>14.2</v>
      </c>
      <c r="AA104" s="91">
        <v>14.2</v>
      </c>
      <c r="AB104" s="91">
        <v>45.6</v>
      </c>
      <c r="AC104" s="91">
        <v>30.3</v>
      </c>
      <c r="AD104" s="91">
        <v>43</v>
      </c>
      <c r="AE104" s="91">
        <v>49</v>
      </c>
      <c r="AF104" s="91">
        <v>68.7</v>
      </c>
      <c r="AG104" s="153"/>
      <c r="AH104" s="54">
        <f t="shared" si="40"/>
        <v>75.2</v>
      </c>
      <c r="AI104" s="89">
        <f t="shared" si="41"/>
        <v>8.3333333333333301E-2</v>
      </c>
    </row>
    <row r="105" spans="1:37" x14ac:dyDescent="0.25">
      <c r="A105" s="171" t="s">
        <v>106</v>
      </c>
      <c r="B105" s="82">
        <v>113.2</v>
      </c>
      <c r="C105" s="82">
        <v>114.6</v>
      </c>
      <c r="D105" s="82">
        <v>96.9</v>
      </c>
      <c r="E105" s="82">
        <v>117.3</v>
      </c>
      <c r="F105" s="82">
        <v>119.2</v>
      </c>
      <c r="G105" s="82">
        <v>118.2</v>
      </c>
      <c r="H105" s="82">
        <v>118.2</v>
      </c>
      <c r="I105" s="82">
        <v>118.2</v>
      </c>
      <c r="J105" s="82">
        <v>118.2</v>
      </c>
      <c r="K105" s="82">
        <v>118.2</v>
      </c>
      <c r="L105" s="82">
        <v>101.5</v>
      </c>
      <c r="M105" s="82">
        <v>100</v>
      </c>
      <c r="N105" s="82">
        <v>102</v>
      </c>
      <c r="O105" s="82">
        <v>90</v>
      </c>
      <c r="P105" s="82">
        <v>90</v>
      </c>
      <c r="Q105" s="82">
        <v>95</v>
      </c>
      <c r="R105" s="82">
        <v>100.2</v>
      </c>
      <c r="S105" s="82">
        <v>92.2</v>
      </c>
      <c r="T105" s="82">
        <v>98.9</v>
      </c>
      <c r="U105" s="82">
        <v>97.1</v>
      </c>
      <c r="V105" s="82">
        <v>92.6</v>
      </c>
      <c r="W105" s="82">
        <v>92.6</v>
      </c>
      <c r="X105" s="82">
        <v>92.6</v>
      </c>
      <c r="Y105" s="82">
        <v>92.6</v>
      </c>
      <c r="Z105" s="82">
        <v>103.9</v>
      </c>
      <c r="AA105" s="82">
        <v>103.9</v>
      </c>
      <c r="AB105" s="82">
        <v>120</v>
      </c>
      <c r="AC105" s="82">
        <v>116</v>
      </c>
      <c r="AD105" s="82">
        <v>111</v>
      </c>
      <c r="AE105" s="82">
        <v>109</v>
      </c>
      <c r="AF105" s="82">
        <v>114.6</v>
      </c>
      <c r="AG105" s="153"/>
      <c r="AH105" s="54">
        <f t="shared" si="40"/>
        <v>120</v>
      </c>
      <c r="AI105" s="89">
        <f t="shared" si="41"/>
        <v>0.83333333333333337</v>
      </c>
    </row>
    <row r="106" spans="1:37" ht="15.75" thickBot="1" x14ac:dyDescent="0.3">
      <c r="A106" s="171" t="s">
        <v>280</v>
      </c>
      <c r="B106" s="82">
        <v>73.7</v>
      </c>
      <c r="C106" s="82">
        <v>71</v>
      </c>
      <c r="D106" s="82">
        <v>83</v>
      </c>
      <c r="E106" s="82">
        <v>89</v>
      </c>
      <c r="F106" s="82">
        <v>93.6</v>
      </c>
      <c r="G106" s="82">
        <v>75</v>
      </c>
      <c r="H106" s="82">
        <v>75</v>
      </c>
      <c r="I106" s="82">
        <v>75</v>
      </c>
      <c r="J106" s="82">
        <v>75</v>
      </c>
      <c r="K106" s="82">
        <v>75</v>
      </c>
      <c r="L106" s="82">
        <v>45.2</v>
      </c>
      <c r="M106" s="82">
        <v>46</v>
      </c>
      <c r="N106" s="82">
        <v>49.6</v>
      </c>
      <c r="O106" s="82">
        <v>45.3</v>
      </c>
      <c r="P106" s="82">
        <v>45.3</v>
      </c>
      <c r="Q106" s="82">
        <v>53.1</v>
      </c>
      <c r="R106" s="82">
        <v>56.3</v>
      </c>
      <c r="S106" s="82">
        <v>60.1</v>
      </c>
      <c r="T106" s="82">
        <v>32.799999999999997</v>
      </c>
      <c r="U106" s="82">
        <v>53.1</v>
      </c>
      <c r="V106" s="82">
        <v>40</v>
      </c>
      <c r="W106" s="82">
        <v>42</v>
      </c>
      <c r="X106" s="82">
        <v>34</v>
      </c>
      <c r="Y106" s="82">
        <v>23.9</v>
      </c>
      <c r="Z106" s="82">
        <v>26.8</v>
      </c>
      <c r="AA106" s="82">
        <v>26.8</v>
      </c>
      <c r="AB106" s="82">
        <v>18</v>
      </c>
      <c r="AC106" s="82">
        <v>27.4</v>
      </c>
      <c r="AD106" s="82">
        <v>28.5</v>
      </c>
      <c r="AE106" s="82">
        <v>59</v>
      </c>
      <c r="AF106" s="82">
        <v>67.099999999999994</v>
      </c>
      <c r="AG106" s="153"/>
      <c r="AH106" s="54">
        <f t="shared" si="40"/>
        <v>93.6</v>
      </c>
      <c r="AI106" s="89">
        <f t="shared" si="41"/>
        <v>0.16666666666666699</v>
      </c>
    </row>
    <row r="107" spans="1:37" ht="15.75" thickBot="1" x14ac:dyDescent="0.3">
      <c r="A107" s="92" t="s">
        <v>79</v>
      </c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154"/>
      <c r="AH107" s="94"/>
      <c r="AI107" s="55"/>
      <c r="AK107" s="56"/>
    </row>
    <row r="108" spans="1:37" x14ac:dyDescent="0.25">
      <c r="A108" s="162" t="s">
        <v>133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>
        <v>9.94</v>
      </c>
      <c r="AH108" s="54"/>
      <c r="AI108" s="55"/>
      <c r="AK108" s="56"/>
    </row>
    <row r="109" spans="1:37" x14ac:dyDescent="0.25">
      <c r="A109" s="163" t="s">
        <v>134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135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136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137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138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139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140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141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142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143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144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145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146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147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148</v>
      </c>
      <c r="B123" s="95"/>
      <c r="C123" s="53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6"/>
      <c r="AH123" s="54"/>
      <c r="AI123" s="55"/>
      <c r="AK123" s="56"/>
    </row>
    <row r="124" spans="1:37" x14ac:dyDescent="0.25">
      <c r="A124" s="163" t="s">
        <v>149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9">
        <v>9.9</v>
      </c>
      <c r="AH124" s="54"/>
      <c r="AI124" s="55"/>
      <c r="AK124" s="56"/>
    </row>
    <row r="125" spans="1:37" x14ac:dyDescent="0.25">
      <c r="A125" s="164" t="s">
        <v>80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9.6579999999999995</v>
      </c>
      <c r="AH125" s="54"/>
      <c r="AI125" s="55"/>
      <c r="AK125" s="56"/>
    </row>
    <row r="126" spans="1:37" x14ac:dyDescent="0.25">
      <c r="A126" s="164" t="s">
        <v>150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9.6</v>
      </c>
      <c r="AH126" s="54"/>
      <c r="AI126" s="55"/>
      <c r="AK126" s="56"/>
    </row>
    <row r="127" spans="1:37" x14ac:dyDescent="0.25">
      <c r="A127" s="164" t="s">
        <v>151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9.51</v>
      </c>
      <c r="AH127" s="54"/>
      <c r="AI127" s="55"/>
      <c r="AK127" s="56"/>
    </row>
    <row r="128" spans="1:37" x14ac:dyDescent="0.25">
      <c r="A128" s="164" t="s">
        <v>152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9.4</v>
      </c>
      <c r="AH128" s="54"/>
      <c r="AI128" s="55"/>
      <c r="AK128" s="56"/>
    </row>
    <row r="129" spans="1:37" x14ac:dyDescent="0.25">
      <c r="A129" s="164" t="s">
        <v>153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8.8000000000000007</v>
      </c>
      <c r="AH129" s="54"/>
      <c r="AI129" s="55"/>
      <c r="AK129" s="56"/>
    </row>
    <row r="130" spans="1:37" x14ac:dyDescent="0.25">
      <c r="A130" s="164" t="s">
        <v>154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155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8.5</v>
      </c>
      <c r="AH131" s="54"/>
      <c r="AI131" s="55"/>
      <c r="AK131" s="56"/>
    </row>
    <row r="132" spans="1:37" x14ac:dyDescent="0.25">
      <c r="A132" s="164" t="s">
        <v>156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8.4</v>
      </c>
      <c r="AH132" s="54"/>
      <c r="AI132" s="55"/>
      <c r="AK132" s="56"/>
    </row>
    <row r="133" spans="1:37" ht="13.5" customHeight="1" x14ac:dyDescent="0.25">
      <c r="A133" s="164" t="s">
        <v>157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158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159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8</v>
      </c>
      <c r="AH135" s="54"/>
      <c r="AI135" s="55"/>
      <c r="AK135" s="56"/>
    </row>
    <row r="136" spans="1:37" x14ac:dyDescent="0.25">
      <c r="A136" s="164" t="s">
        <v>160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7.8</v>
      </c>
      <c r="AH136" s="54"/>
      <c r="AI136" s="55"/>
      <c r="AK136" s="56"/>
    </row>
    <row r="137" spans="1:37" x14ac:dyDescent="0.25">
      <c r="A137" s="164" t="s">
        <v>161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7.6</v>
      </c>
      <c r="AH137" s="54"/>
      <c r="AI137" s="55"/>
      <c r="AK137" s="56"/>
    </row>
    <row r="138" spans="1:37" x14ac:dyDescent="0.25">
      <c r="A138" s="164" t="s">
        <v>162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163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7.5</v>
      </c>
      <c r="AH139" s="54"/>
      <c r="AI139" s="55"/>
      <c r="AK139" s="56"/>
    </row>
    <row r="140" spans="1:37" x14ac:dyDescent="0.25">
      <c r="A140" s="164" t="s">
        <v>164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165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166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167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7</v>
      </c>
      <c r="AH143" s="54"/>
      <c r="AI143" s="55"/>
      <c r="AK143" s="56"/>
    </row>
    <row r="144" spans="1:37" x14ac:dyDescent="0.25">
      <c r="A144" s="164" t="s">
        <v>168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169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6.6</v>
      </c>
      <c r="AH145" s="54"/>
      <c r="AI145" s="55"/>
      <c r="AK145" s="56"/>
    </row>
    <row r="146" spans="1:37" x14ac:dyDescent="0.25">
      <c r="A146" s="164" t="s">
        <v>170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6.4</v>
      </c>
      <c r="AH146" s="54"/>
      <c r="AI146" s="55"/>
      <c r="AK146" s="56"/>
    </row>
    <row r="147" spans="1:37" x14ac:dyDescent="0.25">
      <c r="A147" s="164" t="s">
        <v>171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6</v>
      </c>
      <c r="AH147" s="54"/>
      <c r="AI147" s="55"/>
      <c r="AK147" s="56"/>
    </row>
    <row r="148" spans="1:37" x14ac:dyDescent="0.25">
      <c r="A148" s="164" t="s">
        <v>172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5.0999999999999996</v>
      </c>
      <c r="AH148" s="54"/>
      <c r="AI148" s="55"/>
      <c r="AK148" s="56"/>
    </row>
    <row r="149" spans="1:37" x14ac:dyDescent="0.25">
      <c r="A149" s="164" t="s">
        <v>173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100">
        <v>5</v>
      </c>
      <c r="AH149" s="54"/>
      <c r="AI149" s="55"/>
      <c r="AK149" s="56"/>
    </row>
    <row r="150" spans="1:37" x14ac:dyDescent="0.25">
      <c r="A150" s="163" t="s">
        <v>174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99">
        <v>5</v>
      </c>
      <c r="AH150" s="54"/>
      <c r="AI150" s="55"/>
      <c r="AK150" s="56"/>
    </row>
    <row r="151" spans="1:37" x14ac:dyDescent="0.25">
      <c r="A151" s="164" t="s">
        <v>175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176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177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178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179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5</v>
      </c>
      <c r="AH155" s="54"/>
      <c r="AI155" s="55"/>
      <c r="AK155" s="56"/>
    </row>
    <row r="156" spans="1:37" x14ac:dyDescent="0.25">
      <c r="A156" s="164" t="s">
        <v>180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4.9930000000000003</v>
      </c>
      <c r="AH156" s="54"/>
      <c r="AI156" s="55"/>
      <c r="AK156" s="56"/>
    </row>
    <row r="157" spans="1:37" x14ac:dyDescent="0.25">
      <c r="A157" s="164" t="s">
        <v>181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4.9800000000000004</v>
      </c>
      <c r="AH157" s="54"/>
      <c r="AI157" s="55"/>
      <c r="AK157" s="56"/>
    </row>
    <row r="158" spans="1:37" x14ac:dyDescent="0.25">
      <c r="A158" s="164" t="s">
        <v>182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81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4.95</v>
      </c>
      <c r="AH159" s="54"/>
      <c r="AI159" s="55"/>
      <c r="AK159" s="56"/>
    </row>
    <row r="160" spans="1:37" x14ac:dyDescent="0.25">
      <c r="A160" s="164" t="s">
        <v>183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184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185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4.8</v>
      </c>
      <c r="AH162" s="54"/>
      <c r="AI162" s="55"/>
      <c r="AK162" s="56"/>
    </row>
    <row r="163" spans="1:37" x14ac:dyDescent="0.25">
      <c r="A163" s="164" t="s">
        <v>186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187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4.5</v>
      </c>
      <c r="AH164" s="54"/>
      <c r="AI164" s="55"/>
      <c r="AK164" s="56"/>
    </row>
    <row r="165" spans="1:37" x14ac:dyDescent="0.25">
      <c r="A165" s="164" t="s">
        <v>188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4.4550000000000001</v>
      </c>
      <c r="AH165" s="54"/>
      <c r="AI165" s="55"/>
      <c r="AK165" s="56"/>
    </row>
    <row r="166" spans="1:37" x14ac:dyDescent="0.25">
      <c r="A166" s="164" t="s">
        <v>189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4.41</v>
      </c>
      <c r="AH166" s="54"/>
      <c r="AI166" s="55"/>
      <c r="AK166" s="56"/>
    </row>
    <row r="167" spans="1:37" x14ac:dyDescent="0.25">
      <c r="A167" s="164" t="s">
        <v>190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4.4000000000000004</v>
      </c>
      <c r="AH167" s="54"/>
      <c r="AI167" s="55"/>
      <c r="AK167" s="56"/>
    </row>
    <row r="168" spans="1:37" x14ac:dyDescent="0.25">
      <c r="A168" s="164" t="s">
        <v>191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4.3600000000000003</v>
      </c>
      <c r="AH168" s="54"/>
      <c r="AI168" s="55"/>
      <c r="AK168" s="56"/>
    </row>
    <row r="169" spans="1:37" x14ac:dyDescent="0.25">
      <c r="A169" s="164" t="s">
        <v>192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4.2</v>
      </c>
      <c r="AH169" s="54"/>
      <c r="AI169" s="55"/>
      <c r="AK169" s="56"/>
    </row>
    <row r="170" spans="1:37" x14ac:dyDescent="0.25">
      <c r="A170" s="164" t="s">
        <v>193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194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195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196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197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198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199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200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4</v>
      </c>
      <c r="AH177" s="54"/>
      <c r="AI177" s="55"/>
      <c r="AK177" s="56"/>
    </row>
    <row r="178" spans="1:37" x14ac:dyDescent="0.25">
      <c r="A178" s="164" t="s">
        <v>201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3.75</v>
      </c>
      <c r="AH178" s="54"/>
      <c r="AI178" s="55"/>
      <c r="AK178" s="56"/>
    </row>
    <row r="179" spans="1:37" x14ac:dyDescent="0.25">
      <c r="A179" s="164" t="s">
        <v>202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3.52</v>
      </c>
      <c r="AH179" s="54"/>
      <c r="AI179" s="55"/>
      <c r="AK179" s="56"/>
    </row>
    <row r="180" spans="1:37" x14ac:dyDescent="0.25">
      <c r="A180" s="164" t="s">
        <v>203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3.33</v>
      </c>
      <c r="AH180" s="54"/>
      <c r="AI180" s="55"/>
      <c r="AK180" s="56"/>
    </row>
    <row r="181" spans="1:37" x14ac:dyDescent="0.25">
      <c r="A181" s="164" t="s">
        <v>204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3.2</v>
      </c>
      <c r="AH181" s="54"/>
      <c r="AI181" s="55"/>
      <c r="AK181" s="56"/>
    </row>
    <row r="182" spans="1:37" x14ac:dyDescent="0.25">
      <c r="A182" s="164" t="s">
        <v>205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206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207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208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209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210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211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212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3</v>
      </c>
      <c r="AH189" s="54"/>
      <c r="AI189" s="55"/>
      <c r="AK189" s="56"/>
    </row>
    <row r="190" spans="1:37" x14ac:dyDescent="0.25">
      <c r="A190" s="164" t="s">
        <v>213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2.83</v>
      </c>
      <c r="AH190" s="54"/>
      <c r="AI190" s="55"/>
      <c r="AK190" s="56"/>
    </row>
    <row r="191" spans="1:37" x14ac:dyDescent="0.25">
      <c r="A191" s="164" t="s">
        <v>214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215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2.5</v>
      </c>
      <c r="AH192" s="54"/>
      <c r="AI192" s="55"/>
      <c r="AK192" s="56"/>
    </row>
    <row r="193" spans="1:37" x14ac:dyDescent="0.25">
      <c r="A193" s="164" t="s">
        <v>216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217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2.4</v>
      </c>
      <c r="AH194" s="54"/>
      <c r="AI194" s="55"/>
      <c r="AK194" s="56"/>
    </row>
    <row r="195" spans="1:37" x14ac:dyDescent="0.25">
      <c r="A195" s="164" t="s">
        <v>218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2.2000000000000002</v>
      </c>
      <c r="AH195" s="54"/>
      <c r="AI195" s="55"/>
      <c r="AK195" s="56"/>
    </row>
    <row r="196" spans="1:37" x14ac:dyDescent="0.25">
      <c r="A196" s="164" t="s">
        <v>219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220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221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2</v>
      </c>
      <c r="AH198" s="54"/>
      <c r="AI198" s="55"/>
      <c r="AK198" s="56"/>
    </row>
    <row r="199" spans="1:37" x14ac:dyDescent="0.25">
      <c r="A199" s="164" t="s">
        <v>222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223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1.8</v>
      </c>
      <c r="AH200" s="54"/>
      <c r="AI200" s="55"/>
      <c r="AK200" s="56"/>
    </row>
    <row r="201" spans="1:37" x14ac:dyDescent="0.25">
      <c r="A201" s="164" t="s">
        <v>224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1.65</v>
      </c>
      <c r="AH201" s="54"/>
      <c r="AI201" s="55"/>
      <c r="AK201" s="56"/>
    </row>
    <row r="202" spans="1:37" x14ac:dyDescent="0.25">
      <c r="A202" s="164" t="s">
        <v>225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1.5</v>
      </c>
      <c r="AH202" s="54"/>
      <c r="AI202" s="55"/>
      <c r="AK202" s="56"/>
    </row>
    <row r="203" spans="1:37" x14ac:dyDescent="0.25">
      <c r="A203" s="164" t="s">
        <v>226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0.998</v>
      </c>
      <c r="AH203" s="54"/>
      <c r="AI203" s="55"/>
      <c r="AK203" s="56"/>
    </row>
    <row r="204" spans="1:37" x14ac:dyDescent="0.25">
      <c r="A204" s="164" t="s">
        <v>227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228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0.997</v>
      </c>
      <c r="AH205" s="54"/>
      <c r="AI205" s="55"/>
      <c r="AK205" s="56"/>
    </row>
    <row r="206" spans="1:37" x14ac:dyDescent="0.25">
      <c r="A206" s="164" t="s">
        <v>229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230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231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0.996</v>
      </c>
      <c r="AH208" s="54"/>
      <c r="AI208" s="55"/>
      <c r="AK208" s="56"/>
    </row>
    <row r="209" spans="1:37" x14ac:dyDescent="0.25">
      <c r="A209" s="164" t="s">
        <v>232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0.995</v>
      </c>
      <c r="AH209" s="54"/>
      <c r="AI209" s="55"/>
      <c r="AK209" s="56"/>
    </row>
    <row r="210" spans="1:37" x14ac:dyDescent="0.25">
      <c r="A210" s="164" t="s">
        <v>233</v>
      </c>
      <c r="B210" s="97"/>
      <c r="C210" s="98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0.99299999999999999</v>
      </c>
      <c r="AH210" s="54"/>
      <c r="AI210" s="55"/>
      <c r="AK210" s="56"/>
    </row>
    <row r="211" spans="1:37" x14ac:dyDescent="0.25">
      <c r="A211" s="164" t="s">
        <v>234</v>
      </c>
      <c r="B211" s="97"/>
      <c r="C211" s="53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  <c r="AF211" s="97"/>
      <c r="AG211" s="100">
        <v>0.99</v>
      </c>
      <c r="AH211" s="54"/>
      <c r="AI211" s="55"/>
      <c r="AK211" s="56"/>
    </row>
    <row r="212" spans="1:37" ht="15.75" thickBot="1" x14ac:dyDescent="0.3">
      <c r="A212" s="164" t="s">
        <v>235</v>
      </c>
      <c r="B212" s="102"/>
      <c r="C212" s="166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0">
        <v>0.97899999999999998</v>
      </c>
      <c r="AH212" s="54"/>
      <c r="AI212" s="55"/>
      <c r="AK212" s="56"/>
    </row>
    <row r="213" spans="1:37" ht="15.75" thickBot="1" x14ac:dyDescent="0.3">
      <c r="A213" s="165" t="s">
        <v>82</v>
      </c>
      <c r="B213" s="167">
        <f>SUM(B108:B212)</f>
        <v>0</v>
      </c>
      <c r="C213" s="103">
        <f t="shared" ref="C213:AG213" si="43">SUM(C108:C212)</f>
        <v>0</v>
      </c>
      <c r="D213" s="103">
        <f t="shared" si="43"/>
        <v>0</v>
      </c>
      <c r="E213" s="103">
        <f t="shared" si="43"/>
        <v>0</v>
      </c>
      <c r="F213" s="103">
        <f t="shared" si="43"/>
        <v>0</v>
      </c>
      <c r="G213" s="103">
        <f t="shared" si="43"/>
        <v>0</v>
      </c>
      <c r="H213" s="103">
        <f t="shared" si="43"/>
        <v>0</v>
      </c>
      <c r="I213" s="103">
        <f t="shared" si="43"/>
        <v>0</v>
      </c>
      <c r="J213" s="103">
        <f t="shared" si="43"/>
        <v>0</v>
      </c>
      <c r="K213" s="103">
        <f t="shared" si="43"/>
        <v>0</v>
      </c>
      <c r="L213" s="103">
        <f t="shared" si="43"/>
        <v>0</v>
      </c>
      <c r="M213" s="103">
        <f t="shared" si="43"/>
        <v>0</v>
      </c>
      <c r="N213" s="103">
        <f t="shared" si="43"/>
        <v>0</v>
      </c>
      <c r="O213" s="103">
        <f t="shared" si="43"/>
        <v>0</v>
      </c>
      <c r="P213" s="103">
        <f t="shared" si="43"/>
        <v>0</v>
      </c>
      <c r="Q213" s="103">
        <f t="shared" si="43"/>
        <v>0</v>
      </c>
      <c r="R213" s="103">
        <f t="shared" si="43"/>
        <v>0</v>
      </c>
      <c r="S213" s="103">
        <f t="shared" si="43"/>
        <v>0</v>
      </c>
      <c r="T213" s="103">
        <f t="shared" si="43"/>
        <v>0</v>
      </c>
      <c r="U213" s="103">
        <f t="shared" si="43"/>
        <v>0</v>
      </c>
      <c r="V213" s="103">
        <f t="shared" si="43"/>
        <v>0</v>
      </c>
      <c r="W213" s="103">
        <f t="shared" si="43"/>
        <v>0</v>
      </c>
      <c r="X213" s="103">
        <f t="shared" si="43"/>
        <v>0</v>
      </c>
      <c r="Y213" s="103">
        <f t="shared" si="43"/>
        <v>0</v>
      </c>
      <c r="Z213" s="103">
        <f t="shared" si="43"/>
        <v>0</v>
      </c>
      <c r="AA213" s="103">
        <f t="shared" si="43"/>
        <v>0</v>
      </c>
      <c r="AB213" s="103">
        <f t="shared" si="43"/>
        <v>0</v>
      </c>
      <c r="AC213" s="103">
        <f t="shared" si="43"/>
        <v>0</v>
      </c>
      <c r="AD213" s="103">
        <f t="shared" si="43"/>
        <v>0</v>
      </c>
      <c r="AE213" s="103">
        <f t="shared" si="43"/>
        <v>0</v>
      </c>
      <c r="AF213" s="168">
        <f t="shared" si="43"/>
        <v>0</v>
      </c>
      <c r="AG213" s="169">
        <f t="shared" si="43"/>
        <v>412.72299999999984</v>
      </c>
      <c r="AH213" s="54"/>
      <c r="AI213" s="55"/>
      <c r="AK213" s="56"/>
    </row>
    <row r="214" spans="1:37" ht="15.75" thickBot="1" x14ac:dyDescent="0.3">
      <c r="A214" s="28" t="s">
        <v>35</v>
      </c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149"/>
      <c r="AH214" s="54"/>
      <c r="AI214" s="55"/>
      <c r="AK214" s="56"/>
    </row>
    <row r="215" spans="1:37" x14ac:dyDescent="0.25">
      <c r="A215" s="170" t="s">
        <v>83</v>
      </c>
      <c r="B215" s="101">
        <f t="shared" ref="B215:B220" si="44">AF215</f>
        <v>0</v>
      </c>
      <c r="C215" s="101">
        <v>0.3</v>
      </c>
      <c r="D215" s="101">
        <f t="shared" ref="D215:P220" si="45">C215</f>
        <v>0.3</v>
      </c>
      <c r="E215" s="101">
        <f t="shared" si="45"/>
        <v>0.3</v>
      </c>
      <c r="F215" s="101">
        <f t="shared" si="45"/>
        <v>0.3</v>
      </c>
      <c r="G215" s="101">
        <f t="shared" si="45"/>
        <v>0.3</v>
      </c>
      <c r="H215" s="101">
        <f t="shared" si="45"/>
        <v>0.3</v>
      </c>
      <c r="I215" s="101">
        <f t="shared" si="45"/>
        <v>0.3</v>
      </c>
      <c r="J215" s="101">
        <f t="shared" si="45"/>
        <v>0.3</v>
      </c>
      <c r="K215" s="101">
        <f t="shared" si="45"/>
        <v>0.3</v>
      </c>
      <c r="L215" s="101">
        <f t="shared" si="45"/>
        <v>0.3</v>
      </c>
      <c r="M215" s="101">
        <f t="shared" si="45"/>
        <v>0.3</v>
      </c>
      <c r="N215" s="101">
        <f t="shared" si="45"/>
        <v>0.3</v>
      </c>
      <c r="O215" s="101">
        <f t="shared" si="45"/>
        <v>0.3</v>
      </c>
      <c r="P215" s="101">
        <f t="shared" si="45"/>
        <v>0.3</v>
      </c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  <c r="AE215" s="101"/>
      <c r="AF215" s="101"/>
      <c r="AG215" s="155">
        <v>2.4</v>
      </c>
      <c r="AH215" s="54"/>
      <c r="AI215" s="55"/>
      <c r="AK215" s="56"/>
    </row>
    <row r="216" spans="1:37" x14ac:dyDescent="0.25">
      <c r="A216" s="163" t="s">
        <v>84</v>
      </c>
      <c r="B216" s="97">
        <f t="shared" si="44"/>
        <v>0</v>
      </c>
      <c r="C216" s="97">
        <v>0.4</v>
      </c>
      <c r="D216" s="97">
        <f t="shared" si="45"/>
        <v>0.4</v>
      </c>
      <c r="E216" s="97">
        <f t="shared" si="45"/>
        <v>0.4</v>
      </c>
      <c r="F216" s="97">
        <f t="shared" si="45"/>
        <v>0.4</v>
      </c>
      <c r="G216" s="97">
        <f t="shared" si="45"/>
        <v>0.4</v>
      </c>
      <c r="H216" s="97">
        <f t="shared" si="45"/>
        <v>0.4</v>
      </c>
      <c r="I216" s="97">
        <f t="shared" si="45"/>
        <v>0.4</v>
      </c>
      <c r="J216" s="97">
        <f t="shared" si="45"/>
        <v>0.4</v>
      </c>
      <c r="K216" s="97">
        <f t="shared" si="45"/>
        <v>0.4</v>
      </c>
      <c r="L216" s="97">
        <f t="shared" si="45"/>
        <v>0.4</v>
      </c>
      <c r="M216" s="97">
        <f t="shared" si="45"/>
        <v>0.4</v>
      </c>
      <c r="N216" s="97">
        <f t="shared" si="45"/>
        <v>0.4</v>
      </c>
      <c r="O216" s="97">
        <f t="shared" si="45"/>
        <v>0.4</v>
      </c>
      <c r="P216" s="97">
        <f t="shared" si="45"/>
        <v>0.4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2</v>
      </c>
      <c r="AH216" s="54"/>
      <c r="AI216" s="55"/>
      <c r="AK216" s="56"/>
    </row>
    <row r="217" spans="1:37" x14ac:dyDescent="0.25">
      <c r="A217" s="163" t="s">
        <v>85</v>
      </c>
      <c r="B217" s="97">
        <f t="shared" si="44"/>
        <v>0</v>
      </c>
      <c r="C217" s="97">
        <v>1.5</v>
      </c>
      <c r="D217" s="97">
        <f t="shared" si="45"/>
        <v>1.5</v>
      </c>
      <c r="E217" s="97">
        <f t="shared" si="45"/>
        <v>1.5</v>
      </c>
      <c r="F217" s="97">
        <f t="shared" si="45"/>
        <v>1.5</v>
      </c>
      <c r="G217" s="97">
        <f t="shared" si="45"/>
        <v>1.5</v>
      </c>
      <c r="H217" s="97">
        <f t="shared" si="45"/>
        <v>1.5</v>
      </c>
      <c r="I217" s="97">
        <f t="shared" si="45"/>
        <v>1.5</v>
      </c>
      <c r="J217" s="97">
        <f t="shared" si="45"/>
        <v>1.5</v>
      </c>
      <c r="K217" s="97">
        <f t="shared" si="45"/>
        <v>1.5</v>
      </c>
      <c r="L217" s="97">
        <f t="shared" si="45"/>
        <v>1.5</v>
      </c>
      <c r="M217" s="97">
        <f t="shared" si="45"/>
        <v>1.5</v>
      </c>
      <c r="N217" s="97">
        <f t="shared" si="45"/>
        <v>1.5</v>
      </c>
      <c r="O217" s="97">
        <f t="shared" si="45"/>
        <v>1.5</v>
      </c>
      <c r="P217" s="97">
        <f t="shared" si="45"/>
        <v>1.5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1.5</v>
      </c>
      <c r="AH217" s="54"/>
      <c r="AI217" s="55"/>
      <c r="AK217" s="56"/>
    </row>
    <row r="218" spans="1:37" x14ac:dyDescent="0.25">
      <c r="A218" s="163" t="s">
        <v>86</v>
      </c>
      <c r="B218" s="97">
        <f t="shared" si="44"/>
        <v>0</v>
      </c>
      <c r="C218" s="97">
        <v>0.3</v>
      </c>
      <c r="D218" s="97">
        <f t="shared" si="45"/>
        <v>0.3</v>
      </c>
      <c r="E218" s="97">
        <f t="shared" si="45"/>
        <v>0.3</v>
      </c>
      <c r="F218" s="97">
        <f t="shared" si="45"/>
        <v>0.3</v>
      </c>
      <c r="G218" s="97">
        <f t="shared" si="45"/>
        <v>0.3</v>
      </c>
      <c r="H218" s="97">
        <f t="shared" si="45"/>
        <v>0.3</v>
      </c>
      <c r="I218" s="97">
        <f t="shared" si="45"/>
        <v>0.3</v>
      </c>
      <c r="J218" s="97">
        <f t="shared" si="45"/>
        <v>0.3</v>
      </c>
      <c r="K218" s="97">
        <f t="shared" si="45"/>
        <v>0.3</v>
      </c>
      <c r="L218" s="97">
        <f t="shared" si="45"/>
        <v>0.3</v>
      </c>
      <c r="M218" s="97">
        <f t="shared" si="45"/>
        <v>0.3</v>
      </c>
      <c r="N218" s="97">
        <f t="shared" si="45"/>
        <v>0.3</v>
      </c>
      <c r="O218" s="97">
        <f t="shared" si="45"/>
        <v>0.3</v>
      </c>
      <c r="P218" s="97">
        <f t="shared" si="45"/>
        <v>0.3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x14ac:dyDescent="0.25">
      <c r="A219" s="163" t="s">
        <v>87</v>
      </c>
      <c r="B219" s="97">
        <f t="shared" si="44"/>
        <v>0</v>
      </c>
      <c r="C219" s="97">
        <v>0.4</v>
      </c>
      <c r="D219" s="97">
        <f t="shared" si="45"/>
        <v>0.4</v>
      </c>
      <c r="E219" s="97">
        <f t="shared" si="45"/>
        <v>0.4</v>
      </c>
      <c r="F219" s="97">
        <f t="shared" si="45"/>
        <v>0.4</v>
      </c>
      <c r="G219" s="97">
        <f t="shared" si="45"/>
        <v>0.4</v>
      </c>
      <c r="H219" s="97">
        <f t="shared" si="45"/>
        <v>0.4</v>
      </c>
      <c r="I219" s="97">
        <f t="shared" si="45"/>
        <v>0.4</v>
      </c>
      <c r="J219" s="97">
        <f t="shared" si="45"/>
        <v>0.4</v>
      </c>
      <c r="K219" s="97">
        <f t="shared" si="45"/>
        <v>0.4</v>
      </c>
      <c r="L219" s="97">
        <f t="shared" si="45"/>
        <v>0.4</v>
      </c>
      <c r="M219" s="97">
        <f t="shared" si="45"/>
        <v>0.4</v>
      </c>
      <c r="N219" s="97">
        <f t="shared" si="45"/>
        <v>0.4</v>
      </c>
      <c r="O219" s="97">
        <f t="shared" si="45"/>
        <v>0.4</v>
      </c>
      <c r="P219" s="97">
        <f t="shared" si="45"/>
        <v>0.4</v>
      </c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  <c r="AE219" s="97"/>
      <c r="AF219" s="97"/>
      <c r="AG219" s="156">
        <v>1</v>
      </c>
      <c r="AH219" s="54"/>
      <c r="AI219" s="55"/>
      <c r="AK219" s="56"/>
    </row>
    <row r="220" spans="1:37" ht="15.75" thickBot="1" x14ac:dyDescent="0.3">
      <c r="A220" s="164" t="s">
        <v>88</v>
      </c>
      <c r="B220" s="102">
        <f t="shared" si="44"/>
        <v>0</v>
      </c>
      <c r="C220" s="102">
        <v>0.64</v>
      </c>
      <c r="D220" s="102">
        <f t="shared" si="45"/>
        <v>0.64</v>
      </c>
      <c r="E220" s="102">
        <f t="shared" si="45"/>
        <v>0.64</v>
      </c>
      <c r="F220" s="102">
        <f t="shared" si="45"/>
        <v>0.64</v>
      </c>
      <c r="G220" s="102">
        <f t="shared" si="45"/>
        <v>0.64</v>
      </c>
      <c r="H220" s="102">
        <f t="shared" si="45"/>
        <v>0.64</v>
      </c>
      <c r="I220" s="102">
        <f t="shared" si="45"/>
        <v>0.64</v>
      </c>
      <c r="J220" s="102">
        <f t="shared" si="45"/>
        <v>0.64</v>
      </c>
      <c r="K220" s="102">
        <f t="shared" si="45"/>
        <v>0.64</v>
      </c>
      <c r="L220" s="102">
        <f t="shared" si="45"/>
        <v>0.64</v>
      </c>
      <c r="M220" s="102">
        <f t="shared" si="45"/>
        <v>0.64</v>
      </c>
      <c r="N220" s="102">
        <f t="shared" si="45"/>
        <v>0.64</v>
      </c>
      <c r="O220" s="102">
        <f t="shared" si="45"/>
        <v>0.64</v>
      </c>
      <c r="P220" s="102">
        <f t="shared" si="45"/>
        <v>0.64</v>
      </c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57">
        <v>0.66</v>
      </c>
      <c r="AH220" s="54"/>
      <c r="AI220" s="55"/>
    </row>
    <row r="221" spans="1:37" ht="15.75" thickBot="1" x14ac:dyDescent="0.3">
      <c r="A221" s="173" t="s">
        <v>35</v>
      </c>
      <c r="B221" s="103">
        <f>SUM(B215:B220)</f>
        <v>0</v>
      </c>
      <c r="C221" s="103">
        <f>SUM(C215:C220)</f>
        <v>3.54</v>
      </c>
      <c r="D221" s="103">
        <f t="shared" ref="D221:L221" si="46">SUM(D215:D220)</f>
        <v>3.54</v>
      </c>
      <c r="E221" s="103">
        <f t="shared" si="46"/>
        <v>3.54</v>
      </c>
      <c r="F221" s="103">
        <f t="shared" si="46"/>
        <v>3.54</v>
      </c>
      <c r="G221" s="103">
        <f t="shared" si="46"/>
        <v>3.54</v>
      </c>
      <c r="H221" s="103">
        <f t="shared" si="46"/>
        <v>3.54</v>
      </c>
      <c r="I221" s="103">
        <f t="shared" si="46"/>
        <v>3.54</v>
      </c>
      <c r="J221" s="103">
        <f t="shared" si="46"/>
        <v>3.54</v>
      </c>
      <c r="K221" s="103">
        <f t="shared" si="46"/>
        <v>3.54</v>
      </c>
      <c r="L221" s="103">
        <f t="shared" si="46"/>
        <v>3.54</v>
      </c>
      <c r="M221" s="103">
        <f>SUM(M215:M220)</f>
        <v>3.54</v>
      </c>
      <c r="N221" s="103">
        <f t="shared" ref="N221:S221" si="47">SUM(N215:N220)</f>
        <v>3.54</v>
      </c>
      <c r="O221" s="103">
        <f t="shared" si="47"/>
        <v>3.54</v>
      </c>
      <c r="P221" s="103">
        <f t="shared" si="47"/>
        <v>3.54</v>
      </c>
      <c r="Q221" s="103">
        <f t="shared" si="47"/>
        <v>0</v>
      </c>
      <c r="R221" s="103">
        <f t="shared" si="47"/>
        <v>0</v>
      </c>
      <c r="S221" s="103">
        <f t="shared" si="47"/>
        <v>0</v>
      </c>
      <c r="T221" s="103">
        <f>SUM(T215:T220)</f>
        <v>0</v>
      </c>
      <c r="U221" s="103">
        <f t="shared" ref="U221:AG221" si="48">SUM(U215:U220)</f>
        <v>0</v>
      </c>
      <c r="V221" s="103">
        <f t="shared" si="48"/>
        <v>0</v>
      </c>
      <c r="W221" s="103">
        <f t="shared" si="48"/>
        <v>0</v>
      </c>
      <c r="X221" s="103">
        <f t="shared" si="48"/>
        <v>0</v>
      </c>
      <c r="Y221" s="103">
        <f t="shared" si="48"/>
        <v>0</v>
      </c>
      <c r="Z221" s="103">
        <f t="shared" si="48"/>
        <v>0</v>
      </c>
      <c r="AA221" s="103">
        <f t="shared" si="48"/>
        <v>0</v>
      </c>
      <c r="AB221" s="103">
        <f t="shared" si="48"/>
        <v>0</v>
      </c>
      <c r="AC221" s="103">
        <f t="shared" si="48"/>
        <v>0</v>
      </c>
      <c r="AD221" s="103">
        <f t="shared" si="48"/>
        <v>0</v>
      </c>
      <c r="AE221" s="103">
        <f t="shared" si="48"/>
        <v>0</v>
      </c>
      <c r="AF221" s="103">
        <f t="shared" si="48"/>
        <v>0</v>
      </c>
      <c r="AG221" s="158">
        <f t="shared" si="48"/>
        <v>8.56</v>
      </c>
      <c r="AH221" s="54"/>
      <c r="AI221" s="55"/>
    </row>
    <row r="222" spans="1:37" ht="15.75" thickBot="1" x14ac:dyDescent="0.3"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  <c r="AA222" s="179"/>
      <c r="AB222" s="179"/>
      <c r="AC222" s="179"/>
      <c r="AD222" s="179"/>
      <c r="AE222" s="179"/>
      <c r="AF222" s="179"/>
      <c r="AG222" s="84"/>
      <c r="AH222" s="179"/>
    </row>
    <row r="223" spans="1:37" x14ac:dyDescent="0.25">
      <c r="A223" s="79" t="s">
        <v>89</v>
      </c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  <c r="AE223" s="104"/>
      <c r="AF223" s="105"/>
      <c r="AG223" s="179"/>
      <c r="AH223" s="54"/>
      <c r="AI223" s="55"/>
    </row>
    <row r="224" spans="1:37" x14ac:dyDescent="0.25">
      <c r="A224" s="106" t="s">
        <v>90</v>
      </c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8"/>
      <c r="AG224" s="109"/>
      <c r="AH224" s="54"/>
      <c r="AI224" s="55"/>
    </row>
    <row r="225" spans="1:50" x14ac:dyDescent="0.25">
      <c r="A225" s="81" t="s">
        <v>91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x14ac:dyDescent="0.25">
      <c r="A226" s="81" t="s">
        <v>92</v>
      </c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1"/>
      <c r="AG226" s="109"/>
      <c r="AH226" s="54"/>
      <c r="AI226" s="55"/>
    </row>
    <row r="227" spans="1:50" ht="15.75" thickBot="1" x14ac:dyDescent="0.3">
      <c r="A227" s="112" t="s">
        <v>93</v>
      </c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  <c r="AB227" s="113"/>
      <c r="AC227" s="113"/>
      <c r="AD227" s="113"/>
      <c r="AE227" s="113"/>
      <c r="AF227" s="114"/>
      <c r="AG227" s="109"/>
      <c r="AH227" s="54"/>
      <c r="AI227" s="55"/>
    </row>
    <row r="228" spans="1:50" x14ac:dyDescent="0.25"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  <c r="AC228" s="179"/>
      <c r="AD228" s="179"/>
      <c r="AE228" s="179"/>
      <c r="AF228" s="179"/>
      <c r="AG228" s="179"/>
      <c r="AH228" s="179"/>
    </row>
    <row r="229" spans="1:50" x14ac:dyDescent="0.25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  <c r="AC229" s="179"/>
      <c r="AD229" s="179"/>
      <c r="AE229" s="179"/>
      <c r="AF229" s="179"/>
      <c r="AG229" s="179"/>
      <c r="AH229" s="179"/>
    </row>
    <row r="230" spans="1:50" x14ac:dyDescent="0.25">
      <c r="A230" s="115" t="s">
        <v>94</v>
      </c>
      <c r="B230" s="116">
        <f>MAX(G79:N79)</f>
        <v>1737.84</v>
      </c>
      <c r="C230" s="117">
        <f>INDEX(G9:N9,1,MATCH(MAX(G79:N79),G79:N79,0))</f>
        <v>0.33333333333333331</v>
      </c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79"/>
      <c r="AH230" s="179"/>
    </row>
    <row r="231" spans="1:50" x14ac:dyDescent="0.25"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18" t="str">
        <f ca="1">MID(CELL("filename",C7),FIND("]",CELL("filename",C7))+1,600)</f>
        <v>29</v>
      </c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  <c r="AE231" s="179"/>
      <c r="AF231" s="179"/>
      <c r="AG231" s="179"/>
      <c r="AH231" s="179"/>
    </row>
    <row r="232" spans="1:50" x14ac:dyDescent="0.25">
      <c r="A232" s="208" t="s">
        <v>95</v>
      </c>
      <c r="B232" s="208"/>
      <c r="C232" s="179"/>
      <c r="D232" s="118" t="str">
        <f ca="1">"Pie Chart of Daily Peak Demand(Inclusive of Export) of Nepal ("&amp;A4&amp;" "&amp;B4&amp;")"</f>
        <v>Pie Chart of Daily Peak Demand(Inclusive of Export) of Nepal (Nepali Date: 2079/02/29)</v>
      </c>
      <c r="E232" s="179"/>
      <c r="F232" s="179"/>
      <c r="G232" s="118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18" t="str">
        <f ca="1">"Daily Load Curve(Excluding of Export) of Nepal ("&amp;A4&amp;" "&amp;B4&amp;")"</f>
        <v>Daily Load Curve(Excluding of Export) of Nepal (Nepali Date: 2079/02/29)</v>
      </c>
      <c r="T232" s="179"/>
      <c r="U232" s="179"/>
      <c r="V232" s="179"/>
      <c r="W232" s="179"/>
      <c r="X232" s="179"/>
      <c r="Y232" s="179"/>
      <c r="Z232" s="179"/>
      <c r="AA232" s="179"/>
      <c r="AB232" s="179"/>
      <c r="AC232" s="179"/>
      <c r="AD232" s="179"/>
      <c r="AE232" s="179"/>
      <c r="AF232" s="179"/>
      <c r="AG232" s="179"/>
      <c r="AH232" s="179"/>
    </row>
    <row r="233" spans="1:50" ht="12.75" customHeight="1" thickBot="1" x14ac:dyDescent="0.3">
      <c r="A233" s="119" t="s">
        <v>7</v>
      </c>
      <c r="B233" s="120"/>
      <c r="C233" s="179"/>
      <c r="D233" s="121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  <c r="AA233" s="179"/>
      <c r="AB233" s="179"/>
      <c r="AC233" s="179"/>
      <c r="AD233" s="179"/>
      <c r="AE233" s="179"/>
      <c r="AF233" s="179"/>
      <c r="AG233" s="179"/>
      <c r="AH233" s="179"/>
    </row>
    <row r="234" spans="1:50" ht="15.75" thickTop="1" x14ac:dyDescent="0.25">
      <c r="A234" s="119" t="s">
        <v>96</v>
      </c>
      <c r="B234" s="120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22" t="s">
        <v>97</v>
      </c>
      <c r="T234" s="123">
        <v>0</v>
      </c>
      <c r="U234" s="124">
        <v>4.1666666666666664E-2</v>
      </c>
      <c r="V234" s="125">
        <v>8.3333333333333301E-2</v>
      </c>
      <c r="W234" s="125">
        <v>0.125</v>
      </c>
      <c r="X234" s="125">
        <v>0.16666666666666699</v>
      </c>
      <c r="Y234" s="125">
        <v>0.20833333333333301</v>
      </c>
      <c r="Z234" s="125">
        <v>0.22916666666666666</v>
      </c>
      <c r="AA234" s="125">
        <v>0.25</v>
      </c>
      <c r="AB234" s="125">
        <v>0.27083333333333331</v>
      </c>
      <c r="AC234" s="125">
        <v>0.29166666666666669</v>
      </c>
      <c r="AD234" s="125">
        <v>0.3125</v>
      </c>
      <c r="AE234" s="126">
        <v>0.33333333333333331</v>
      </c>
      <c r="AF234" s="126">
        <v>0.375</v>
      </c>
      <c r="AG234" s="126">
        <v>0.41666666666666702</v>
      </c>
      <c r="AH234" s="126">
        <v>0.45833333333333298</v>
      </c>
      <c r="AI234" s="126">
        <v>0.5</v>
      </c>
      <c r="AJ234" s="126">
        <v>0.54166666666666696</v>
      </c>
      <c r="AK234" s="126">
        <v>0.58333333333333304</v>
      </c>
      <c r="AL234" s="126">
        <v>0.625</v>
      </c>
      <c r="AM234" s="126">
        <v>0.66666666666666696</v>
      </c>
      <c r="AN234" s="126">
        <v>0.70833333333333304</v>
      </c>
      <c r="AO234" s="126">
        <v>0.72916666666666663</v>
      </c>
      <c r="AP234" s="126">
        <v>0.75</v>
      </c>
      <c r="AQ234" s="126">
        <v>0.77083333333333337</v>
      </c>
      <c r="AR234" s="126">
        <v>0.79166666666666663</v>
      </c>
      <c r="AS234" s="126">
        <v>0.8125</v>
      </c>
      <c r="AT234" s="125">
        <v>0.83333333333333337</v>
      </c>
      <c r="AU234" s="125">
        <v>0.85416666666666663</v>
      </c>
      <c r="AV234" s="125">
        <v>0.875</v>
      </c>
      <c r="AW234" s="125">
        <v>0.91666666666666696</v>
      </c>
      <c r="AX234" s="125">
        <v>0.95833333333333304</v>
      </c>
    </row>
    <row r="235" spans="1:50" x14ac:dyDescent="0.25">
      <c r="A235" s="119" t="s">
        <v>98</v>
      </c>
      <c r="B235" s="120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 t="s">
        <v>99</v>
      </c>
      <c r="T235" s="127">
        <f t="shared" ref="T235:AX235" si="49">B79</f>
        <v>1782.84</v>
      </c>
      <c r="U235" s="127">
        <f t="shared" si="49"/>
        <v>1774.34</v>
      </c>
      <c r="V235" s="127">
        <f t="shared" si="49"/>
        <v>1779.44</v>
      </c>
      <c r="W235" s="127">
        <f t="shared" si="49"/>
        <v>1679.34</v>
      </c>
      <c r="X235" s="127">
        <f t="shared" si="49"/>
        <v>1677.74</v>
      </c>
      <c r="Y235" s="127">
        <f t="shared" si="49"/>
        <v>1656.74</v>
      </c>
      <c r="Z235" s="127">
        <f t="shared" si="49"/>
        <v>1655.14</v>
      </c>
      <c r="AA235" s="127">
        <f t="shared" si="49"/>
        <v>1650.74</v>
      </c>
      <c r="AB235" s="127">
        <f t="shared" si="49"/>
        <v>1719.04</v>
      </c>
      <c r="AC235" s="127">
        <f t="shared" si="49"/>
        <v>1717.24</v>
      </c>
      <c r="AD235" s="127">
        <f t="shared" si="49"/>
        <v>1723.74</v>
      </c>
      <c r="AE235" s="127">
        <f t="shared" si="49"/>
        <v>1737.84</v>
      </c>
      <c r="AF235" s="127">
        <f t="shared" si="49"/>
        <v>1735.74</v>
      </c>
      <c r="AG235" s="127">
        <f t="shared" si="49"/>
        <v>1718.2400000000002</v>
      </c>
      <c r="AH235" s="127">
        <f t="shared" si="49"/>
        <v>1767.4400000000003</v>
      </c>
      <c r="AI235" s="127">
        <f t="shared" si="49"/>
        <v>1786.8400000000001</v>
      </c>
      <c r="AJ235" s="127">
        <f t="shared" si="49"/>
        <v>1804.84</v>
      </c>
      <c r="AK235" s="127">
        <f t="shared" si="49"/>
        <v>1766.44</v>
      </c>
      <c r="AL235" s="127">
        <f t="shared" si="49"/>
        <v>1766.84</v>
      </c>
      <c r="AM235" s="127">
        <f t="shared" si="49"/>
        <v>1793.84</v>
      </c>
      <c r="AN235" s="127">
        <f t="shared" si="49"/>
        <v>1798.74</v>
      </c>
      <c r="AO235" s="127">
        <f t="shared" si="49"/>
        <v>1798.74</v>
      </c>
      <c r="AP235" s="127">
        <f t="shared" si="49"/>
        <v>1792.04</v>
      </c>
      <c r="AQ235" s="127">
        <f t="shared" si="49"/>
        <v>1788.04</v>
      </c>
      <c r="AR235" s="127">
        <f t="shared" si="49"/>
        <v>1818.1399999999999</v>
      </c>
      <c r="AS235" s="127">
        <f t="shared" si="49"/>
        <v>1877.1399999999999</v>
      </c>
      <c r="AT235" s="127">
        <f t="shared" si="49"/>
        <v>1862.5399999999997</v>
      </c>
      <c r="AU235" s="127">
        <f t="shared" si="49"/>
        <v>1822.84</v>
      </c>
      <c r="AV235" s="127">
        <f t="shared" si="49"/>
        <v>1817.04</v>
      </c>
      <c r="AW235" s="127">
        <f t="shared" si="49"/>
        <v>1787.6399999999999</v>
      </c>
      <c r="AX235" s="127">
        <f t="shared" si="49"/>
        <v>1782.9399999999998</v>
      </c>
    </row>
    <row r="236" spans="1:50" x14ac:dyDescent="0.25">
      <c r="A236" s="119" t="s">
        <v>100</v>
      </c>
      <c r="B236" s="120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79"/>
      <c r="AE236" s="179"/>
      <c r="AF236" s="179"/>
      <c r="AG236" s="179"/>
      <c r="AH236" s="179"/>
    </row>
    <row r="237" spans="1:50" x14ac:dyDescent="0.25">
      <c r="A237" s="119" t="s">
        <v>101</v>
      </c>
      <c r="B237" s="120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  <c r="AE237" s="179"/>
      <c r="AF237" s="179"/>
      <c r="AG237" s="179"/>
      <c r="AH237" s="179"/>
    </row>
    <row r="238" spans="1:50" x14ac:dyDescent="0.25">
      <c r="A238" s="119" t="s">
        <v>102</v>
      </c>
      <c r="B238" s="120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  <c r="AE238" s="179"/>
      <c r="AF238" s="179"/>
      <c r="AG238" s="179"/>
      <c r="AH238" s="179"/>
    </row>
    <row r="239" spans="1:50" x14ac:dyDescent="0.25">
      <c r="A239" s="119" t="s">
        <v>103</v>
      </c>
      <c r="B239" s="128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</row>
    <row r="240" spans="1:50" x14ac:dyDescent="0.25">
      <c r="A240" s="119" t="s">
        <v>104</v>
      </c>
      <c r="B240" s="120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  <c r="AD240" s="179"/>
      <c r="AE240" s="179"/>
      <c r="AF240" s="179"/>
      <c r="AG240" s="179"/>
      <c r="AH240" s="179"/>
    </row>
    <row r="241" spans="1:36" x14ac:dyDescent="0.25"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  <c r="AC241" s="179"/>
      <c r="AD241" s="179"/>
      <c r="AE241" s="179"/>
      <c r="AF241" s="179"/>
      <c r="AG241" s="179"/>
      <c r="AH241" s="179"/>
    </row>
    <row r="242" spans="1:36" x14ac:dyDescent="0.25"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  <c r="AC242" s="179"/>
      <c r="AD242" s="179"/>
      <c r="AE242" s="179"/>
      <c r="AF242" s="179"/>
      <c r="AG242" s="179"/>
      <c r="AH242" s="179"/>
    </row>
    <row r="243" spans="1:36" x14ac:dyDescent="0.25"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  <c r="AC243" s="179"/>
      <c r="AD243" s="179"/>
      <c r="AE243" s="179"/>
      <c r="AF243" s="179"/>
      <c r="AG243" s="179"/>
      <c r="AH243" s="179"/>
    </row>
    <row r="244" spans="1:36" x14ac:dyDescent="0.25"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  <c r="AC244" s="179"/>
      <c r="AD244" s="179"/>
      <c r="AE244" s="179"/>
      <c r="AF244" s="179"/>
      <c r="AG244" s="179"/>
      <c r="AH244" s="179"/>
    </row>
    <row r="245" spans="1:36" x14ac:dyDescent="0.25"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  <c r="AG245" s="179"/>
      <c r="AH245" s="179"/>
    </row>
    <row r="246" spans="1:36" x14ac:dyDescent="0.25"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  <c r="AC246" s="179"/>
      <c r="AD246" s="179"/>
      <c r="AE246" s="179"/>
      <c r="AF246" s="179"/>
      <c r="AG246" s="179"/>
      <c r="AH246" s="179"/>
    </row>
    <row r="247" spans="1:36" x14ac:dyDescent="0.25"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  <c r="AC247" s="179"/>
      <c r="AD247" s="179"/>
      <c r="AE247" s="179"/>
      <c r="AF247" s="179"/>
      <c r="AG247" s="179"/>
      <c r="AH247" s="179"/>
      <c r="AJ247"/>
    </row>
    <row r="248" spans="1:36" x14ac:dyDescent="0.25"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  <c r="AC248" s="179"/>
      <c r="AD248" s="179"/>
      <c r="AE248" s="179"/>
      <c r="AF248" s="179"/>
      <c r="AG248" s="179"/>
      <c r="AH248" s="179"/>
      <c r="AJ248"/>
    </row>
    <row r="249" spans="1:36" x14ac:dyDescent="0.25"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  <c r="AC249" s="179"/>
      <c r="AD249" s="179"/>
      <c r="AE249" s="179"/>
      <c r="AF249" s="179"/>
      <c r="AG249" s="179"/>
      <c r="AH249" s="179"/>
      <c r="AJ249"/>
    </row>
    <row r="250" spans="1:36" x14ac:dyDescent="0.25"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  <c r="AC250" s="179"/>
      <c r="AD250" s="179"/>
      <c r="AE250" s="179"/>
      <c r="AF250" s="179"/>
      <c r="AG250" s="179"/>
      <c r="AH250" s="179"/>
      <c r="AJ250"/>
    </row>
    <row r="251" spans="1:36" x14ac:dyDescent="0.25"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  <c r="AE251" s="179"/>
      <c r="AF251" s="179"/>
      <c r="AG251" s="179"/>
      <c r="AH251" s="179"/>
      <c r="AJ251"/>
    </row>
    <row r="252" spans="1:36" x14ac:dyDescent="0.25"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  <c r="AC252" s="179"/>
      <c r="AD252" s="179"/>
      <c r="AE252" s="179"/>
      <c r="AF252" s="179"/>
      <c r="AG252" s="179"/>
      <c r="AH252" s="179"/>
      <c r="AJ252"/>
    </row>
    <row r="253" spans="1:36" x14ac:dyDescent="0.25"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J253"/>
    </row>
    <row r="254" spans="1:36" x14ac:dyDescent="0.25"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  <c r="AE254" s="179"/>
      <c r="AF254" s="179"/>
      <c r="AG254" s="179"/>
      <c r="AH254" s="179"/>
      <c r="AJ254"/>
    </row>
    <row r="255" spans="1:36" x14ac:dyDescent="0.25"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  <c r="AA255" s="179"/>
      <c r="AB255" s="179"/>
      <c r="AC255" s="179"/>
      <c r="AD255" s="179"/>
      <c r="AE255" s="179"/>
      <c r="AF255" s="179"/>
      <c r="AG255" s="179"/>
      <c r="AH255" s="179"/>
      <c r="AJ255"/>
    </row>
    <row r="256" spans="1:36" x14ac:dyDescent="0.25">
      <c r="A256" s="129" t="s">
        <v>89</v>
      </c>
      <c r="B256" s="130">
        <f t="shared" ref="B256:AE256" si="50">C220</f>
        <v>0.64</v>
      </c>
      <c r="C256" s="130">
        <f t="shared" si="50"/>
        <v>0.64</v>
      </c>
      <c r="D256" s="130">
        <f t="shared" si="50"/>
        <v>0.64</v>
      </c>
      <c r="E256" s="130">
        <f t="shared" si="50"/>
        <v>0.64</v>
      </c>
      <c r="F256" s="130">
        <f t="shared" si="50"/>
        <v>0.64</v>
      </c>
      <c r="G256" s="130">
        <f t="shared" si="50"/>
        <v>0.64</v>
      </c>
      <c r="H256" s="130">
        <f t="shared" si="50"/>
        <v>0.64</v>
      </c>
      <c r="I256" s="130">
        <f t="shared" si="50"/>
        <v>0.64</v>
      </c>
      <c r="J256" s="130">
        <f t="shared" si="50"/>
        <v>0.64</v>
      </c>
      <c r="K256" s="130">
        <f t="shared" si="50"/>
        <v>0.64</v>
      </c>
      <c r="L256" s="130">
        <f t="shared" si="50"/>
        <v>0.64</v>
      </c>
      <c r="M256" s="130">
        <f t="shared" si="50"/>
        <v>0.64</v>
      </c>
      <c r="N256" s="130">
        <f t="shared" si="50"/>
        <v>0.64</v>
      </c>
      <c r="O256" s="130">
        <f t="shared" si="50"/>
        <v>0.64</v>
      </c>
      <c r="P256" s="130">
        <f t="shared" si="50"/>
        <v>0</v>
      </c>
      <c r="Q256" s="130">
        <f t="shared" si="50"/>
        <v>0</v>
      </c>
      <c r="R256" s="130">
        <f t="shared" si="50"/>
        <v>0</v>
      </c>
      <c r="S256" s="130">
        <f t="shared" si="50"/>
        <v>0</v>
      </c>
      <c r="T256" s="130">
        <f t="shared" si="50"/>
        <v>0</v>
      </c>
      <c r="U256" s="130">
        <f t="shared" si="50"/>
        <v>0</v>
      </c>
      <c r="V256" s="130">
        <f t="shared" si="50"/>
        <v>0</v>
      </c>
      <c r="W256" s="130">
        <f t="shared" si="50"/>
        <v>0</v>
      </c>
      <c r="X256" s="130">
        <f t="shared" si="50"/>
        <v>0</v>
      </c>
      <c r="Y256" s="130">
        <f t="shared" si="50"/>
        <v>0</v>
      </c>
      <c r="Z256" s="130">
        <f t="shared" si="50"/>
        <v>0</v>
      </c>
      <c r="AA256" s="130">
        <f t="shared" si="50"/>
        <v>0</v>
      </c>
      <c r="AB256" s="130">
        <f t="shared" si="50"/>
        <v>0</v>
      </c>
      <c r="AC256" s="130">
        <f t="shared" si="50"/>
        <v>0</v>
      </c>
      <c r="AD256" s="130">
        <f t="shared" si="50"/>
        <v>0</v>
      </c>
      <c r="AE256" s="130">
        <f t="shared" si="50"/>
        <v>0</v>
      </c>
      <c r="AF256" s="130">
        <f>B220</f>
        <v>0</v>
      </c>
      <c r="AG256" s="179"/>
      <c r="AH256" s="179"/>
      <c r="AJ256"/>
    </row>
    <row r="257" spans="1:36" x14ac:dyDescent="0.25">
      <c r="A257" s="88" t="str">
        <f>A224</f>
        <v>KGA</v>
      </c>
      <c r="B257" s="88" t="str">
        <f>IF(B224&lt;100,"",B224-520)</f>
        <v/>
      </c>
      <c r="C257" s="88" t="str">
        <f t="shared" ref="C257:AF257" si="51">IF(C224&lt;100,"",C224-520)</f>
        <v/>
      </c>
      <c r="D257" s="88" t="str">
        <f t="shared" si="51"/>
        <v/>
      </c>
      <c r="E257" s="88" t="str">
        <f t="shared" si="51"/>
        <v/>
      </c>
      <c r="F257" s="88" t="str">
        <f t="shared" si="51"/>
        <v/>
      </c>
      <c r="G257" s="88" t="str">
        <f t="shared" si="51"/>
        <v/>
      </c>
      <c r="H257" s="88" t="str">
        <f t="shared" si="51"/>
        <v/>
      </c>
      <c r="I257" s="88" t="str">
        <f t="shared" si="51"/>
        <v/>
      </c>
      <c r="J257" s="88" t="str">
        <f t="shared" si="51"/>
        <v/>
      </c>
      <c r="K257" s="88" t="str">
        <f t="shared" si="51"/>
        <v/>
      </c>
      <c r="L257" s="88" t="str">
        <f t="shared" si="51"/>
        <v/>
      </c>
      <c r="M257" s="88" t="str">
        <f t="shared" si="51"/>
        <v/>
      </c>
      <c r="N257" s="88" t="str">
        <f t="shared" si="51"/>
        <v/>
      </c>
      <c r="O257" s="88" t="str">
        <f t="shared" si="51"/>
        <v/>
      </c>
      <c r="P257" s="88" t="str">
        <f t="shared" si="51"/>
        <v/>
      </c>
      <c r="Q257" s="88" t="str">
        <f t="shared" si="51"/>
        <v/>
      </c>
      <c r="R257" s="88" t="str">
        <f t="shared" si="51"/>
        <v/>
      </c>
      <c r="S257" s="88" t="str">
        <f t="shared" si="51"/>
        <v/>
      </c>
      <c r="T257" s="88" t="str">
        <f t="shared" si="51"/>
        <v/>
      </c>
      <c r="U257" s="88" t="str">
        <f t="shared" si="51"/>
        <v/>
      </c>
      <c r="V257" s="88" t="str">
        <f t="shared" si="51"/>
        <v/>
      </c>
      <c r="W257" s="88" t="str">
        <f t="shared" si="51"/>
        <v/>
      </c>
      <c r="X257" s="88" t="str">
        <f t="shared" si="51"/>
        <v/>
      </c>
      <c r="Y257" s="88" t="str">
        <f t="shared" si="51"/>
        <v/>
      </c>
      <c r="Z257" s="88" t="str">
        <f t="shared" si="51"/>
        <v/>
      </c>
      <c r="AA257" s="88" t="str">
        <f t="shared" si="51"/>
        <v/>
      </c>
      <c r="AB257" s="88" t="str">
        <f t="shared" si="51"/>
        <v/>
      </c>
      <c r="AC257" s="88" t="str">
        <f t="shared" si="51"/>
        <v/>
      </c>
      <c r="AD257" s="88" t="str">
        <f t="shared" si="51"/>
        <v/>
      </c>
      <c r="AE257" s="88" t="str">
        <f t="shared" si="51"/>
        <v/>
      </c>
      <c r="AF257" s="88" t="str">
        <f t="shared" si="51"/>
        <v/>
      </c>
      <c r="AG257" s="179"/>
      <c r="AH257" s="179"/>
      <c r="AJ257"/>
    </row>
    <row r="258" spans="1:36" x14ac:dyDescent="0.25">
      <c r="A258" s="88" t="str">
        <f>A225</f>
        <v>MMRS</v>
      </c>
      <c r="B258" s="88" t="str">
        <f t="shared" ref="B258:AF258" si="52">IF(B225&lt;100,"",B225-620)</f>
        <v/>
      </c>
      <c r="C258" s="88" t="str">
        <f t="shared" si="52"/>
        <v/>
      </c>
      <c r="D258" s="88" t="str">
        <f t="shared" si="52"/>
        <v/>
      </c>
      <c r="E258" s="88" t="str">
        <f t="shared" si="52"/>
        <v/>
      </c>
      <c r="F258" s="88" t="str">
        <f t="shared" si="52"/>
        <v/>
      </c>
      <c r="G258" s="88" t="str">
        <f t="shared" si="52"/>
        <v/>
      </c>
      <c r="H258" s="88" t="str">
        <f t="shared" si="52"/>
        <v/>
      </c>
      <c r="I258" s="88" t="str">
        <f t="shared" si="52"/>
        <v/>
      </c>
      <c r="J258" s="88" t="str">
        <f t="shared" si="52"/>
        <v/>
      </c>
      <c r="K258" s="88" t="str">
        <f t="shared" si="52"/>
        <v/>
      </c>
      <c r="L258" s="88" t="str">
        <f t="shared" si="52"/>
        <v/>
      </c>
      <c r="M258" s="88" t="str">
        <f t="shared" si="52"/>
        <v/>
      </c>
      <c r="N258" s="88" t="str">
        <f t="shared" si="52"/>
        <v/>
      </c>
      <c r="O258" s="88" t="str">
        <f t="shared" si="52"/>
        <v/>
      </c>
      <c r="P258" s="88" t="str">
        <f t="shared" si="52"/>
        <v/>
      </c>
      <c r="Q258" s="88" t="str">
        <f t="shared" si="52"/>
        <v/>
      </c>
      <c r="R258" s="88" t="str">
        <f t="shared" si="52"/>
        <v/>
      </c>
      <c r="S258" s="88" t="str">
        <f t="shared" si="52"/>
        <v/>
      </c>
      <c r="T258" s="88" t="str">
        <f t="shared" si="52"/>
        <v/>
      </c>
      <c r="U258" s="88" t="str">
        <f t="shared" si="52"/>
        <v/>
      </c>
      <c r="V258" s="88" t="str">
        <f t="shared" si="52"/>
        <v/>
      </c>
      <c r="W258" s="88" t="str">
        <f t="shared" si="52"/>
        <v/>
      </c>
      <c r="X258" s="88" t="str">
        <f t="shared" si="52"/>
        <v/>
      </c>
      <c r="Y258" s="88" t="str">
        <f t="shared" si="52"/>
        <v/>
      </c>
      <c r="Z258" s="88" t="str">
        <f t="shared" si="52"/>
        <v/>
      </c>
      <c r="AA258" s="88" t="str">
        <f t="shared" si="52"/>
        <v/>
      </c>
      <c r="AB258" s="88" t="str">
        <f t="shared" si="52"/>
        <v/>
      </c>
      <c r="AC258" s="88" t="str">
        <f t="shared" si="52"/>
        <v/>
      </c>
      <c r="AD258" s="88" t="str">
        <f t="shared" si="52"/>
        <v/>
      </c>
      <c r="AE258" s="88" t="str">
        <f t="shared" si="52"/>
        <v/>
      </c>
      <c r="AF258" s="88" t="str">
        <f t="shared" si="52"/>
        <v/>
      </c>
      <c r="AG258" s="179"/>
      <c r="AH258" s="179"/>
      <c r="AJ258"/>
    </row>
    <row r="259" spans="1:36" x14ac:dyDescent="0.25">
      <c r="A259" s="88" t="str">
        <f>A226</f>
        <v>MRS</v>
      </c>
      <c r="B259" s="88" t="str">
        <f t="shared" ref="B259:AF259" si="53">IF(B226&lt;100,"",B226-330)</f>
        <v/>
      </c>
      <c r="C259" s="88" t="str">
        <f t="shared" si="53"/>
        <v/>
      </c>
      <c r="D259" s="88" t="str">
        <f t="shared" si="53"/>
        <v/>
      </c>
      <c r="E259" s="88" t="str">
        <f t="shared" si="53"/>
        <v/>
      </c>
      <c r="F259" s="88" t="str">
        <f t="shared" si="53"/>
        <v/>
      </c>
      <c r="G259" s="88" t="str">
        <f t="shared" si="53"/>
        <v/>
      </c>
      <c r="H259" s="88" t="str">
        <f t="shared" si="53"/>
        <v/>
      </c>
      <c r="I259" s="88" t="str">
        <f t="shared" si="53"/>
        <v/>
      </c>
      <c r="J259" s="88" t="str">
        <f t="shared" si="53"/>
        <v/>
      </c>
      <c r="K259" s="88" t="str">
        <f t="shared" si="53"/>
        <v/>
      </c>
      <c r="L259" s="88" t="str">
        <f t="shared" si="53"/>
        <v/>
      </c>
      <c r="M259" s="88" t="str">
        <f t="shared" si="53"/>
        <v/>
      </c>
      <c r="N259" s="88" t="str">
        <f t="shared" si="53"/>
        <v/>
      </c>
      <c r="O259" s="88" t="str">
        <f t="shared" si="53"/>
        <v/>
      </c>
      <c r="P259" s="88" t="str">
        <f t="shared" si="53"/>
        <v/>
      </c>
      <c r="Q259" s="88" t="str">
        <f t="shared" si="53"/>
        <v/>
      </c>
      <c r="R259" s="88" t="str">
        <f t="shared" si="53"/>
        <v/>
      </c>
      <c r="S259" s="88" t="str">
        <f t="shared" si="53"/>
        <v/>
      </c>
      <c r="T259" s="88" t="str">
        <f t="shared" si="53"/>
        <v/>
      </c>
      <c r="U259" s="88" t="str">
        <f t="shared" si="53"/>
        <v/>
      </c>
      <c r="V259" s="88" t="str">
        <f t="shared" si="53"/>
        <v/>
      </c>
      <c r="W259" s="88" t="str">
        <f t="shared" si="53"/>
        <v/>
      </c>
      <c r="X259" s="88" t="str">
        <f t="shared" si="53"/>
        <v/>
      </c>
      <c r="Y259" s="88" t="str">
        <f t="shared" si="53"/>
        <v/>
      </c>
      <c r="Z259" s="88" t="str">
        <f t="shared" si="53"/>
        <v/>
      </c>
      <c r="AA259" s="88" t="str">
        <f t="shared" si="53"/>
        <v/>
      </c>
      <c r="AB259" s="88" t="str">
        <f t="shared" si="53"/>
        <v/>
      </c>
      <c r="AC259" s="88" t="str">
        <f t="shared" si="53"/>
        <v/>
      </c>
      <c r="AD259" s="88" t="str">
        <f t="shared" si="53"/>
        <v/>
      </c>
      <c r="AE259" s="88" t="str">
        <f t="shared" si="53"/>
        <v/>
      </c>
      <c r="AF259" s="88" t="str">
        <f t="shared" si="53"/>
        <v/>
      </c>
      <c r="AG259" s="179"/>
      <c r="AH259" s="179"/>
      <c r="AJ259"/>
    </row>
    <row r="260" spans="1:36" x14ac:dyDescent="0.25">
      <c r="A260" s="88" t="str">
        <f>A227</f>
        <v>KL 1</v>
      </c>
      <c r="B260" s="88" t="str">
        <f>IF(B227&lt;100,"",B227-1500)</f>
        <v/>
      </c>
      <c r="C260" s="88" t="str">
        <f t="shared" ref="C260:AF260" si="54">IF(C227&lt;100,"",C227-1500)</f>
        <v/>
      </c>
      <c r="D260" s="88" t="str">
        <f t="shared" si="54"/>
        <v/>
      </c>
      <c r="E260" s="88" t="str">
        <f t="shared" si="54"/>
        <v/>
      </c>
      <c r="F260" s="88" t="str">
        <f t="shared" si="54"/>
        <v/>
      </c>
      <c r="G260" s="88" t="str">
        <f t="shared" si="54"/>
        <v/>
      </c>
      <c r="H260" s="88" t="str">
        <f t="shared" si="54"/>
        <v/>
      </c>
      <c r="I260" s="88" t="str">
        <f t="shared" si="54"/>
        <v/>
      </c>
      <c r="J260" s="88" t="str">
        <f t="shared" si="54"/>
        <v/>
      </c>
      <c r="K260" s="88" t="str">
        <f t="shared" si="54"/>
        <v/>
      </c>
      <c r="L260" s="88" t="str">
        <f t="shared" si="54"/>
        <v/>
      </c>
      <c r="M260" s="88" t="str">
        <f t="shared" si="54"/>
        <v/>
      </c>
      <c r="N260" s="88" t="str">
        <f t="shared" si="54"/>
        <v/>
      </c>
      <c r="O260" s="88" t="str">
        <f t="shared" si="54"/>
        <v/>
      </c>
      <c r="P260" s="88" t="str">
        <f t="shared" si="54"/>
        <v/>
      </c>
      <c r="Q260" s="88" t="str">
        <f t="shared" si="54"/>
        <v/>
      </c>
      <c r="R260" s="88" t="str">
        <f t="shared" si="54"/>
        <v/>
      </c>
      <c r="S260" s="88" t="str">
        <f t="shared" si="54"/>
        <v/>
      </c>
      <c r="T260" s="88" t="str">
        <f t="shared" si="54"/>
        <v/>
      </c>
      <c r="U260" s="88" t="str">
        <f t="shared" si="54"/>
        <v/>
      </c>
      <c r="V260" s="88" t="str">
        <f t="shared" si="54"/>
        <v/>
      </c>
      <c r="W260" s="88" t="str">
        <f t="shared" si="54"/>
        <v/>
      </c>
      <c r="X260" s="88" t="str">
        <f t="shared" si="54"/>
        <v/>
      </c>
      <c r="Y260" s="88" t="str">
        <f t="shared" si="54"/>
        <v/>
      </c>
      <c r="Z260" s="88" t="str">
        <f t="shared" si="54"/>
        <v/>
      </c>
      <c r="AA260" s="88" t="str">
        <f t="shared" si="54"/>
        <v/>
      </c>
      <c r="AB260" s="88" t="str">
        <f t="shared" si="54"/>
        <v/>
      </c>
      <c r="AC260" s="88" t="str">
        <f t="shared" si="54"/>
        <v/>
      </c>
      <c r="AD260" s="88" t="str">
        <f t="shared" si="54"/>
        <v/>
      </c>
      <c r="AE260" s="88" t="str">
        <f t="shared" si="54"/>
        <v/>
      </c>
      <c r="AF260" s="88" t="str">
        <f t="shared" si="54"/>
        <v/>
      </c>
      <c r="AG260" s="179"/>
      <c r="AH260" s="179"/>
      <c r="AJ260"/>
    </row>
    <row r="261" spans="1:36" x14ac:dyDescent="0.25"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  <c r="AJ261"/>
    </row>
    <row r="262" spans="1:36" x14ac:dyDescent="0.25"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  <c r="AE262" s="179"/>
      <c r="AF262" s="179"/>
      <c r="AG262" s="179"/>
      <c r="AH262" s="179"/>
      <c r="AJ262"/>
    </row>
    <row r="263" spans="1:36" x14ac:dyDescent="0.25"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  <c r="AC263" s="179"/>
      <c r="AD263" s="179"/>
      <c r="AE263" s="179"/>
      <c r="AF263" s="179"/>
      <c r="AG263" s="179"/>
      <c r="AH263" s="179"/>
      <c r="AJ263"/>
    </row>
    <row r="264" spans="1:36" x14ac:dyDescent="0.25"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  <c r="AC264" s="179"/>
      <c r="AD264" s="179"/>
      <c r="AE264" s="179"/>
      <c r="AF264" s="179"/>
      <c r="AG264" s="179"/>
      <c r="AH264" s="179"/>
      <c r="AJ264"/>
    </row>
    <row r="265" spans="1:36" x14ac:dyDescent="0.25"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  <c r="AC265" s="179"/>
      <c r="AD265" s="179"/>
      <c r="AE265" s="179"/>
      <c r="AF265" s="179"/>
      <c r="AG265" s="179"/>
      <c r="AH265" s="179"/>
      <c r="AJ265"/>
    </row>
    <row r="266" spans="1:36" x14ac:dyDescent="0.25"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  <c r="AC266" s="179"/>
      <c r="AD266" s="179"/>
      <c r="AE266" s="179"/>
      <c r="AF266" s="179"/>
      <c r="AG266" s="179"/>
      <c r="AH266" s="179"/>
      <c r="AJ266"/>
    </row>
    <row r="267" spans="1:36" x14ac:dyDescent="0.25"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  <c r="AA267" s="179"/>
      <c r="AB267" s="179"/>
      <c r="AC267" s="179"/>
      <c r="AD267" s="179"/>
      <c r="AE267" s="179"/>
      <c r="AF267" s="179"/>
      <c r="AJ267"/>
    </row>
    <row r="491" spans="36:38" x14ac:dyDescent="0.25">
      <c r="AK491" s="1"/>
    </row>
    <row r="492" spans="36:38" x14ac:dyDescent="0.25">
      <c r="AK492" s="1"/>
      <c r="AL492" s="1"/>
    </row>
    <row r="493" spans="36:38" x14ac:dyDescent="0.25">
      <c r="AJ49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3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35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B9:AF10 C99:AF105">
    <cfRule type="expression" dxfId="992" priority="331">
      <formula>B$9&gt;=20/24</formula>
    </cfRule>
    <cfRule type="expression" dxfId="991" priority="332">
      <formula>AND(B$9&gt;=14/24,B$9&lt;20/24)</formula>
    </cfRule>
    <cfRule type="expression" dxfId="990" priority="333">
      <formula>AND(B$9&gt;=8/24,B$9&lt;14/24)</formula>
    </cfRule>
    <cfRule type="expression" dxfId="989" priority="334">
      <formula>B$9&lt;8/24</formula>
    </cfRule>
  </conditionalFormatting>
  <conditionalFormatting sqref="AL4:AL6">
    <cfRule type="iconSet" priority="330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988" priority="326">
      <formula>S$9&gt;=20/24</formula>
    </cfRule>
    <cfRule type="expression" dxfId="987" priority="327">
      <formula>AND(S$9&gt;=14/24,S$9&lt;20/24)</formula>
    </cfRule>
    <cfRule type="expression" dxfId="986" priority="328">
      <formula>AND(S$9&gt;=8/24,S$9&lt;14/24)</formula>
    </cfRule>
    <cfRule type="expression" dxfId="985" priority="329">
      <formula>S$9&lt;8/24</formula>
    </cfRule>
  </conditionalFormatting>
  <conditionalFormatting sqref="AG55 M11:P11 M16:P16 S37:AF37 Q11:AF16 M35:AF35">
    <cfRule type="expression" dxfId="984" priority="325">
      <formula>M11&gt;$AG11</formula>
    </cfRule>
  </conditionalFormatting>
  <conditionalFormatting sqref="A89:A102 A11:A14 A49:A76 A85:A87 A191:A221 A16:A30 A36:A47 A107:A178 A32:A33 A81:A83 A78:A79">
    <cfRule type="expression" dxfId="983" priority="324">
      <formula>$AH11=0</formula>
    </cfRule>
  </conditionalFormatting>
  <conditionalFormatting sqref="A103">
    <cfRule type="expression" dxfId="982" priority="323">
      <formula>$AH103=0</formula>
    </cfRule>
  </conditionalFormatting>
  <conditionalFormatting sqref="AL3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981" priority="321">
      <formula>$AH35=0</formula>
    </cfRule>
  </conditionalFormatting>
  <conditionalFormatting sqref="A88">
    <cfRule type="expression" dxfId="980" priority="320">
      <formula>$AH88=0</formula>
    </cfRule>
  </conditionalFormatting>
  <conditionalFormatting sqref="A15">
    <cfRule type="expression" dxfId="979" priority="319">
      <formula>$AH15=0</formula>
    </cfRule>
  </conditionalFormatting>
  <conditionalFormatting sqref="A185:A190">
    <cfRule type="expression" dxfId="978" priority="318">
      <formula>$AH185=0</formula>
    </cfRule>
  </conditionalFormatting>
  <conditionalFormatting sqref="A179:A184">
    <cfRule type="expression" dxfId="977" priority="317">
      <formula>$AH179=0</formula>
    </cfRule>
  </conditionalFormatting>
  <conditionalFormatting sqref="A48">
    <cfRule type="expression" dxfId="976" priority="316">
      <formula>$AH48=0</formula>
    </cfRule>
  </conditionalFormatting>
  <conditionalFormatting sqref="A84">
    <cfRule type="expression" dxfId="975" priority="315">
      <formula>$AH84=0</formula>
    </cfRule>
  </conditionalFormatting>
  <conditionalFormatting sqref="C89:AF89">
    <cfRule type="expression" dxfId="974" priority="311">
      <formula>C$9&gt;=20/24</formula>
    </cfRule>
    <cfRule type="expression" dxfId="973" priority="312">
      <formula>AND(C$9&gt;=14/24,C$9&lt;20/24)</formula>
    </cfRule>
    <cfRule type="expression" dxfId="972" priority="313">
      <formula>AND(C$9&gt;=8/24,C$9&lt;14/24)</formula>
    </cfRule>
    <cfRule type="expression" dxfId="971" priority="314">
      <formula>C$9&lt;8/24</formula>
    </cfRule>
  </conditionalFormatting>
  <conditionalFormatting sqref="AL34">
    <cfRule type="iconSet" priority="31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970" priority="337">
      <formula>C$9&gt;=20/24</formula>
    </cfRule>
    <cfRule type="expression" dxfId="969" priority="338">
      <formula>AND(C$9&gt;=14/24,C$9&lt;20/24)</formula>
    </cfRule>
    <cfRule type="expression" dxfId="968" priority="339">
      <formula>AND(C$9&gt;=8/24,C$9&lt;14/24)</formula>
    </cfRule>
    <cfRule type="expression" dxfId="967" priority="340">
      <formula>C$9&lt;8/24</formula>
    </cfRule>
  </conditionalFormatting>
  <conditionalFormatting sqref="A222">
    <cfRule type="expression" dxfId="966" priority="341">
      <formula>$AH222=0</formula>
    </cfRule>
  </conditionalFormatting>
  <conditionalFormatting sqref="AG234">
    <cfRule type="expression" dxfId="965" priority="342">
      <formula>B$9&gt;=20/24</formula>
    </cfRule>
    <cfRule type="expression" dxfId="964" priority="343">
      <formula>AND(B$9&gt;=14/24,B$9&lt;20/24)</formula>
    </cfRule>
    <cfRule type="expression" dxfId="963" priority="344">
      <formula>AND(B$9&gt;=8/24,B$9&lt;14/24)</formula>
    </cfRule>
    <cfRule type="expression" dxfId="962" priority="345">
      <formula>B$9&lt;8/24</formula>
    </cfRule>
  </conditionalFormatting>
  <conditionalFormatting sqref="S8">
    <cfRule type="expression" dxfId="961" priority="306">
      <formula>U$9&gt;=20/24</formula>
    </cfRule>
    <cfRule type="expression" dxfId="960" priority="307">
      <formula>AND(U$9&gt;=14/24,U$9&lt;20/24)</formula>
    </cfRule>
    <cfRule type="expression" dxfId="959" priority="308">
      <formula>AND(U$9&gt;=8/24,U$9&lt;14/24)</formula>
    </cfRule>
    <cfRule type="expression" dxfId="958" priority="309">
      <formula>U$9&lt;8/24</formula>
    </cfRule>
  </conditionalFormatting>
  <conditionalFormatting sqref="AB8">
    <cfRule type="expression" dxfId="957" priority="302">
      <formula>AD$9&gt;=20/24</formula>
    </cfRule>
    <cfRule type="expression" dxfId="956" priority="303">
      <formula>AND(AD$9&gt;=14/24,AD$9&lt;20/24)</formula>
    </cfRule>
    <cfRule type="expression" dxfId="955" priority="304">
      <formula>AND(AD$9&gt;=8/24,AD$9&lt;14/24)</formula>
    </cfRule>
    <cfRule type="expression" dxfId="954" priority="305">
      <formula>AD$9&lt;8/24</formula>
    </cfRule>
  </conditionalFormatting>
  <conditionalFormatting sqref="AH234:AX234">
    <cfRule type="expression" dxfId="953" priority="346">
      <formula>AG$9&gt;=20/24</formula>
    </cfRule>
    <cfRule type="expression" dxfId="952" priority="347">
      <formula>AND(AG$9&gt;=14/24,AG$9&lt;20/24)</formula>
    </cfRule>
    <cfRule type="expression" dxfId="951" priority="348">
      <formula>AND(AG$9&gt;=8/24,AG$9&lt;14/24)</formula>
    </cfRule>
    <cfRule type="expression" dxfId="950" priority="349">
      <formula>AG$9&lt;8/24</formula>
    </cfRule>
  </conditionalFormatting>
  <conditionalFormatting sqref="T234">
    <cfRule type="expression" dxfId="949" priority="350">
      <formula>AX$9&gt;=20/24</formula>
    </cfRule>
    <cfRule type="expression" dxfId="948" priority="351">
      <formula>AND(AX$9&gt;=14/24,AX$9&lt;20/24)</formula>
    </cfRule>
    <cfRule type="expression" dxfId="947" priority="352">
      <formula>AND(AX$9&gt;=8/24,AX$9&lt;14/24)</formula>
    </cfRule>
    <cfRule type="expression" dxfId="946" priority="353">
      <formula>AX$9&lt;8/24</formula>
    </cfRule>
  </conditionalFormatting>
  <conditionalFormatting sqref="A104:A105">
    <cfRule type="expression" dxfId="945" priority="301">
      <formula>$AH104=0</formula>
    </cfRule>
  </conditionalFormatting>
  <conditionalFormatting sqref="G44:L45 C61:AF61">
    <cfRule type="expression" dxfId="944" priority="297">
      <formula>C$9&gt;=20/24</formula>
    </cfRule>
    <cfRule type="expression" dxfId="943" priority="298">
      <formula>AND(C$9&gt;=14/24,C$9&lt;20/24)</formula>
    </cfRule>
    <cfRule type="expression" dxfId="942" priority="299">
      <formula>AND(C$9&gt;=8/24,C$9&lt;14/24)</formula>
    </cfRule>
    <cfRule type="expression" dxfId="941" priority="300">
      <formula>C$9&lt;8/24</formula>
    </cfRule>
  </conditionalFormatting>
  <conditionalFormatting sqref="G43:L43">
    <cfRule type="expression" dxfId="940" priority="293">
      <formula>G$9&gt;=20/24</formula>
    </cfRule>
    <cfRule type="expression" dxfId="939" priority="294">
      <formula>AND(G$9&gt;=14/24,G$9&lt;20/24)</formula>
    </cfRule>
    <cfRule type="expression" dxfId="938" priority="295">
      <formula>AND(G$9&gt;=8/24,G$9&lt;14/24)</formula>
    </cfRule>
    <cfRule type="expression" dxfId="937" priority="296">
      <formula>G$9&lt;8/24</formula>
    </cfRule>
  </conditionalFormatting>
  <conditionalFormatting sqref="G43:L45">
    <cfRule type="expression" dxfId="936" priority="292">
      <formula>G43&gt;$AG43</formula>
    </cfRule>
  </conditionalFormatting>
  <conditionalFormatting sqref="C86:AF86 C62:M63 C76:AF76 M37:R37 M64:M70 C64:L67 C71:M71 M73:AF75 C90:AF96 C57:AF59 M11:AF14 M16:AF16 M28:AF30 M24:AF26 F36:AF36 M32:AF32 N62:AF71 M18:AF22">
    <cfRule type="expression" dxfId="935" priority="288">
      <formula>C$9&gt;=20/24</formula>
    </cfRule>
    <cfRule type="expression" dxfId="934" priority="289">
      <formula>AND(C$9&gt;=14/24,C$9&lt;20/24)</formula>
    </cfRule>
    <cfRule type="expression" dxfId="933" priority="290">
      <formula>AND(C$9&gt;=8/24,C$9&lt;14/24)</formula>
    </cfRule>
    <cfRule type="expression" dxfId="932" priority="291">
      <formula>C$9&lt;8/24</formula>
    </cfRule>
  </conditionalFormatting>
  <conditionalFormatting sqref="M33:AF33">
    <cfRule type="expression" dxfId="931" priority="284">
      <formula>M$9&gt;=20/24</formula>
    </cfRule>
    <cfRule type="expression" dxfId="930" priority="285">
      <formula>AND(M$9&gt;=14/24,M$9&lt;20/24)</formula>
    </cfRule>
    <cfRule type="expression" dxfId="929" priority="286">
      <formula>AND(M$9&gt;=8/24,M$9&lt;14/24)</formula>
    </cfRule>
    <cfRule type="expression" dxfId="928" priority="287">
      <formula>M$9&lt;8/24</formula>
    </cfRule>
  </conditionalFormatting>
  <conditionalFormatting sqref="C55:AF55 E37:R37 M11:P15 C57:AF59 Q11:AF11 M24:AF30 F36:AF36 M32:AF33 M18:AF22">
    <cfRule type="expression" dxfId="927" priority="283">
      <formula>C11&gt;$AG11</formula>
    </cfRule>
  </conditionalFormatting>
  <conditionalFormatting sqref="M35:AF35">
    <cfRule type="expression" dxfId="926" priority="279">
      <formula>M$9&gt;=20/24</formula>
    </cfRule>
    <cfRule type="expression" dxfId="925" priority="280">
      <formula>AND(M$9&gt;=14/24,M$9&lt;20/24)</formula>
    </cfRule>
    <cfRule type="expression" dxfId="924" priority="281">
      <formula>AND(M$9&gt;=8/24,M$9&lt;14/24)</formula>
    </cfRule>
    <cfRule type="expression" dxfId="923" priority="282">
      <formula>M$9&lt;8/24</formula>
    </cfRule>
  </conditionalFormatting>
  <conditionalFormatting sqref="M15:AF15">
    <cfRule type="expression" dxfId="922" priority="275">
      <formula>M$9&gt;=20/24</formula>
    </cfRule>
    <cfRule type="expression" dxfId="921" priority="276">
      <formula>AND(M$9&gt;=14/24,M$9&lt;20/24)</formula>
    </cfRule>
    <cfRule type="expression" dxfId="920" priority="277">
      <formula>AND(M$9&gt;=8/24,M$9&lt;14/24)</formula>
    </cfRule>
    <cfRule type="expression" dxfId="919" priority="278">
      <formula>M$9&lt;8/24</formula>
    </cfRule>
  </conditionalFormatting>
  <conditionalFormatting sqref="M34:AF34">
    <cfRule type="expression" dxfId="918" priority="271">
      <formula>M$9&gt;=20/24</formula>
    </cfRule>
    <cfRule type="expression" dxfId="917" priority="272">
      <formula>AND(M$9&gt;=14/24,M$9&lt;20/24)</formula>
    </cfRule>
    <cfRule type="expression" dxfId="916" priority="273">
      <formula>AND(M$9&gt;=8/24,M$9&lt;14/24)</formula>
    </cfRule>
    <cfRule type="expression" dxfId="915" priority="274">
      <formula>M$9&lt;8/24</formula>
    </cfRule>
  </conditionalFormatting>
  <conditionalFormatting sqref="M34:AF34">
    <cfRule type="expression" dxfId="914" priority="270">
      <formula>M34&gt;$AG34</formula>
    </cfRule>
  </conditionalFormatting>
  <conditionalFormatting sqref="M43:AF54">
    <cfRule type="expression" dxfId="913" priority="257">
      <formula>M$9&gt;=20/24</formula>
    </cfRule>
    <cfRule type="expression" dxfId="912" priority="258">
      <formula>AND(M$9&gt;=14/24,M$9&lt;20/24)</formula>
    </cfRule>
    <cfRule type="expression" dxfId="911" priority="259">
      <formula>AND(M$9&gt;=8/24,M$9&lt;14/24)</formula>
    </cfRule>
    <cfRule type="expression" dxfId="910" priority="260">
      <formula>M$9&lt;8/24</formula>
    </cfRule>
  </conditionalFormatting>
  <conditionalFormatting sqref="M43:AF54">
    <cfRule type="expression" dxfId="909" priority="256">
      <formula>M43&gt;$AG43</formula>
    </cfRule>
  </conditionalFormatting>
  <conditionalFormatting sqref="M27:AF27">
    <cfRule type="expression" dxfId="908" priority="252">
      <formula>M$9&gt;=20/24</formula>
    </cfRule>
    <cfRule type="expression" dxfId="907" priority="253">
      <formula>AND(M$9&gt;=14/24,M$9&lt;20/24)</formula>
    </cfRule>
    <cfRule type="expression" dxfId="906" priority="254">
      <formula>AND(M$9&gt;=8/24,M$9&lt;14/24)</formula>
    </cfRule>
    <cfRule type="expression" dxfId="905" priority="255">
      <formula>M$9&lt;8/24</formula>
    </cfRule>
  </conditionalFormatting>
  <conditionalFormatting sqref="M17:AF17 M23:AF23">
    <cfRule type="expression" dxfId="904" priority="248">
      <formula>M$9&gt;=20/24</formula>
    </cfRule>
    <cfRule type="expression" dxfId="903" priority="249">
      <formula>AND(M$9&gt;=14/24,M$9&lt;20/24)</formula>
    </cfRule>
    <cfRule type="expression" dxfId="902" priority="250">
      <formula>AND(M$9&gt;=8/24,M$9&lt;14/24)</formula>
    </cfRule>
    <cfRule type="expression" dxfId="901" priority="251">
      <formula>M$9&lt;8/24</formula>
    </cfRule>
  </conditionalFormatting>
  <conditionalFormatting sqref="M17:AF17 M23:AF23">
    <cfRule type="expression" dxfId="900" priority="243">
      <formula>M17&gt;$AG17</formula>
    </cfRule>
  </conditionalFormatting>
  <conditionalFormatting sqref="D44:F45">
    <cfRule type="expression" dxfId="899" priority="226">
      <formula>D$9&gt;=20/24</formula>
    </cfRule>
    <cfRule type="expression" dxfId="898" priority="227">
      <formula>AND(D$9&gt;=14/24,D$9&lt;20/24)</formula>
    </cfRule>
    <cfRule type="expression" dxfId="897" priority="228">
      <formula>AND(D$9&gt;=8/24,D$9&lt;14/24)</formula>
    </cfRule>
    <cfRule type="expression" dxfId="896" priority="229">
      <formula>D$9&lt;8/24</formula>
    </cfRule>
  </conditionalFormatting>
  <conditionalFormatting sqref="D43:F43">
    <cfRule type="expression" dxfId="895" priority="222">
      <formula>D$9&gt;=20/24</formula>
    </cfRule>
    <cfRule type="expression" dxfId="894" priority="223">
      <formula>AND(D$9&gt;=14/24,D$9&lt;20/24)</formula>
    </cfRule>
    <cfRule type="expression" dxfId="893" priority="224">
      <formula>AND(D$9&gt;=8/24,D$9&lt;14/24)</formula>
    </cfRule>
    <cfRule type="expression" dxfId="892" priority="225">
      <formula>D$9&lt;8/24</formula>
    </cfRule>
  </conditionalFormatting>
  <conditionalFormatting sqref="D43:F45">
    <cfRule type="expression" dxfId="891" priority="221">
      <formula>D43&gt;$AG43</formula>
    </cfRule>
  </conditionalFormatting>
  <conditionalFormatting sqref="C68:L70">
    <cfRule type="expression" dxfId="890" priority="217">
      <formula>C$9&gt;=20/24</formula>
    </cfRule>
    <cfRule type="expression" dxfId="889" priority="218">
      <formula>AND(C$9&gt;=14/24,C$9&lt;20/24)</formula>
    </cfRule>
    <cfRule type="expression" dxfId="888" priority="219">
      <formula>AND(C$9&gt;=8/24,C$9&lt;14/24)</formula>
    </cfRule>
    <cfRule type="expression" dxfId="887" priority="220">
      <formula>C$9&lt;8/24</formula>
    </cfRule>
  </conditionalFormatting>
  <conditionalFormatting sqref="D46:L47">
    <cfRule type="expression" dxfId="886" priority="216">
      <formula>D46&gt;$AG46</formula>
    </cfRule>
  </conditionalFormatting>
  <conditionalFormatting sqref="D48:L54">
    <cfRule type="expression" dxfId="885" priority="212">
      <formula>D$9&gt;=20/24</formula>
    </cfRule>
    <cfRule type="expression" dxfId="884" priority="213">
      <formula>AND(D$9&gt;=14/24,D$9&lt;20/24)</formula>
    </cfRule>
    <cfRule type="expression" dxfId="883" priority="214">
      <formula>AND(D$9&gt;=8/24,D$9&lt;14/24)</formula>
    </cfRule>
    <cfRule type="expression" dxfId="882" priority="215">
      <formula>D$9&lt;8/24</formula>
    </cfRule>
  </conditionalFormatting>
  <conditionalFormatting sqref="D48:L54">
    <cfRule type="expression" dxfId="881" priority="211">
      <formula>D48&gt;$AG48</formula>
    </cfRule>
  </conditionalFormatting>
  <conditionalFormatting sqref="C78:AF78 C87:AF87">
    <cfRule type="expression" dxfId="880" priority="198">
      <formula>C$9&gt;=20/24</formula>
    </cfRule>
    <cfRule type="expression" dxfId="879" priority="199">
      <formula>AND(C$9&gt;=14/24,C$9&lt;20/24)</formula>
    </cfRule>
    <cfRule type="expression" dxfId="878" priority="200">
      <formula>AND(C$9&gt;=8/24,C$9&lt;14/24)</formula>
    </cfRule>
    <cfRule type="expression" dxfId="877" priority="201">
      <formula>C$9&lt;8/24</formula>
    </cfRule>
  </conditionalFormatting>
  <conditionalFormatting sqref="C79:AF79 C60:AG60 C77:AG77 C88:AF88">
    <cfRule type="expression" dxfId="876" priority="176">
      <formula>C$9&gt;=20/24</formula>
    </cfRule>
    <cfRule type="expression" dxfId="875" priority="177">
      <formula>AND(C$9&gt;=14/24,C$9&lt;20/24)</formula>
    </cfRule>
    <cfRule type="expression" dxfId="874" priority="178">
      <formula>AND(C$9&gt;=8/24,C$9&lt;14/24)</formula>
    </cfRule>
    <cfRule type="expression" dxfId="873" priority="179">
      <formula>C$9&lt;8/24</formula>
    </cfRule>
  </conditionalFormatting>
  <conditionalFormatting sqref="C38:AG38 C56:AG56 C60:AG60">
    <cfRule type="expression" dxfId="872" priority="171">
      <formula>C38&gt;$AG38</formula>
    </cfRule>
  </conditionalFormatting>
  <conditionalFormatting sqref="A34">
    <cfRule type="expression" dxfId="871" priority="143">
      <formula>$AH34=0</formula>
    </cfRule>
  </conditionalFormatting>
  <conditionalFormatting sqref="C72:AF72">
    <cfRule type="expression" dxfId="870" priority="139">
      <formula>C$9&gt;=20/24</formula>
    </cfRule>
    <cfRule type="expression" dxfId="869" priority="140">
      <formula>AND(C$9&gt;=14/24,C$9&lt;20/24)</formula>
    </cfRule>
    <cfRule type="expression" dxfId="868" priority="141">
      <formula>AND(C$9&gt;=8/24,C$9&lt;14/24)</formula>
    </cfRule>
    <cfRule type="expression" dxfId="867" priority="142">
      <formula>C$9&lt;8/24</formula>
    </cfRule>
  </conditionalFormatting>
  <conditionalFormatting sqref="C81:AF85">
    <cfRule type="expression" dxfId="866" priority="135">
      <formula>C$9&gt;=20/24</formula>
    </cfRule>
    <cfRule type="expression" dxfId="865" priority="136">
      <formula>AND(C$9&gt;=14/24,C$9&lt;20/24)</formula>
    </cfRule>
    <cfRule type="expression" dxfId="864" priority="137">
      <formula>AND(C$9&gt;=8/24,C$9&lt;14/24)</formula>
    </cfRule>
    <cfRule type="expression" dxfId="863" priority="138">
      <formula>C$9&lt;8/24</formula>
    </cfRule>
  </conditionalFormatting>
  <conditionalFormatting sqref="AL35 AL7:AL30 AL32">
    <cfRule type="iconSet" priority="354">
      <iconSet iconSet="3TrafficLights2" reverse="1">
        <cfvo type="percent" val="0"/>
        <cfvo type="num" val="1"/>
        <cfvo type="num" val="1"/>
      </iconSet>
    </cfRule>
  </conditionalFormatting>
  <conditionalFormatting sqref="D39:AF41">
    <cfRule type="expression" dxfId="862" priority="131">
      <formula>D$9&gt;=20/24</formula>
    </cfRule>
    <cfRule type="expression" dxfId="861" priority="132">
      <formula>AND(D$9&gt;=14/24,D$9&lt;20/24)</formula>
    </cfRule>
    <cfRule type="expression" dxfId="860" priority="133">
      <formula>AND(D$9&gt;=8/24,D$9&lt;14/24)</formula>
    </cfRule>
    <cfRule type="expression" dxfId="859" priority="134">
      <formula>D$9&lt;8/24</formula>
    </cfRule>
  </conditionalFormatting>
  <conditionalFormatting sqref="D39:AF41">
    <cfRule type="expression" dxfId="858" priority="130">
      <formula>D39&gt;$AG39</formula>
    </cfRule>
  </conditionalFormatting>
  <conditionalFormatting sqref="C42:AG42">
    <cfRule type="expression" dxfId="857" priority="126">
      <formula>C$9&gt;=20/24</formula>
    </cfRule>
    <cfRule type="expression" dxfId="856" priority="127">
      <formula>AND(C$9&gt;=14/24,C$9&lt;20/24)</formula>
    </cfRule>
    <cfRule type="expression" dxfId="855" priority="128">
      <formula>AND(C$9&gt;=8/24,C$9&lt;14/24)</formula>
    </cfRule>
    <cfRule type="expression" dxfId="854" priority="129">
      <formula>C$9&lt;8/24</formula>
    </cfRule>
  </conditionalFormatting>
  <conditionalFormatting sqref="C42:AG42">
    <cfRule type="expression" dxfId="853" priority="125">
      <formula>C42&gt;$AG42</formula>
    </cfRule>
  </conditionalFormatting>
  <conditionalFormatting sqref="C97:AF97">
    <cfRule type="expression" dxfId="852" priority="121">
      <formula>C$9&gt;=20/24</formula>
    </cfRule>
    <cfRule type="expression" dxfId="851" priority="122">
      <formula>AND(C$9&gt;=14/24,C$9&lt;20/24)</formula>
    </cfRule>
    <cfRule type="expression" dxfId="850" priority="123">
      <formula>AND(C$9&gt;=8/24,C$9&lt;14/24)</formula>
    </cfRule>
    <cfRule type="expression" dxfId="849" priority="124">
      <formula>C$9&lt;8/24</formula>
    </cfRule>
  </conditionalFormatting>
  <conditionalFormatting sqref="AL31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848" priority="110">
      <formula>$AH31=0</formula>
    </cfRule>
  </conditionalFormatting>
  <conditionalFormatting sqref="A80">
    <cfRule type="expression" dxfId="847" priority="108">
      <formula>$AH80=0</formula>
    </cfRule>
  </conditionalFormatting>
  <conditionalFormatting sqref="A77">
    <cfRule type="expression" dxfId="846" priority="109">
      <formula>$AH77=0</formula>
    </cfRule>
  </conditionalFormatting>
  <conditionalFormatting sqref="A106">
    <cfRule type="expression" dxfId="845" priority="99">
      <formula>$AH106=0</formula>
    </cfRule>
  </conditionalFormatting>
  <conditionalFormatting sqref="B99:B105 B11:L11">
    <cfRule type="expression" dxfId="844" priority="95">
      <formula>B$9&gt;=20/24</formula>
    </cfRule>
    <cfRule type="expression" dxfId="843" priority="96">
      <formula>AND(B$9&gt;=14/24,B$9&lt;20/24)</formula>
    </cfRule>
    <cfRule type="expression" dxfId="842" priority="97">
      <formula>AND(B$9&gt;=8/24,B$9&lt;14/24)</formula>
    </cfRule>
    <cfRule type="expression" dxfId="841" priority="98">
      <formula>B$9&lt;8/24</formula>
    </cfRule>
  </conditionalFormatting>
  <conditionalFormatting sqref="B37:D37">
    <cfRule type="expression" dxfId="840" priority="91">
      <formula>B$9&gt;=20/24</formula>
    </cfRule>
    <cfRule type="expression" dxfId="839" priority="92">
      <formula>AND(B$9&gt;=14/24,B$9&lt;20/24)</formula>
    </cfRule>
    <cfRule type="expression" dxfId="838" priority="93">
      <formula>AND(B$9&gt;=8/24,B$9&lt;14/24)</formula>
    </cfRule>
    <cfRule type="expression" dxfId="837" priority="94">
      <formula>B$9&lt;8/24</formula>
    </cfRule>
  </conditionalFormatting>
  <conditionalFormatting sqref="B37:D37 B11:L16 B35:L35">
    <cfRule type="expression" dxfId="836" priority="90">
      <formula>B11&gt;$AG11</formula>
    </cfRule>
  </conditionalFormatting>
  <conditionalFormatting sqref="B89">
    <cfRule type="expression" dxfId="835" priority="86">
      <formula>B$9&gt;=20/24</formula>
    </cfRule>
    <cfRule type="expression" dxfId="834" priority="87">
      <formula>AND(B$9&gt;=14/24,B$9&lt;20/24)</formula>
    </cfRule>
    <cfRule type="expression" dxfId="833" priority="88">
      <formula>AND(B$9&gt;=8/24,B$9&lt;14/24)</formula>
    </cfRule>
    <cfRule type="expression" dxfId="832" priority="89">
      <formula>B$9&lt;8/24</formula>
    </cfRule>
  </conditionalFormatting>
  <conditionalFormatting sqref="B61 B44:C45 B36:E36">
    <cfRule type="expression" dxfId="831" priority="82">
      <formula>B$9&gt;=20/24</formula>
    </cfRule>
    <cfRule type="expression" dxfId="830" priority="83">
      <formula>AND(B$9&gt;=14/24,B$9&lt;20/24)</formula>
    </cfRule>
    <cfRule type="expression" dxfId="829" priority="84">
      <formula>AND(B$9&gt;=8/24,B$9&lt;14/24)</formula>
    </cfRule>
    <cfRule type="expression" dxfId="828" priority="85">
      <formula>B$9&lt;8/24</formula>
    </cfRule>
  </conditionalFormatting>
  <conditionalFormatting sqref="B43:C43">
    <cfRule type="expression" dxfId="827" priority="78">
      <formula>B$9&gt;=20/24</formula>
    </cfRule>
    <cfRule type="expression" dxfId="826" priority="79">
      <formula>AND(B$9&gt;=14/24,B$9&lt;20/24)</formula>
    </cfRule>
    <cfRule type="expression" dxfId="825" priority="80">
      <formula>AND(B$9&gt;=8/24,B$9&lt;14/24)</formula>
    </cfRule>
    <cfRule type="expression" dxfId="824" priority="81">
      <formula>B$9&lt;8/24</formula>
    </cfRule>
  </conditionalFormatting>
  <conditionalFormatting sqref="B43:C45 B36:E36">
    <cfRule type="expression" dxfId="823" priority="77">
      <formula>B36&gt;$AG36</formula>
    </cfRule>
  </conditionalFormatting>
  <conditionalFormatting sqref="B86 B57:B59 B73:B76 B62:B71 B90:B96 C73:L75 B16:L16 B28:L30 B18:L22 B24:L26 B32:L32 B12:L14">
    <cfRule type="expression" dxfId="822" priority="73">
      <formula>B$9&gt;=20/24</formula>
    </cfRule>
    <cfRule type="expression" dxfId="821" priority="74">
      <formula>AND(B$9&gt;=14/24,B$9&lt;20/24)</formula>
    </cfRule>
    <cfRule type="expression" dxfId="820" priority="75">
      <formula>AND(B$9&gt;=8/24,B$9&lt;14/24)</formula>
    </cfRule>
    <cfRule type="expression" dxfId="819" priority="76">
      <formula>B$9&lt;8/24</formula>
    </cfRule>
  </conditionalFormatting>
  <conditionalFormatting sqref="B33:L33">
    <cfRule type="expression" dxfId="818" priority="69">
      <formula>B$9&gt;=20/24</formula>
    </cfRule>
    <cfRule type="expression" dxfId="817" priority="70">
      <formula>AND(B$9&gt;=14/24,B$9&lt;20/24)</formula>
    </cfRule>
    <cfRule type="expression" dxfId="816" priority="71">
      <formula>AND(B$9&gt;=8/24,B$9&lt;14/24)</formula>
    </cfRule>
    <cfRule type="expression" dxfId="815" priority="72">
      <formula>B$9&lt;8/24</formula>
    </cfRule>
  </conditionalFormatting>
  <conditionalFormatting sqref="B55 B57:B59 B46:C47 B18:L22 B24:L30 B32:L33">
    <cfRule type="expression" dxfId="814" priority="68">
      <formula>B18&gt;$AG18</formula>
    </cfRule>
  </conditionalFormatting>
  <conditionalFormatting sqref="B35:L35">
    <cfRule type="expression" dxfId="813" priority="64">
      <formula>B$9&gt;=20/24</formula>
    </cfRule>
    <cfRule type="expression" dxfId="812" priority="65">
      <formula>AND(B$9&gt;=14/24,B$9&lt;20/24)</formula>
    </cfRule>
    <cfRule type="expression" dxfId="811" priority="66">
      <formula>AND(B$9&gt;=8/24,B$9&lt;14/24)</formula>
    </cfRule>
    <cfRule type="expression" dxfId="810" priority="67">
      <formula>B$9&lt;8/24</formula>
    </cfRule>
  </conditionalFormatting>
  <conditionalFormatting sqref="B15:L15">
    <cfRule type="expression" dxfId="809" priority="60">
      <formula>B$9&gt;=20/24</formula>
    </cfRule>
    <cfRule type="expression" dxfId="808" priority="61">
      <formula>AND(B$9&gt;=14/24,B$9&lt;20/24)</formula>
    </cfRule>
    <cfRule type="expression" dxfId="807" priority="62">
      <formula>AND(B$9&gt;=8/24,B$9&lt;14/24)</formula>
    </cfRule>
    <cfRule type="expression" dxfId="806" priority="63">
      <formula>B$9&lt;8/24</formula>
    </cfRule>
  </conditionalFormatting>
  <conditionalFormatting sqref="B34:L34">
    <cfRule type="expression" dxfId="805" priority="56">
      <formula>B$9&gt;=20/24</formula>
    </cfRule>
    <cfRule type="expression" dxfId="804" priority="57">
      <formula>AND(B$9&gt;=14/24,B$9&lt;20/24)</formula>
    </cfRule>
    <cfRule type="expression" dxfId="803" priority="58">
      <formula>AND(B$9&gt;=8/24,B$9&lt;14/24)</formula>
    </cfRule>
    <cfRule type="expression" dxfId="802" priority="59">
      <formula>B$9&lt;8/24</formula>
    </cfRule>
  </conditionalFormatting>
  <conditionalFormatting sqref="B34:L34">
    <cfRule type="expression" dxfId="801" priority="55">
      <formula>B34&gt;$AG34</formula>
    </cfRule>
  </conditionalFormatting>
  <conditionalFormatting sqref="B48:C54">
    <cfRule type="expression" dxfId="800" priority="51">
      <formula>B$9&gt;=20/24</formula>
    </cfRule>
    <cfRule type="expression" dxfId="799" priority="52">
      <formula>AND(B$9&gt;=14/24,B$9&lt;20/24)</formula>
    </cfRule>
    <cfRule type="expression" dxfId="798" priority="53">
      <formula>AND(B$9&gt;=8/24,B$9&lt;14/24)</formula>
    </cfRule>
    <cfRule type="expression" dxfId="797" priority="54">
      <formula>B$9&lt;8/24</formula>
    </cfRule>
  </conditionalFormatting>
  <conditionalFormatting sqref="B48:C54">
    <cfRule type="expression" dxfId="796" priority="50">
      <formula>B48&gt;$AG48</formula>
    </cfRule>
  </conditionalFormatting>
  <conditionalFormatting sqref="B27:L27">
    <cfRule type="expression" dxfId="795" priority="46">
      <formula>B$9&gt;=20/24</formula>
    </cfRule>
    <cfRule type="expression" dxfId="794" priority="47">
      <formula>AND(B$9&gt;=14/24,B$9&lt;20/24)</formula>
    </cfRule>
    <cfRule type="expression" dxfId="793" priority="48">
      <formula>AND(B$9&gt;=8/24,B$9&lt;14/24)</formula>
    </cfRule>
    <cfRule type="expression" dxfId="792" priority="49">
      <formula>B$9&lt;8/24</formula>
    </cfRule>
  </conditionalFormatting>
  <conditionalFormatting sqref="B17:L17 B23:L23">
    <cfRule type="expression" dxfId="791" priority="42">
      <formula>B$9&gt;=20/24</formula>
    </cfRule>
    <cfRule type="expression" dxfId="790" priority="43">
      <formula>AND(B$9&gt;=14/24,B$9&lt;20/24)</formula>
    </cfRule>
    <cfRule type="expression" dxfId="789" priority="44">
      <formula>AND(B$9&gt;=8/24,B$9&lt;14/24)</formula>
    </cfRule>
    <cfRule type="expression" dxfId="788" priority="45">
      <formula>B$9&lt;8/24</formula>
    </cfRule>
  </conditionalFormatting>
  <conditionalFormatting sqref="B17:L17 B23:L23">
    <cfRule type="expression" dxfId="787" priority="41">
      <formula>B17&gt;$AG17</formula>
    </cfRule>
  </conditionalFormatting>
  <conditionalFormatting sqref="B78 B87">
    <cfRule type="expression" dxfId="786" priority="37">
      <formula>B$9&gt;=20/24</formula>
    </cfRule>
    <cfRule type="expression" dxfId="785" priority="38">
      <formula>AND(B$9&gt;=14/24,B$9&lt;20/24)</formula>
    </cfRule>
    <cfRule type="expression" dxfId="784" priority="39">
      <formula>AND(B$9&gt;=8/24,B$9&lt;14/24)</formula>
    </cfRule>
    <cfRule type="expression" dxfId="783" priority="40">
      <formula>B$9&lt;8/24</formula>
    </cfRule>
  </conditionalFormatting>
  <conditionalFormatting sqref="B79 B60 B77 B88">
    <cfRule type="expression" dxfId="782" priority="33">
      <formula>B$9&gt;=20/24</formula>
    </cfRule>
    <cfRule type="expression" dxfId="781" priority="34">
      <formula>AND(B$9&gt;=14/24,B$9&lt;20/24)</formula>
    </cfRule>
    <cfRule type="expression" dxfId="780" priority="35">
      <formula>AND(B$9&gt;=8/24,B$9&lt;14/24)</formula>
    </cfRule>
    <cfRule type="expression" dxfId="779" priority="36">
      <formula>B$9&lt;8/24</formula>
    </cfRule>
  </conditionalFormatting>
  <conditionalFormatting sqref="B56 B60 B38">
    <cfRule type="expression" dxfId="778" priority="32">
      <formula>B38&gt;$AG38</formula>
    </cfRule>
  </conditionalFormatting>
  <conditionalFormatting sqref="B72">
    <cfRule type="expression" dxfId="777" priority="28">
      <formula>B$9&gt;=20/24</formula>
    </cfRule>
    <cfRule type="expression" dxfId="776" priority="29">
      <formula>AND(B$9&gt;=14/24,B$9&lt;20/24)</formula>
    </cfRule>
    <cfRule type="expression" dxfId="775" priority="30">
      <formula>AND(B$9&gt;=8/24,B$9&lt;14/24)</formula>
    </cfRule>
    <cfRule type="expression" dxfId="774" priority="31">
      <formula>B$9&lt;8/24</formula>
    </cfRule>
  </conditionalFormatting>
  <conditionalFormatting sqref="B81:B85">
    <cfRule type="expression" dxfId="773" priority="24">
      <formula>B$9&gt;=20/24</formula>
    </cfRule>
    <cfRule type="expression" dxfId="772" priority="25">
      <formula>AND(B$9&gt;=14/24,B$9&lt;20/24)</formula>
    </cfRule>
    <cfRule type="expression" dxfId="771" priority="26">
      <formula>AND(B$9&gt;=8/24,B$9&lt;14/24)</formula>
    </cfRule>
    <cfRule type="expression" dxfId="770" priority="27">
      <formula>B$9&lt;8/24</formula>
    </cfRule>
  </conditionalFormatting>
  <conditionalFormatting sqref="B39:C41">
    <cfRule type="expression" dxfId="769" priority="20">
      <formula>B$9&gt;=20/24</formula>
    </cfRule>
    <cfRule type="expression" dxfId="768" priority="21">
      <formula>AND(B$9&gt;=14/24,B$9&lt;20/24)</formula>
    </cfRule>
    <cfRule type="expression" dxfId="767" priority="22">
      <formula>AND(B$9&gt;=8/24,B$9&lt;14/24)</formula>
    </cfRule>
    <cfRule type="expression" dxfId="766" priority="23">
      <formula>B$9&lt;8/24</formula>
    </cfRule>
  </conditionalFormatting>
  <conditionalFormatting sqref="B39:C41">
    <cfRule type="expression" dxfId="765" priority="19">
      <formula>B39&gt;$AG39</formula>
    </cfRule>
  </conditionalFormatting>
  <conditionalFormatting sqref="B42">
    <cfRule type="expression" dxfId="764" priority="15">
      <formula>B$9&gt;=20/24</formula>
    </cfRule>
    <cfRule type="expression" dxfId="763" priority="16">
      <formula>AND(B$9&gt;=14/24,B$9&lt;20/24)</formula>
    </cfRule>
    <cfRule type="expression" dxfId="762" priority="17">
      <formula>AND(B$9&gt;=8/24,B$9&lt;14/24)</formula>
    </cfRule>
    <cfRule type="expression" dxfId="761" priority="18">
      <formula>B$9&lt;8/24</formula>
    </cfRule>
  </conditionalFormatting>
  <conditionalFormatting sqref="B42">
    <cfRule type="expression" dxfId="760" priority="14">
      <formula>B42&gt;$AG42</formula>
    </cfRule>
  </conditionalFormatting>
  <conditionalFormatting sqref="B97">
    <cfRule type="expression" dxfId="759" priority="10">
      <formula>B$9&gt;=20/24</formula>
    </cfRule>
    <cfRule type="expression" dxfId="758" priority="11">
      <formula>AND(B$9&gt;=14/24,B$9&lt;20/24)</formula>
    </cfRule>
    <cfRule type="expression" dxfId="757" priority="12">
      <formula>AND(B$9&gt;=8/24,B$9&lt;14/24)</formula>
    </cfRule>
    <cfRule type="expression" dxfId="756" priority="13">
      <formula>B$9&lt;8/24</formula>
    </cfRule>
  </conditionalFormatting>
  <conditionalFormatting sqref="B106">
    <cfRule type="expression" dxfId="755" priority="1">
      <formula>B$9&gt;=20/24</formula>
    </cfRule>
    <cfRule type="expression" dxfId="754" priority="2">
      <formula>AND(B$9&gt;=14/24,B$9&lt;20/24)</formula>
    </cfRule>
    <cfRule type="expression" dxfId="753" priority="3">
      <formula>AND(B$9&gt;=8/24,B$9&lt;14/24)</formula>
    </cfRule>
    <cfRule type="expression" dxfId="752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2" id="{02A986F9-A4F9-4EAE-8A35-0344BB9D49DB}">
            <xm:f>'2'!C$9&gt;=20/24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3" id="{E66DA713-AE10-4F5C-8FE7-27F08875A431}">
            <xm:f>AND('2'!C$9&gt;=14/24,'2'!C$9&lt;20/24)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14" id="{531CDBA1-C7DA-4741-BC61-17D5E648BCC2}">
            <xm:f>AND('2'!C$9&gt;=8/24,'2'!C$9&lt;14/24)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15" id="{DAA54F34-1406-4570-87F9-C2EF350BB74E}">
            <xm:f>'2'!C$9&lt;8/24</xm:f>
            <x14:dxf>
              <fill>
                <patternFill>
                  <bgColor rgb="FFFFFF66"/>
                </patternFill>
              </fill>
            </x14:dxf>
          </x14:cfRule>
          <xm:sqref>C80:AF80 M31:AF31</xm:sqref>
        </x14:conditionalFormatting>
        <x14:conditionalFormatting xmlns:xm="http://schemas.microsoft.com/office/excel/2006/main">
          <x14:cfRule type="expression" priority="111" id="{4110AA09-DDDB-4BE0-8D5A-EEE9F5AC9CC6}">
            <xm:f>'2'!M31&gt;'2'!$AG31</xm:f>
            <x14:dxf>
              <fill>
                <patternFill>
                  <bgColor rgb="FFFF0000"/>
                </patternFill>
              </fill>
            </x14:dxf>
          </x14:cfRule>
          <xm:sqref>M31:AF31</xm:sqref>
        </x14:conditionalFormatting>
        <x14:conditionalFormatting xmlns:xm="http://schemas.microsoft.com/office/excel/2006/main">
          <x14:cfRule type="expression" priority="104" id="{6CB91B80-857C-40A6-AD4F-D6CECCCB870E}">
            <xm:f>'28'!C$9&gt;=20/24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5" id="{26137295-A2BD-4E02-9129-52BA937EAA9D}">
            <xm:f>AND('28'!C$9&gt;=14/24,'28'!C$9&lt;20/24)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6" id="{6AA58983-985C-409D-8479-EF7A65E1B179}">
            <xm:f>AND('28'!C$9&gt;=8/24,'28'!C$9&lt;14/24)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07" id="{38D5C53B-4A59-419F-B84D-829CE886445C}">
            <xm:f>'28'!C$9&lt;8/24</xm:f>
            <x14:dxf>
              <fill>
                <patternFill>
                  <bgColor rgb="FFFFFF66"/>
                </patternFill>
              </fill>
            </x14:dxf>
          </x14:cfRule>
          <xm:sqref>C106:AF106</xm:sqref>
        </x14:conditionalFormatting>
        <x14:conditionalFormatting xmlns:xm="http://schemas.microsoft.com/office/excel/2006/main">
          <x14:cfRule type="expression" priority="6" id="{D474EAB0-EC07-47B5-B60F-B211044967DB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" id="{7EED24FD-E956-4B74-8526-A50D1DAA6004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id="{CD7CCF8B-AD12-4F68-AB2A-B756A2B8A2E7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" id="{5DE362E6-B5C1-48BB-95B8-3FF2E4E90950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B80 B31:L31</xm:sqref>
        </x14:conditionalFormatting>
        <x14:conditionalFormatting xmlns:xm="http://schemas.microsoft.com/office/excel/2006/main">
          <x14:cfRule type="expression" priority="5" id="{A9B12DE7-F799-4538-8DDB-50FD4B901EF9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B31:L31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3"/>
  <sheetViews>
    <sheetView zoomScale="90" zoomScaleNormal="90" workbookViewId="0">
      <pane xSplit="1" ySplit="10" topLeftCell="B89" activePane="bottomRight" state="frozen"/>
      <selection activeCell="AF88" sqref="AF88"/>
      <selection pane="topRight" activeCell="AF88" sqref="AF88"/>
      <selection pane="bottomLeft" activeCell="AF88" sqref="AF88"/>
      <selection pane="bottomRight" activeCell="A106" sqref="A106:XFD106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2079/02/30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19.399999999999999</v>
      </c>
      <c r="C5" s="32">
        <f t="shared" si="0"/>
        <v>18</v>
      </c>
      <c r="D5" s="32">
        <f t="shared" si="0"/>
        <v>5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14</v>
      </c>
      <c r="M5" s="32">
        <f t="shared" si="0"/>
        <v>16</v>
      </c>
      <c r="N5" s="32">
        <f t="shared" si="0"/>
        <v>30.3</v>
      </c>
      <c r="O5" s="32">
        <f t="shared" si="0"/>
        <v>40.5</v>
      </c>
      <c r="P5" s="32">
        <f t="shared" si="0"/>
        <v>26.5</v>
      </c>
      <c r="Q5" s="32">
        <f t="shared" si="0"/>
        <v>13.8</v>
      </c>
      <c r="R5" s="32">
        <f t="shared" si="0"/>
        <v>32.299999999999997</v>
      </c>
      <c r="S5" s="32">
        <f t="shared" si="0"/>
        <v>31.8</v>
      </c>
      <c r="T5" s="32">
        <f t="shared" si="0"/>
        <v>66</v>
      </c>
      <c r="U5" s="32">
        <f t="shared" si="0"/>
        <v>23.6</v>
      </c>
      <c r="V5" s="32">
        <f t="shared" si="0"/>
        <v>17.2</v>
      </c>
      <c r="W5" s="32">
        <f t="shared" si="0"/>
        <v>21</v>
      </c>
      <c r="X5" s="32">
        <f t="shared" si="0"/>
        <v>57</v>
      </c>
      <c r="Y5" s="32">
        <f t="shared" si="0"/>
        <v>63.2</v>
      </c>
      <c r="Z5" s="32">
        <f t="shared" si="0"/>
        <v>78</v>
      </c>
      <c r="AA5" s="32">
        <f t="shared" si="0"/>
        <v>78</v>
      </c>
      <c r="AB5" s="32">
        <f t="shared" si="0"/>
        <v>72.3</v>
      </c>
      <c r="AC5" s="32">
        <f t="shared" si="0"/>
        <v>73.8</v>
      </c>
      <c r="AD5" s="32">
        <f t="shared" si="0"/>
        <v>78</v>
      </c>
      <c r="AE5" s="32">
        <f t="shared" si="0"/>
        <v>73.8</v>
      </c>
      <c r="AF5" s="32">
        <f>B72</f>
        <v>25.8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1807MW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Load=1706</v>
      </c>
      <c r="B7" s="37">
        <f>B79</f>
        <v>1794.4399999999998</v>
      </c>
      <c r="C7" s="37">
        <f t="shared" ref="C7:AF7" si="1">C79</f>
        <v>1771.54</v>
      </c>
      <c r="D7" s="37">
        <f t="shared" si="1"/>
        <v>1764.1399999999999</v>
      </c>
      <c r="E7" s="37">
        <f t="shared" si="1"/>
        <v>1747.6399999999999</v>
      </c>
      <c r="F7" s="37">
        <f t="shared" si="1"/>
        <v>1746.04</v>
      </c>
      <c r="G7" s="37">
        <f t="shared" si="1"/>
        <v>1736.84</v>
      </c>
      <c r="H7" s="37">
        <f t="shared" si="1"/>
        <v>1738.84</v>
      </c>
      <c r="I7" s="37">
        <f t="shared" si="1"/>
        <v>1728.34</v>
      </c>
      <c r="J7" s="37">
        <f t="shared" si="1"/>
        <v>1765.04</v>
      </c>
      <c r="K7" s="37">
        <f t="shared" si="1"/>
        <v>1758.2399999999998</v>
      </c>
      <c r="L7" s="37">
        <f t="shared" si="1"/>
        <v>1807.2399999999998</v>
      </c>
      <c r="M7" s="37">
        <f t="shared" si="1"/>
        <v>1774.7400000000002</v>
      </c>
      <c r="N7" s="37">
        <f t="shared" si="1"/>
        <v>1706.3400000000001</v>
      </c>
      <c r="O7" s="37">
        <f t="shared" si="1"/>
        <v>1787.5399999999997</v>
      </c>
      <c r="P7" s="37">
        <f t="shared" si="1"/>
        <v>1742.14</v>
      </c>
      <c r="Q7" s="37">
        <f t="shared" si="1"/>
        <v>1713.54</v>
      </c>
      <c r="R7" s="37">
        <f t="shared" si="1"/>
        <v>1752.24</v>
      </c>
      <c r="S7" s="37">
        <f t="shared" si="1"/>
        <v>1798.7399999999998</v>
      </c>
      <c r="T7" s="37">
        <f t="shared" si="1"/>
        <v>1772.34</v>
      </c>
      <c r="U7" s="37">
        <f t="shared" si="1"/>
        <v>1806.54</v>
      </c>
      <c r="V7" s="37">
        <f t="shared" si="1"/>
        <v>1825.6399999999999</v>
      </c>
      <c r="W7" s="37">
        <f t="shared" si="1"/>
        <v>1837.44</v>
      </c>
      <c r="X7" s="37">
        <f t="shared" si="1"/>
        <v>1834.24</v>
      </c>
      <c r="Y7" s="37">
        <f t="shared" si="1"/>
        <v>1862.1399999999999</v>
      </c>
      <c r="Z7" s="37">
        <f t="shared" si="1"/>
        <v>1872.34</v>
      </c>
      <c r="AA7" s="37">
        <f t="shared" si="1"/>
        <v>1950.04</v>
      </c>
      <c r="AB7" s="37">
        <f t="shared" si="1"/>
        <v>1949.84</v>
      </c>
      <c r="AC7" s="37">
        <f t="shared" si="1"/>
        <v>1894.4399999999998</v>
      </c>
      <c r="AD7" s="37">
        <f t="shared" si="1"/>
        <v>1895.9399999999998</v>
      </c>
      <c r="AE7" s="37">
        <f t="shared" si="1"/>
        <v>1900.1399999999999</v>
      </c>
      <c r="AF7" s="37">
        <f t="shared" si="1"/>
        <v>1890.9399999999998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179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0">
        <v>53.5</v>
      </c>
      <c r="C11" s="50">
        <v>53.5</v>
      </c>
      <c r="D11" s="50">
        <v>53.5</v>
      </c>
      <c r="E11" s="50">
        <v>53.5</v>
      </c>
      <c r="F11" s="50">
        <v>53.5</v>
      </c>
      <c r="G11" s="50">
        <v>53.5</v>
      </c>
      <c r="H11" s="50">
        <v>53.5</v>
      </c>
      <c r="I11" s="50">
        <v>53.5</v>
      </c>
      <c r="J11" s="50">
        <v>53.5</v>
      </c>
      <c r="K11" s="50">
        <v>53.5</v>
      </c>
      <c r="L11" s="50">
        <v>53.5</v>
      </c>
      <c r="M11" s="50">
        <v>53.4</v>
      </c>
      <c r="N11" s="50">
        <v>53.4</v>
      </c>
      <c r="O11" s="50">
        <v>53.3</v>
      </c>
      <c r="P11" s="50">
        <v>53.3</v>
      </c>
      <c r="Q11" s="50">
        <v>53.2</v>
      </c>
      <c r="R11" s="50">
        <v>52.9</v>
      </c>
      <c r="S11" s="50">
        <v>52.9</v>
      </c>
      <c r="T11" s="50">
        <v>52.9</v>
      </c>
      <c r="U11" s="50">
        <v>52.9</v>
      </c>
      <c r="V11" s="50">
        <v>52.9</v>
      </c>
      <c r="W11" s="50">
        <v>52.9</v>
      </c>
      <c r="X11" s="50">
        <v>52.9</v>
      </c>
      <c r="Y11" s="50">
        <v>52.9</v>
      </c>
      <c r="Z11" s="50">
        <v>52.9</v>
      </c>
      <c r="AA11" s="50">
        <v>52.9</v>
      </c>
      <c r="AB11" s="50">
        <v>53.2</v>
      </c>
      <c r="AC11" s="50">
        <v>53.2</v>
      </c>
      <c r="AD11" s="50">
        <v>53.2</v>
      </c>
      <c r="AE11" s="50">
        <v>53.2</v>
      </c>
      <c r="AF11" s="50">
        <v>53.2</v>
      </c>
      <c r="AG11" s="133">
        <v>52.4</v>
      </c>
      <c r="AH11" s="54">
        <f>MAX(B11:AF11)</f>
        <v>53.5</v>
      </c>
      <c r="AI11" s="55">
        <f>MIN(B11:AF11)</f>
        <v>52.9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50.7</v>
      </c>
      <c r="C12" s="50">
        <v>50.7</v>
      </c>
      <c r="D12" s="50">
        <v>50.7</v>
      </c>
      <c r="E12" s="50">
        <v>50.7</v>
      </c>
      <c r="F12" s="50">
        <v>50.7</v>
      </c>
      <c r="G12" s="50">
        <v>50.7</v>
      </c>
      <c r="H12" s="50">
        <v>50.7</v>
      </c>
      <c r="I12" s="50">
        <v>50.7</v>
      </c>
      <c r="J12" s="50">
        <v>50.7</v>
      </c>
      <c r="K12" s="50">
        <v>50.7</v>
      </c>
      <c r="L12" s="50">
        <v>50.7</v>
      </c>
      <c r="M12" s="50">
        <v>50.3</v>
      </c>
      <c r="N12" s="50">
        <v>50.3</v>
      </c>
      <c r="O12" s="50">
        <v>50.4</v>
      </c>
      <c r="P12" s="50">
        <v>50.4</v>
      </c>
      <c r="Q12" s="50">
        <v>50.5</v>
      </c>
      <c r="R12" s="50">
        <v>50.4</v>
      </c>
      <c r="S12" s="50">
        <v>50.4</v>
      </c>
      <c r="T12" s="50">
        <v>50.4</v>
      </c>
      <c r="U12" s="50">
        <v>50.4</v>
      </c>
      <c r="V12" s="50">
        <v>50.4</v>
      </c>
      <c r="W12" s="50">
        <v>50.4</v>
      </c>
      <c r="X12" s="50">
        <v>50.4</v>
      </c>
      <c r="Y12" s="50">
        <v>50.4</v>
      </c>
      <c r="Z12" s="50">
        <v>50.4</v>
      </c>
      <c r="AA12" s="50">
        <v>50.4</v>
      </c>
      <c r="AB12" s="50">
        <v>50.5</v>
      </c>
      <c r="AC12" s="50">
        <v>50.5</v>
      </c>
      <c r="AD12" s="50">
        <v>50.5</v>
      </c>
      <c r="AE12" s="50">
        <v>50.5</v>
      </c>
      <c r="AF12" s="50">
        <v>50.5</v>
      </c>
      <c r="AG12" s="134">
        <v>50</v>
      </c>
      <c r="AH12" s="54">
        <f t="shared" ref="AH12:AH79" si="2">MAX(B12:AF12)</f>
        <v>50.7</v>
      </c>
      <c r="AI12" s="55">
        <f t="shared" ref="AI12:AI79" si="3">MIN(B12:AF12)</f>
        <v>50.3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46</v>
      </c>
      <c r="C13" s="50">
        <v>46</v>
      </c>
      <c r="D13" s="50">
        <v>46</v>
      </c>
      <c r="E13" s="50">
        <v>46</v>
      </c>
      <c r="F13" s="50">
        <v>46</v>
      </c>
      <c r="G13" s="50">
        <v>46</v>
      </c>
      <c r="H13" s="50">
        <v>46</v>
      </c>
      <c r="I13" s="50">
        <v>46</v>
      </c>
      <c r="J13" s="50">
        <v>46</v>
      </c>
      <c r="K13" s="50">
        <v>46</v>
      </c>
      <c r="L13" s="50">
        <v>46</v>
      </c>
      <c r="M13" s="50">
        <v>46</v>
      </c>
      <c r="N13" s="50">
        <v>46</v>
      </c>
      <c r="O13" s="50">
        <v>45.9</v>
      </c>
      <c r="P13" s="50">
        <v>46</v>
      </c>
      <c r="Q13" s="50">
        <v>46</v>
      </c>
      <c r="R13" s="50">
        <v>46</v>
      </c>
      <c r="S13" s="50">
        <v>46</v>
      </c>
      <c r="T13" s="50">
        <v>46</v>
      </c>
      <c r="U13" s="50">
        <v>46</v>
      </c>
      <c r="V13" s="50">
        <v>46</v>
      </c>
      <c r="W13" s="50">
        <v>46</v>
      </c>
      <c r="X13" s="50">
        <v>46</v>
      </c>
      <c r="Y13" s="50">
        <v>46</v>
      </c>
      <c r="Z13" s="50">
        <v>46</v>
      </c>
      <c r="AA13" s="50">
        <v>46</v>
      </c>
      <c r="AB13" s="50">
        <v>46</v>
      </c>
      <c r="AC13" s="50">
        <v>46</v>
      </c>
      <c r="AD13" s="50">
        <v>46</v>
      </c>
      <c r="AE13" s="50">
        <v>46</v>
      </c>
      <c r="AF13" s="50">
        <v>46</v>
      </c>
      <c r="AG13" s="134">
        <v>45</v>
      </c>
      <c r="AH13" s="54">
        <f t="shared" si="2"/>
        <v>46</v>
      </c>
      <c r="AI13" s="55">
        <f t="shared" si="3"/>
        <v>45.9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30</v>
      </c>
      <c r="C14" s="50">
        <v>30</v>
      </c>
      <c r="D14" s="50">
        <v>30</v>
      </c>
      <c r="E14" s="50">
        <v>30</v>
      </c>
      <c r="F14" s="50">
        <v>30</v>
      </c>
      <c r="G14" s="50">
        <v>30</v>
      </c>
      <c r="H14" s="50">
        <v>30</v>
      </c>
      <c r="I14" s="50">
        <v>30</v>
      </c>
      <c r="J14" s="50">
        <v>30</v>
      </c>
      <c r="K14" s="50">
        <v>30</v>
      </c>
      <c r="L14" s="50">
        <v>30</v>
      </c>
      <c r="M14" s="50">
        <v>30</v>
      </c>
      <c r="N14" s="50">
        <v>30</v>
      </c>
      <c r="O14" s="50">
        <v>28</v>
      </c>
      <c r="P14" s="50">
        <v>28</v>
      </c>
      <c r="Q14" s="50">
        <v>28</v>
      </c>
      <c r="R14" s="50">
        <v>28</v>
      </c>
      <c r="S14" s="50">
        <v>28</v>
      </c>
      <c r="T14" s="50">
        <v>28</v>
      </c>
      <c r="U14" s="50">
        <v>28</v>
      </c>
      <c r="V14" s="50">
        <v>0</v>
      </c>
      <c r="W14" s="50">
        <v>20</v>
      </c>
      <c r="X14" s="50">
        <v>28</v>
      </c>
      <c r="Y14" s="50">
        <v>28</v>
      </c>
      <c r="Z14" s="50">
        <v>28</v>
      </c>
      <c r="AA14" s="50">
        <v>28</v>
      </c>
      <c r="AB14" s="50">
        <v>28</v>
      </c>
      <c r="AC14" s="50">
        <v>28</v>
      </c>
      <c r="AD14" s="50">
        <v>28</v>
      </c>
      <c r="AE14" s="50">
        <v>28</v>
      </c>
      <c r="AF14" s="50">
        <v>28</v>
      </c>
      <c r="AG14" s="134">
        <v>42</v>
      </c>
      <c r="AH14" s="54">
        <f t="shared" si="2"/>
        <v>30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0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5</v>
      </c>
      <c r="K15" s="50">
        <v>30</v>
      </c>
      <c r="L15" s="50">
        <v>30</v>
      </c>
      <c r="M15" s="50">
        <v>30</v>
      </c>
      <c r="N15" s="50">
        <v>15</v>
      </c>
      <c r="O15" s="50">
        <v>15</v>
      </c>
      <c r="P15" s="50">
        <v>0</v>
      </c>
      <c r="Q15" s="50">
        <v>0</v>
      </c>
      <c r="R15" s="50">
        <v>0</v>
      </c>
      <c r="S15" s="50">
        <v>0</v>
      </c>
      <c r="T15" s="50">
        <v>30</v>
      </c>
      <c r="U15" s="50">
        <v>30</v>
      </c>
      <c r="V15" s="50">
        <v>30</v>
      </c>
      <c r="W15" s="50">
        <v>30</v>
      </c>
      <c r="X15" s="50">
        <v>20</v>
      </c>
      <c r="Y15" s="50">
        <v>20</v>
      </c>
      <c r="Z15" s="50">
        <v>30</v>
      </c>
      <c r="AA15" s="50">
        <v>30</v>
      </c>
      <c r="AB15" s="50">
        <v>29.4</v>
      </c>
      <c r="AC15" s="50">
        <v>29.4</v>
      </c>
      <c r="AD15" s="50">
        <v>29.4</v>
      </c>
      <c r="AE15" s="50">
        <v>29.4</v>
      </c>
      <c r="AF15" s="50">
        <v>29.4</v>
      </c>
      <c r="AG15" s="135">
        <v>30</v>
      </c>
      <c r="AH15" s="54">
        <f t="shared" si="2"/>
        <v>30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26.2</v>
      </c>
      <c r="C16" s="50">
        <v>26.2</v>
      </c>
      <c r="D16" s="50">
        <v>26.2</v>
      </c>
      <c r="E16" s="50">
        <v>26.2</v>
      </c>
      <c r="F16" s="50">
        <v>26.2</v>
      </c>
      <c r="G16" s="50">
        <v>26.2</v>
      </c>
      <c r="H16" s="50">
        <v>26.2</v>
      </c>
      <c r="I16" s="50">
        <v>26.2</v>
      </c>
      <c r="J16" s="50">
        <v>26.2</v>
      </c>
      <c r="K16" s="50">
        <v>26.2</v>
      </c>
      <c r="L16" s="50">
        <v>26.2</v>
      </c>
      <c r="M16" s="50">
        <v>26.3</v>
      </c>
      <c r="N16" s="50">
        <v>26.3</v>
      </c>
      <c r="O16" s="50">
        <v>26.3</v>
      </c>
      <c r="P16" s="50">
        <v>25</v>
      </c>
      <c r="Q16" s="50">
        <v>25</v>
      </c>
      <c r="R16" s="50">
        <v>25</v>
      </c>
      <c r="S16" s="50">
        <v>25</v>
      </c>
      <c r="T16" s="50">
        <v>25</v>
      </c>
      <c r="U16" s="50">
        <v>25</v>
      </c>
      <c r="V16" s="50">
        <v>25</v>
      </c>
      <c r="W16" s="50">
        <v>25</v>
      </c>
      <c r="X16" s="50">
        <v>25</v>
      </c>
      <c r="Y16" s="50">
        <v>25</v>
      </c>
      <c r="Z16" s="50">
        <v>25</v>
      </c>
      <c r="AA16" s="50">
        <v>25</v>
      </c>
      <c r="AB16" s="50">
        <v>25</v>
      </c>
      <c r="AC16" s="50">
        <v>25</v>
      </c>
      <c r="AD16" s="50">
        <v>25</v>
      </c>
      <c r="AE16" s="50">
        <v>25</v>
      </c>
      <c r="AF16" s="50">
        <v>25</v>
      </c>
      <c r="AG16" s="134">
        <v>25</v>
      </c>
      <c r="AH16" s="54">
        <f t="shared" si="2"/>
        <v>26.3</v>
      </c>
      <c r="AI16" s="55">
        <f t="shared" si="3"/>
        <v>25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0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25</v>
      </c>
      <c r="D18" s="50">
        <v>25</v>
      </c>
      <c r="E18" s="50">
        <v>22</v>
      </c>
      <c r="F18" s="50">
        <v>22</v>
      </c>
      <c r="G18" s="50">
        <v>22</v>
      </c>
      <c r="H18" s="50">
        <v>22</v>
      </c>
      <c r="I18" s="50">
        <v>22</v>
      </c>
      <c r="J18" s="50">
        <v>22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22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25.3</v>
      </c>
      <c r="C19" s="50">
        <v>25.3</v>
      </c>
      <c r="D19" s="50">
        <v>25.3</v>
      </c>
      <c r="E19" s="50">
        <v>25.3</v>
      </c>
      <c r="F19" s="50">
        <v>25.3</v>
      </c>
      <c r="G19" s="50">
        <v>25.3</v>
      </c>
      <c r="H19" s="50">
        <v>25.3</v>
      </c>
      <c r="I19" s="50">
        <v>25.3</v>
      </c>
      <c r="J19" s="50">
        <v>25.3</v>
      </c>
      <c r="K19" s="50">
        <v>25.3</v>
      </c>
      <c r="L19" s="50">
        <v>25.3</v>
      </c>
      <c r="M19" s="50">
        <v>25.3</v>
      </c>
      <c r="N19" s="50">
        <v>25.3</v>
      </c>
      <c r="O19" s="50">
        <v>25.3</v>
      </c>
      <c r="P19" s="50">
        <v>25.3</v>
      </c>
      <c r="Q19" s="50">
        <v>25.3</v>
      </c>
      <c r="R19" s="50">
        <v>24.9</v>
      </c>
      <c r="S19" s="50">
        <v>24.9</v>
      </c>
      <c r="T19" s="50">
        <v>33</v>
      </c>
      <c r="U19" s="50">
        <v>33</v>
      </c>
      <c r="V19" s="50">
        <v>33</v>
      </c>
      <c r="W19" s="50">
        <v>33</v>
      </c>
      <c r="X19" s="50">
        <v>33</v>
      </c>
      <c r="Y19" s="50">
        <v>24.9</v>
      </c>
      <c r="Z19" s="50">
        <v>24.9</v>
      </c>
      <c r="AA19" s="50">
        <v>33.1</v>
      </c>
      <c r="AB19" s="50">
        <v>33.1</v>
      </c>
      <c r="AC19" s="50">
        <v>33.1</v>
      </c>
      <c r="AD19" s="50">
        <v>33.1</v>
      </c>
      <c r="AE19" s="50">
        <v>33.1</v>
      </c>
      <c r="AF19" s="50">
        <v>33.1</v>
      </c>
      <c r="AG19" s="134">
        <v>24.2</v>
      </c>
      <c r="AH19" s="54">
        <f t="shared" si="2"/>
        <v>33.1</v>
      </c>
      <c r="AI19" s="55">
        <f t="shared" si="3"/>
        <v>24.9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23.5</v>
      </c>
      <c r="C20" s="50">
        <v>23.5</v>
      </c>
      <c r="D20" s="50">
        <v>23.5</v>
      </c>
      <c r="E20" s="50">
        <v>23.5</v>
      </c>
      <c r="F20" s="50">
        <v>23.5</v>
      </c>
      <c r="G20" s="50">
        <v>23.5</v>
      </c>
      <c r="H20" s="50">
        <v>23.5</v>
      </c>
      <c r="I20" s="50">
        <v>23.5</v>
      </c>
      <c r="J20" s="50">
        <v>23.5</v>
      </c>
      <c r="K20" s="50">
        <v>23.5</v>
      </c>
      <c r="L20" s="50">
        <v>23.5</v>
      </c>
      <c r="M20" s="50">
        <v>23.5</v>
      </c>
      <c r="N20" s="50">
        <v>23.5</v>
      </c>
      <c r="O20" s="50">
        <v>23.5</v>
      </c>
      <c r="P20" s="50">
        <v>23.5</v>
      </c>
      <c r="Q20" s="50">
        <v>23.5</v>
      </c>
      <c r="R20" s="50">
        <v>23.5</v>
      </c>
      <c r="S20" s="50">
        <v>23.5</v>
      </c>
      <c r="T20" s="50">
        <v>23.5</v>
      </c>
      <c r="U20" s="50">
        <v>23.5</v>
      </c>
      <c r="V20" s="50">
        <v>23.5</v>
      </c>
      <c r="W20" s="50">
        <v>23.5</v>
      </c>
      <c r="X20" s="50">
        <v>23.5</v>
      </c>
      <c r="Y20" s="50">
        <v>23.5</v>
      </c>
      <c r="Z20" s="50">
        <v>23.5</v>
      </c>
      <c r="AA20" s="50">
        <v>23.5</v>
      </c>
      <c r="AB20" s="50">
        <v>23.5</v>
      </c>
      <c r="AC20" s="50">
        <v>23.5</v>
      </c>
      <c r="AD20" s="50">
        <v>23.5</v>
      </c>
      <c r="AE20" s="50">
        <v>23.5</v>
      </c>
      <c r="AF20" s="50">
        <v>23.5</v>
      </c>
      <c r="AG20" s="134">
        <v>23.5</v>
      </c>
      <c r="AH20" s="54">
        <f t="shared" si="2"/>
        <v>23.5</v>
      </c>
      <c r="AI20" s="55">
        <f t="shared" si="3"/>
        <v>23.5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19</v>
      </c>
      <c r="C21" s="50">
        <v>19</v>
      </c>
      <c r="D21" s="50">
        <v>19</v>
      </c>
      <c r="E21" s="50">
        <v>19</v>
      </c>
      <c r="F21" s="50">
        <v>19</v>
      </c>
      <c r="G21" s="50">
        <v>19</v>
      </c>
      <c r="H21" s="50">
        <v>19</v>
      </c>
      <c r="I21" s="50">
        <v>19</v>
      </c>
      <c r="J21" s="50">
        <v>19</v>
      </c>
      <c r="K21" s="50">
        <v>19</v>
      </c>
      <c r="L21" s="50">
        <v>19</v>
      </c>
      <c r="M21" s="50">
        <v>19</v>
      </c>
      <c r="N21" s="50">
        <v>19</v>
      </c>
      <c r="O21" s="50">
        <v>19</v>
      </c>
      <c r="P21" s="50">
        <v>19</v>
      </c>
      <c r="Q21" s="50">
        <v>19</v>
      </c>
      <c r="R21" s="50">
        <v>19</v>
      </c>
      <c r="S21" s="50">
        <v>19</v>
      </c>
      <c r="T21" s="50">
        <v>19</v>
      </c>
      <c r="U21" s="50">
        <v>19</v>
      </c>
      <c r="V21" s="50">
        <v>19</v>
      </c>
      <c r="W21" s="50">
        <v>19</v>
      </c>
      <c r="X21" s="50">
        <v>19</v>
      </c>
      <c r="Y21" s="50">
        <v>19</v>
      </c>
      <c r="Z21" s="50">
        <v>19</v>
      </c>
      <c r="AA21" s="50">
        <v>19</v>
      </c>
      <c r="AB21" s="50">
        <v>19</v>
      </c>
      <c r="AC21" s="50">
        <v>19</v>
      </c>
      <c r="AD21" s="50">
        <v>19</v>
      </c>
      <c r="AE21" s="50">
        <v>19</v>
      </c>
      <c r="AF21" s="50">
        <v>19</v>
      </c>
      <c r="AG21" s="134">
        <v>22.2</v>
      </c>
      <c r="AH21" s="54">
        <f t="shared" si="2"/>
        <v>19</v>
      </c>
      <c r="AI21" s="55">
        <f t="shared" si="3"/>
        <v>19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134">
        <v>22.1</v>
      </c>
      <c r="AH22" s="54">
        <f t="shared" si="2"/>
        <v>22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22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22</v>
      </c>
      <c r="C24" s="50">
        <v>22</v>
      </c>
      <c r="D24" s="50">
        <v>22</v>
      </c>
      <c r="E24" s="50">
        <v>22</v>
      </c>
      <c r="F24" s="50">
        <v>20</v>
      </c>
      <c r="G24" s="50">
        <v>20</v>
      </c>
      <c r="H24" s="50">
        <v>20</v>
      </c>
      <c r="I24" s="50">
        <v>20</v>
      </c>
      <c r="J24" s="50">
        <v>20</v>
      </c>
      <c r="K24" s="50">
        <v>20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134">
        <v>22</v>
      </c>
      <c r="AH24" s="54">
        <f t="shared" si="2"/>
        <v>22</v>
      </c>
      <c r="AI24" s="55">
        <f t="shared" si="3"/>
        <v>20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4</v>
      </c>
      <c r="C25" s="50">
        <v>4</v>
      </c>
      <c r="D25" s="50">
        <v>4</v>
      </c>
      <c r="E25" s="50">
        <v>4</v>
      </c>
      <c r="F25" s="50">
        <v>4</v>
      </c>
      <c r="G25" s="50">
        <v>4</v>
      </c>
      <c r="H25" s="50">
        <v>0</v>
      </c>
      <c r="I25" s="50">
        <v>0</v>
      </c>
      <c r="J25" s="50">
        <v>0</v>
      </c>
      <c r="K25" s="50">
        <v>5</v>
      </c>
      <c r="L25" s="50">
        <v>10</v>
      </c>
      <c r="M25" s="50">
        <v>10</v>
      </c>
      <c r="N25" s="50">
        <v>5</v>
      </c>
      <c r="O25" s="50">
        <v>5</v>
      </c>
      <c r="P25" s="50">
        <v>5</v>
      </c>
      <c r="Q25" s="50">
        <v>5</v>
      </c>
      <c r="R25" s="50">
        <v>5</v>
      </c>
      <c r="S25" s="50">
        <v>0</v>
      </c>
      <c r="T25" s="50">
        <v>12</v>
      </c>
      <c r="U25" s="50">
        <v>12</v>
      </c>
      <c r="V25" s="50">
        <v>15</v>
      </c>
      <c r="W25" s="50">
        <v>15</v>
      </c>
      <c r="X25" s="50">
        <v>12</v>
      </c>
      <c r="Y25" s="50">
        <v>12</v>
      </c>
      <c r="Z25" s="50">
        <v>15</v>
      </c>
      <c r="AA25" s="50">
        <v>20</v>
      </c>
      <c r="AB25" s="50">
        <v>20</v>
      </c>
      <c r="AC25" s="50">
        <v>20</v>
      </c>
      <c r="AD25" s="50">
        <v>20</v>
      </c>
      <c r="AE25" s="50">
        <v>20</v>
      </c>
      <c r="AF25" s="50">
        <v>15</v>
      </c>
      <c r="AG25" s="134">
        <v>20</v>
      </c>
      <c r="AH25" s="54">
        <f t="shared" si="2"/>
        <v>20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14.9</v>
      </c>
      <c r="C26" s="50">
        <v>14.9</v>
      </c>
      <c r="D26" s="50">
        <v>14.9</v>
      </c>
      <c r="E26" s="50">
        <v>14.9</v>
      </c>
      <c r="F26" s="50">
        <v>14.9</v>
      </c>
      <c r="G26" s="50">
        <v>14.9</v>
      </c>
      <c r="H26" s="50">
        <v>14.9</v>
      </c>
      <c r="I26" s="50">
        <v>14.9</v>
      </c>
      <c r="J26" s="50">
        <v>14.9</v>
      </c>
      <c r="K26" s="50">
        <v>14.9</v>
      </c>
      <c r="L26" s="50">
        <v>14.9</v>
      </c>
      <c r="M26" s="50">
        <v>14.9</v>
      </c>
      <c r="N26" s="50">
        <v>14.9</v>
      </c>
      <c r="O26" s="50">
        <v>14.9</v>
      </c>
      <c r="P26" s="50">
        <v>14.9</v>
      </c>
      <c r="Q26" s="50">
        <v>14.9</v>
      </c>
      <c r="R26" s="50">
        <v>14.9</v>
      </c>
      <c r="S26" s="50">
        <v>14.9</v>
      </c>
      <c r="T26" s="50">
        <v>14.9</v>
      </c>
      <c r="U26" s="50">
        <v>14.9</v>
      </c>
      <c r="V26" s="50">
        <v>14.9</v>
      </c>
      <c r="W26" s="50">
        <v>14.9</v>
      </c>
      <c r="X26" s="50">
        <v>14.9</v>
      </c>
      <c r="Y26" s="50">
        <v>14.9</v>
      </c>
      <c r="Z26" s="50">
        <v>14.9</v>
      </c>
      <c r="AA26" s="50">
        <v>14.9</v>
      </c>
      <c r="AB26" s="50">
        <v>14.9</v>
      </c>
      <c r="AC26" s="50">
        <v>14.9</v>
      </c>
      <c r="AD26" s="50">
        <v>14.9</v>
      </c>
      <c r="AE26" s="50">
        <v>14.9</v>
      </c>
      <c r="AF26" s="50">
        <v>14.9</v>
      </c>
      <c r="AG26" s="134">
        <v>14.9</v>
      </c>
      <c r="AH26" s="54">
        <f t="shared" si="2"/>
        <v>14.9</v>
      </c>
      <c r="AI26" s="55">
        <f t="shared" si="3"/>
        <v>14.9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12</v>
      </c>
      <c r="C27" s="50">
        <v>12</v>
      </c>
      <c r="D27" s="50">
        <v>12</v>
      </c>
      <c r="E27" s="50">
        <v>12</v>
      </c>
      <c r="F27" s="50">
        <v>12</v>
      </c>
      <c r="G27" s="50">
        <v>12</v>
      </c>
      <c r="H27" s="50">
        <v>12</v>
      </c>
      <c r="I27" s="50">
        <v>12</v>
      </c>
      <c r="J27" s="50">
        <v>12</v>
      </c>
      <c r="K27" s="50">
        <v>12</v>
      </c>
      <c r="L27" s="50">
        <v>12</v>
      </c>
      <c r="M27" s="50">
        <v>12</v>
      </c>
      <c r="N27" s="50">
        <v>12</v>
      </c>
      <c r="O27" s="50">
        <v>12</v>
      </c>
      <c r="P27" s="50">
        <v>12</v>
      </c>
      <c r="Q27" s="50">
        <v>12</v>
      </c>
      <c r="R27" s="50">
        <v>12</v>
      </c>
      <c r="S27" s="50">
        <v>12</v>
      </c>
      <c r="T27" s="50">
        <v>12</v>
      </c>
      <c r="U27" s="50">
        <v>12</v>
      </c>
      <c r="V27" s="50">
        <v>12</v>
      </c>
      <c r="W27" s="50">
        <v>12</v>
      </c>
      <c r="X27" s="50">
        <v>12</v>
      </c>
      <c r="Y27" s="50">
        <v>12</v>
      </c>
      <c r="Z27" s="50">
        <v>12</v>
      </c>
      <c r="AA27" s="50">
        <v>12</v>
      </c>
      <c r="AB27" s="50">
        <v>12</v>
      </c>
      <c r="AC27" s="50">
        <v>12</v>
      </c>
      <c r="AD27" s="50">
        <v>12</v>
      </c>
      <c r="AE27" s="50">
        <v>12</v>
      </c>
      <c r="AF27" s="50">
        <v>12</v>
      </c>
      <c r="AG27" s="134">
        <v>13.6</v>
      </c>
      <c r="AH27" s="54">
        <f t="shared" si="2"/>
        <v>12</v>
      </c>
      <c r="AI27" s="55">
        <f t="shared" si="3"/>
        <v>12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13</v>
      </c>
      <c r="C28" s="50">
        <v>13</v>
      </c>
      <c r="D28" s="50">
        <v>13</v>
      </c>
      <c r="E28" s="50">
        <v>13</v>
      </c>
      <c r="F28" s="50">
        <v>13</v>
      </c>
      <c r="G28" s="50">
        <v>13</v>
      </c>
      <c r="H28" s="50">
        <v>13</v>
      </c>
      <c r="I28" s="50">
        <v>13</v>
      </c>
      <c r="J28" s="50">
        <v>13</v>
      </c>
      <c r="K28" s="50">
        <v>13</v>
      </c>
      <c r="L28" s="50">
        <v>13</v>
      </c>
      <c r="M28" s="50">
        <v>13</v>
      </c>
      <c r="N28" s="50">
        <v>13</v>
      </c>
      <c r="O28" s="50">
        <v>13</v>
      </c>
      <c r="P28" s="50">
        <v>13</v>
      </c>
      <c r="Q28" s="50">
        <v>13</v>
      </c>
      <c r="R28" s="50">
        <v>13</v>
      </c>
      <c r="S28" s="50">
        <v>13</v>
      </c>
      <c r="T28" s="50">
        <v>13</v>
      </c>
      <c r="U28" s="50">
        <v>13</v>
      </c>
      <c r="V28" s="50">
        <v>13</v>
      </c>
      <c r="W28" s="50">
        <v>13</v>
      </c>
      <c r="X28" s="50">
        <v>13</v>
      </c>
      <c r="Y28" s="50">
        <v>13</v>
      </c>
      <c r="Z28" s="50">
        <v>13</v>
      </c>
      <c r="AA28" s="50">
        <v>13</v>
      </c>
      <c r="AB28" s="50">
        <v>13</v>
      </c>
      <c r="AC28" s="50">
        <v>13</v>
      </c>
      <c r="AD28" s="50">
        <v>13</v>
      </c>
      <c r="AE28" s="50">
        <v>13</v>
      </c>
      <c r="AF28" s="50">
        <v>13</v>
      </c>
      <c r="AG28" s="134">
        <v>13</v>
      </c>
      <c r="AH28" s="54">
        <f t="shared" si="2"/>
        <v>13</v>
      </c>
      <c r="AI28" s="55">
        <f t="shared" si="3"/>
        <v>13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8</v>
      </c>
      <c r="C29" s="50">
        <v>8</v>
      </c>
      <c r="D29" s="50">
        <v>8</v>
      </c>
      <c r="E29" s="50">
        <v>8</v>
      </c>
      <c r="F29" s="50">
        <v>8</v>
      </c>
      <c r="G29" s="50">
        <v>8</v>
      </c>
      <c r="H29" s="50">
        <v>8</v>
      </c>
      <c r="I29" s="50">
        <v>8</v>
      </c>
      <c r="J29" s="50">
        <v>8</v>
      </c>
      <c r="K29" s="50">
        <v>8</v>
      </c>
      <c r="L29" s="50">
        <v>8</v>
      </c>
      <c r="M29" s="50">
        <v>8</v>
      </c>
      <c r="N29" s="50">
        <v>8</v>
      </c>
      <c r="O29" s="50">
        <v>8</v>
      </c>
      <c r="P29" s="50">
        <v>8</v>
      </c>
      <c r="Q29" s="50">
        <v>8</v>
      </c>
      <c r="R29" s="50">
        <v>8</v>
      </c>
      <c r="S29" s="50">
        <v>8</v>
      </c>
      <c r="T29" s="50">
        <v>8</v>
      </c>
      <c r="U29" s="50">
        <v>8</v>
      </c>
      <c r="V29" s="50">
        <v>8</v>
      </c>
      <c r="W29" s="50">
        <v>8</v>
      </c>
      <c r="X29" s="50">
        <v>8</v>
      </c>
      <c r="Y29" s="50">
        <v>8</v>
      </c>
      <c r="Z29" s="50">
        <v>8</v>
      </c>
      <c r="AA29" s="50">
        <v>8</v>
      </c>
      <c r="AB29" s="50">
        <v>8</v>
      </c>
      <c r="AC29" s="50">
        <v>8</v>
      </c>
      <c r="AD29" s="50">
        <v>8</v>
      </c>
      <c r="AE29" s="50">
        <v>8</v>
      </c>
      <c r="AF29" s="50">
        <v>8</v>
      </c>
      <c r="AG29" s="134">
        <v>12</v>
      </c>
      <c r="AH29" s="54">
        <f t="shared" si="2"/>
        <v>8</v>
      </c>
      <c r="AI29" s="55">
        <f t="shared" si="3"/>
        <v>8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2</v>
      </c>
      <c r="C30" s="50">
        <v>2</v>
      </c>
      <c r="D30" s="50">
        <v>2</v>
      </c>
      <c r="E30" s="50">
        <v>2</v>
      </c>
      <c r="F30" s="50">
        <v>2</v>
      </c>
      <c r="G30" s="50">
        <v>2</v>
      </c>
      <c r="H30" s="50">
        <v>2</v>
      </c>
      <c r="I30" s="50">
        <v>2</v>
      </c>
      <c r="J30" s="50">
        <v>2</v>
      </c>
      <c r="K30" s="50">
        <v>2</v>
      </c>
      <c r="L30" s="50">
        <v>2</v>
      </c>
      <c r="M30" s="50">
        <v>2</v>
      </c>
      <c r="N30" s="50">
        <v>2</v>
      </c>
      <c r="O30" s="50">
        <v>2</v>
      </c>
      <c r="P30" s="50">
        <v>2</v>
      </c>
      <c r="Q30" s="50">
        <v>2</v>
      </c>
      <c r="R30" s="50">
        <v>2</v>
      </c>
      <c r="S30" s="50">
        <v>2</v>
      </c>
      <c r="T30" s="50">
        <v>2</v>
      </c>
      <c r="U30" s="50">
        <v>2</v>
      </c>
      <c r="V30" s="50">
        <v>2</v>
      </c>
      <c r="W30" s="50">
        <v>2</v>
      </c>
      <c r="X30" s="50">
        <v>2</v>
      </c>
      <c r="Y30" s="50">
        <v>2</v>
      </c>
      <c r="Z30" s="50">
        <v>2</v>
      </c>
      <c r="AA30" s="50">
        <v>2</v>
      </c>
      <c r="AB30" s="50">
        <v>2</v>
      </c>
      <c r="AC30" s="50">
        <v>2</v>
      </c>
      <c r="AD30" s="50">
        <v>2</v>
      </c>
      <c r="AE30" s="50">
        <v>2</v>
      </c>
      <c r="AF30" s="50">
        <v>2</v>
      </c>
      <c r="AG30" s="134">
        <v>12</v>
      </c>
      <c r="AH30" s="54">
        <f t="shared" si="2"/>
        <v>2</v>
      </c>
      <c r="AI30" s="55">
        <f t="shared" si="3"/>
        <v>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12</v>
      </c>
      <c r="C31" s="50">
        <v>12</v>
      </c>
      <c r="D31" s="50">
        <v>12</v>
      </c>
      <c r="E31" s="50">
        <v>12</v>
      </c>
      <c r="F31" s="50">
        <v>12</v>
      </c>
      <c r="G31" s="50">
        <v>12</v>
      </c>
      <c r="H31" s="50">
        <v>12</v>
      </c>
      <c r="I31" s="50">
        <v>12</v>
      </c>
      <c r="J31" s="50">
        <v>12</v>
      </c>
      <c r="K31" s="50">
        <v>12</v>
      </c>
      <c r="L31" s="50">
        <v>12</v>
      </c>
      <c r="M31" s="50">
        <v>12</v>
      </c>
      <c r="N31" s="50">
        <v>12</v>
      </c>
      <c r="O31" s="50">
        <v>12</v>
      </c>
      <c r="P31" s="50">
        <v>12</v>
      </c>
      <c r="Q31" s="50">
        <v>12</v>
      </c>
      <c r="R31" s="50">
        <v>12</v>
      </c>
      <c r="S31" s="50">
        <v>12</v>
      </c>
      <c r="T31" s="50">
        <v>12</v>
      </c>
      <c r="U31" s="50">
        <v>12</v>
      </c>
      <c r="V31" s="50">
        <v>12</v>
      </c>
      <c r="W31" s="50">
        <v>12</v>
      </c>
      <c r="X31" s="50">
        <v>12</v>
      </c>
      <c r="Y31" s="50">
        <v>12</v>
      </c>
      <c r="Z31" s="50">
        <v>12</v>
      </c>
      <c r="AA31" s="50">
        <v>12</v>
      </c>
      <c r="AB31" s="50">
        <v>12</v>
      </c>
      <c r="AC31" s="50">
        <v>12</v>
      </c>
      <c r="AD31" s="50">
        <v>12</v>
      </c>
      <c r="AE31" s="50">
        <v>12</v>
      </c>
      <c r="AF31" s="50">
        <v>12</v>
      </c>
      <c r="AG31" s="178">
        <v>22</v>
      </c>
      <c r="AH31" s="54">
        <f>MAX(B31:AF31)</f>
        <v>12</v>
      </c>
      <c r="AI31" s="55">
        <f>MIN(B31:AF31)</f>
        <v>12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11</v>
      </c>
      <c r="C32" s="50">
        <v>11</v>
      </c>
      <c r="D32" s="50">
        <v>11</v>
      </c>
      <c r="E32" s="50">
        <v>11</v>
      </c>
      <c r="F32" s="50">
        <v>11</v>
      </c>
      <c r="G32" s="50">
        <v>11</v>
      </c>
      <c r="H32" s="50">
        <v>11</v>
      </c>
      <c r="I32" s="50">
        <v>11</v>
      </c>
      <c r="J32" s="50">
        <v>11</v>
      </c>
      <c r="K32" s="50">
        <v>11</v>
      </c>
      <c r="L32" s="50">
        <v>11</v>
      </c>
      <c r="M32" s="50">
        <v>11</v>
      </c>
      <c r="N32" s="50">
        <v>11</v>
      </c>
      <c r="O32" s="50">
        <v>11</v>
      </c>
      <c r="P32" s="50">
        <v>11</v>
      </c>
      <c r="Q32" s="50">
        <v>11</v>
      </c>
      <c r="R32" s="50">
        <v>11</v>
      </c>
      <c r="S32" s="50">
        <v>11</v>
      </c>
      <c r="T32" s="50">
        <v>11</v>
      </c>
      <c r="U32" s="50">
        <v>11</v>
      </c>
      <c r="V32" s="50">
        <v>11</v>
      </c>
      <c r="W32" s="50">
        <v>11</v>
      </c>
      <c r="X32" s="50">
        <v>11</v>
      </c>
      <c r="Y32" s="50">
        <v>11</v>
      </c>
      <c r="Z32" s="50">
        <v>11</v>
      </c>
      <c r="AA32" s="50">
        <v>11</v>
      </c>
      <c r="AB32" s="50">
        <v>11</v>
      </c>
      <c r="AC32" s="50">
        <v>11</v>
      </c>
      <c r="AD32" s="50">
        <v>11</v>
      </c>
      <c r="AE32" s="50">
        <v>11</v>
      </c>
      <c r="AF32" s="50">
        <v>11</v>
      </c>
      <c r="AG32" s="135">
        <v>11.88</v>
      </c>
      <c r="AH32" s="54">
        <f t="shared" si="2"/>
        <v>11</v>
      </c>
      <c r="AI32" s="55">
        <f t="shared" si="3"/>
        <v>11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11</v>
      </c>
      <c r="D33" s="50">
        <v>11</v>
      </c>
      <c r="E33" s="50">
        <v>11</v>
      </c>
      <c r="F33" s="50">
        <v>11</v>
      </c>
      <c r="G33" s="50">
        <v>11</v>
      </c>
      <c r="H33" s="50">
        <v>11</v>
      </c>
      <c r="I33" s="50">
        <v>11</v>
      </c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11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4.5</v>
      </c>
      <c r="C34" s="50">
        <v>4.5</v>
      </c>
      <c r="D34" s="50">
        <v>4.5</v>
      </c>
      <c r="E34" s="50">
        <v>4.5</v>
      </c>
      <c r="F34" s="50">
        <v>4.5</v>
      </c>
      <c r="G34" s="50">
        <v>4.5</v>
      </c>
      <c r="H34" s="50">
        <v>4.5</v>
      </c>
      <c r="I34" s="50">
        <v>4.5</v>
      </c>
      <c r="J34" s="50">
        <v>4.5</v>
      </c>
      <c r="K34" s="50">
        <v>4.5</v>
      </c>
      <c r="L34" s="50">
        <v>4.5</v>
      </c>
      <c r="M34" s="50">
        <v>4.5</v>
      </c>
      <c r="N34" s="50">
        <v>4.5</v>
      </c>
      <c r="O34" s="50">
        <v>4.5</v>
      </c>
      <c r="P34" s="50">
        <v>4.5</v>
      </c>
      <c r="Q34" s="50">
        <v>4.5</v>
      </c>
      <c r="R34" s="50">
        <v>4.5</v>
      </c>
      <c r="S34" s="50">
        <v>4.5</v>
      </c>
      <c r="T34" s="50">
        <v>4.5</v>
      </c>
      <c r="U34" s="50">
        <v>4.5</v>
      </c>
      <c r="V34" s="50">
        <v>4.5</v>
      </c>
      <c r="W34" s="50">
        <v>4.5</v>
      </c>
      <c r="X34" s="50">
        <v>4.5</v>
      </c>
      <c r="Y34" s="50">
        <v>4.5</v>
      </c>
      <c r="Z34" s="50">
        <v>4.5</v>
      </c>
      <c r="AA34" s="50">
        <v>4.5</v>
      </c>
      <c r="AB34" s="50">
        <v>4.5</v>
      </c>
      <c r="AC34" s="50">
        <v>4.5</v>
      </c>
      <c r="AD34" s="50">
        <v>4.5</v>
      </c>
      <c r="AE34" s="50">
        <v>4.5</v>
      </c>
      <c r="AF34" s="50">
        <v>4.5</v>
      </c>
      <c r="AG34" s="136">
        <v>10</v>
      </c>
      <c r="AH34" s="54">
        <f t="shared" si="2"/>
        <v>4.5</v>
      </c>
      <c r="AI34" s="55">
        <f t="shared" si="3"/>
        <v>4.5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</v>
      </c>
      <c r="N35" s="50">
        <v>2</v>
      </c>
      <c r="O35" s="50">
        <v>2</v>
      </c>
      <c r="P35" s="50">
        <v>2</v>
      </c>
      <c r="Q35" s="50">
        <v>3</v>
      </c>
      <c r="R35" s="50">
        <v>3</v>
      </c>
      <c r="S35" s="50">
        <v>3</v>
      </c>
      <c r="T35" s="50">
        <v>3</v>
      </c>
      <c r="U35" s="50">
        <v>3</v>
      </c>
      <c r="V35" s="50">
        <v>3</v>
      </c>
      <c r="W35" s="50">
        <v>3</v>
      </c>
      <c r="X35" s="50">
        <v>3</v>
      </c>
      <c r="Y35" s="50">
        <v>3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136">
        <v>10</v>
      </c>
      <c r="AH35" s="54">
        <f t="shared" si="2"/>
        <v>3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327</v>
      </c>
      <c r="C36" s="62">
        <v>327</v>
      </c>
      <c r="D36" s="62">
        <v>327</v>
      </c>
      <c r="E36" s="62">
        <v>327</v>
      </c>
      <c r="F36" s="62">
        <v>327</v>
      </c>
      <c r="G36" s="62">
        <v>327</v>
      </c>
      <c r="H36" s="62">
        <v>327</v>
      </c>
      <c r="I36" s="62">
        <v>327</v>
      </c>
      <c r="J36" s="62">
        <v>327</v>
      </c>
      <c r="K36" s="62">
        <v>327</v>
      </c>
      <c r="L36" s="62">
        <v>327</v>
      </c>
      <c r="M36" s="62">
        <v>327</v>
      </c>
      <c r="N36" s="62">
        <v>327</v>
      </c>
      <c r="O36" s="62">
        <v>327</v>
      </c>
      <c r="P36" s="62">
        <v>327</v>
      </c>
      <c r="Q36" s="62">
        <v>327</v>
      </c>
      <c r="R36" s="62">
        <v>327</v>
      </c>
      <c r="S36" s="62">
        <v>327</v>
      </c>
      <c r="T36" s="62">
        <v>327</v>
      </c>
      <c r="U36" s="62">
        <v>327</v>
      </c>
      <c r="V36" s="62">
        <v>327</v>
      </c>
      <c r="W36" s="62">
        <v>327</v>
      </c>
      <c r="X36" s="62">
        <v>327</v>
      </c>
      <c r="Y36" s="62">
        <v>327</v>
      </c>
      <c r="Z36" s="62">
        <v>327</v>
      </c>
      <c r="AA36" s="62">
        <v>327</v>
      </c>
      <c r="AB36" s="62">
        <v>327</v>
      </c>
      <c r="AC36" s="62">
        <v>327</v>
      </c>
      <c r="AD36" s="62">
        <v>327</v>
      </c>
      <c r="AE36" s="62">
        <v>327</v>
      </c>
      <c r="AF36" s="62">
        <v>327</v>
      </c>
      <c r="AG36" s="136">
        <v>85</v>
      </c>
      <c r="AH36" s="54">
        <f t="shared" si="2"/>
        <v>327</v>
      </c>
      <c r="AI36" s="55">
        <f t="shared" si="3"/>
        <v>327</v>
      </c>
      <c r="AK36" s="56"/>
    </row>
    <row r="37" spans="1:88" ht="15.75" thickBot="1" x14ac:dyDescent="0.3">
      <c r="A37" s="63" t="s">
        <v>21</v>
      </c>
      <c r="B37" s="64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136">
        <v>240</v>
      </c>
      <c r="AH37" s="54">
        <f t="shared" si="2"/>
        <v>0</v>
      </c>
      <c r="AI37" s="55">
        <f t="shared" si="3"/>
        <v>0</v>
      </c>
      <c r="AK37" s="56"/>
    </row>
    <row r="38" spans="1:88" ht="15.75" thickBot="1" x14ac:dyDescent="0.3">
      <c r="A38" s="131" t="s">
        <v>22</v>
      </c>
      <c r="B38" s="66">
        <f t="shared" ref="B38:AG38" si="4">SUM(B11:B36)</f>
        <v>809.59999999999991</v>
      </c>
      <c r="C38" s="66">
        <f t="shared" si="4"/>
        <v>809.59999999999991</v>
      </c>
      <c r="D38" s="66">
        <f t="shared" si="4"/>
        <v>809.59999999999991</v>
      </c>
      <c r="E38" s="66">
        <f t="shared" si="4"/>
        <v>806.59999999999991</v>
      </c>
      <c r="F38" s="66">
        <f t="shared" si="4"/>
        <v>804.59999999999991</v>
      </c>
      <c r="G38" s="66">
        <f t="shared" si="4"/>
        <v>804.59999999999991</v>
      </c>
      <c r="H38" s="66">
        <f t="shared" si="4"/>
        <v>800.59999999999991</v>
      </c>
      <c r="I38" s="66">
        <f t="shared" si="4"/>
        <v>800.59999999999991</v>
      </c>
      <c r="J38" s="66">
        <f t="shared" si="4"/>
        <v>805.59999999999991</v>
      </c>
      <c r="K38" s="66">
        <f t="shared" si="4"/>
        <v>838.59999999999991</v>
      </c>
      <c r="L38" s="66">
        <f t="shared" si="4"/>
        <v>845.59999999999991</v>
      </c>
      <c r="M38" s="66">
        <f t="shared" si="4"/>
        <v>822.2</v>
      </c>
      <c r="N38" s="66">
        <f t="shared" si="4"/>
        <v>827.2</v>
      </c>
      <c r="O38" s="66">
        <f t="shared" si="4"/>
        <v>825.09999999999991</v>
      </c>
      <c r="P38" s="66">
        <f t="shared" si="4"/>
        <v>808.9</v>
      </c>
      <c r="Q38" s="66">
        <f t="shared" si="4"/>
        <v>809.9</v>
      </c>
      <c r="R38" s="66">
        <f t="shared" si="4"/>
        <v>809.09999999999991</v>
      </c>
      <c r="S38" s="66">
        <f t="shared" si="4"/>
        <v>804.09999999999991</v>
      </c>
      <c r="T38" s="66">
        <f t="shared" si="4"/>
        <v>854.2</v>
      </c>
      <c r="U38" s="66">
        <f t="shared" si="4"/>
        <v>854.2</v>
      </c>
      <c r="V38" s="66">
        <f t="shared" si="4"/>
        <v>829.2</v>
      </c>
      <c r="W38" s="66">
        <f t="shared" si="4"/>
        <v>849.2</v>
      </c>
      <c r="X38" s="66">
        <f t="shared" si="4"/>
        <v>844.2</v>
      </c>
      <c r="Y38" s="66">
        <f t="shared" si="4"/>
        <v>836.09999999999991</v>
      </c>
      <c r="Z38" s="66">
        <f t="shared" si="4"/>
        <v>846.09999999999991</v>
      </c>
      <c r="AA38" s="66">
        <f t="shared" si="4"/>
        <v>859.3</v>
      </c>
      <c r="AB38" s="66">
        <f t="shared" si="4"/>
        <v>859.1</v>
      </c>
      <c r="AC38" s="66">
        <f t="shared" si="4"/>
        <v>859.1</v>
      </c>
      <c r="AD38" s="66">
        <f t="shared" si="4"/>
        <v>859.1</v>
      </c>
      <c r="AE38" s="66">
        <f t="shared" si="4"/>
        <v>859.1</v>
      </c>
      <c r="AF38" s="66">
        <f t="shared" si="4"/>
        <v>854.1</v>
      </c>
      <c r="AG38" s="143">
        <f t="shared" si="4"/>
        <v>665.78</v>
      </c>
      <c r="AH38" s="54">
        <f t="shared" si="2"/>
        <v>859.3</v>
      </c>
      <c r="AI38" s="55">
        <f t="shared" si="3"/>
        <v>800.59999999999991</v>
      </c>
      <c r="AK38" s="56"/>
    </row>
    <row r="39" spans="1:88" x14ac:dyDescent="0.25">
      <c r="A39" s="159" t="s">
        <v>130</v>
      </c>
      <c r="B39" s="50">
        <v>456</v>
      </c>
      <c r="C39" s="50">
        <v>456</v>
      </c>
      <c r="D39" s="50">
        <v>456</v>
      </c>
      <c r="E39" s="50">
        <v>456</v>
      </c>
      <c r="F39" s="50">
        <v>456</v>
      </c>
      <c r="G39" s="50">
        <v>456</v>
      </c>
      <c r="H39" s="50">
        <v>456</v>
      </c>
      <c r="I39" s="50">
        <v>456</v>
      </c>
      <c r="J39" s="50">
        <v>456</v>
      </c>
      <c r="K39" s="50">
        <v>456</v>
      </c>
      <c r="L39" s="50">
        <v>456</v>
      </c>
      <c r="M39" s="50">
        <v>456</v>
      </c>
      <c r="N39" s="50">
        <v>380</v>
      </c>
      <c r="O39" s="50">
        <v>420</v>
      </c>
      <c r="P39" s="50">
        <v>380</v>
      </c>
      <c r="Q39" s="50">
        <v>410</v>
      </c>
      <c r="R39" s="50">
        <v>456</v>
      </c>
      <c r="S39" s="50">
        <v>456</v>
      </c>
      <c r="T39" s="50">
        <v>380</v>
      </c>
      <c r="U39" s="50">
        <v>380</v>
      </c>
      <c r="V39" s="50">
        <v>456</v>
      </c>
      <c r="W39" s="50">
        <v>456</v>
      </c>
      <c r="X39" s="50">
        <v>456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456</v>
      </c>
      <c r="AF39" s="50">
        <v>456</v>
      </c>
      <c r="AG39" s="135">
        <v>456</v>
      </c>
      <c r="AH39" s="54">
        <f t="shared" si="2"/>
        <v>456</v>
      </c>
      <c r="AI39" s="55">
        <f t="shared" si="3"/>
        <v>380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>
        <v>60</v>
      </c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>
        <v>22</v>
      </c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f>SUM(B39:B41)</f>
        <v>538</v>
      </c>
      <c r="C42" s="66">
        <f t="shared" ref="C42:AG42" si="5">SUM(C39:C41)</f>
        <v>538</v>
      </c>
      <c r="D42" s="66">
        <f t="shared" si="5"/>
        <v>538</v>
      </c>
      <c r="E42" s="66">
        <f t="shared" si="5"/>
        <v>538</v>
      </c>
      <c r="F42" s="66">
        <f t="shared" si="5"/>
        <v>538</v>
      </c>
      <c r="G42" s="66">
        <f t="shared" si="5"/>
        <v>538</v>
      </c>
      <c r="H42" s="66">
        <f t="shared" si="5"/>
        <v>538</v>
      </c>
      <c r="I42" s="66">
        <f t="shared" si="5"/>
        <v>538</v>
      </c>
      <c r="J42" s="66">
        <f t="shared" si="5"/>
        <v>538</v>
      </c>
      <c r="K42" s="66">
        <f t="shared" si="5"/>
        <v>538</v>
      </c>
      <c r="L42" s="66">
        <f t="shared" si="5"/>
        <v>538</v>
      </c>
      <c r="M42" s="66">
        <f t="shared" si="5"/>
        <v>538</v>
      </c>
      <c r="N42" s="66">
        <f t="shared" si="5"/>
        <v>462</v>
      </c>
      <c r="O42" s="66">
        <f t="shared" si="5"/>
        <v>502</v>
      </c>
      <c r="P42" s="66">
        <f t="shared" si="5"/>
        <v>462</v>
      </c>
      <c r="Q42" s="66">
        <f t="shared" si="5"/>
        <v>492</v>
      </c>
      <c r="R42" s="66">
        <f t="shared" si="5"/>
        <v>538</v>
      </c>
      <c r="S42" s="66">
        <f t="shared" si="5"/>
        <v>538</v>
      </c>
      <c r="T42" s="66">
        <f t="shared" si="5"/>
        <v>462</v>
      </c>
      <c r="U42" s="66">
        <f t="shared" si="5"/>
        <v>462</v>
      </c>
      <c r="V42" s="66">
        <f t="shared" si="5"/>
        <v>538</v>
      </c>
      <c r="W42" s="66">
        <f t="shared" si="5"/>
        <v>538</v>
      </c>
      <c r="X42" s="66">
        <f t="shared" si="5"/>
        <v>538</v>
      </c>
      <c r="Y42" s="66">
        <f t="shared" si="5"/>
        <v>538</v>
      </c>
      <c r="Z42" s="66">
        <f t="shared" si="5"/>
        <v>538</v>
      </c>
      <c r="AA42" s="66">
        <f t="shared" si="5"/>
        <v>538</v>
      </c>
      <c r="AB42" s="66">
        <f t="shared" si="5"/>
        <v>538</v>
      </c>
      <c r="AC42" s="66">
        <f t="shared" si="5"/>
        <v>538</v>
      </c>
      <c r="AD42" s="66">
        <f t="shared" si="5"/>
        <v>538</v>
      </c>
      <c r="AE42" s="66">
        <f t="shared" si="5"/>
        <v>538</v>
      </c>
      <c r="AF42" s="66">
        <f t="shared" si="5"/>
        <v>538</v>
      </c>
      <c r="AG42" s="143">
        <f t="shared" si="5"/>
        <v>538.1</v>
      </c>
      <c r="AH42" s="54">
        <f t="shared" si="2"/>
        <v>538</v>
      </c>
      <c r="AI42" s="55">
        <f t="shared" si="3"/>
        <v>462</v>
      </c>
      <c r="AK42" s="56"/>
    </row>
    <row r="43" spans="1:88" x14ac:dyDescent="0.25">
      <c r="A43" s="57" t="s">
        <v>23</v>
      </c>
      <c r="B43" s="50">
        <v>142</v>
      </c>
      <c r="C43" s="50">
        <v>142</v>
      </c>
      <c r="D43" s="50">
        <v>142</v>
      </c>
      <c r="E43" s="50">
        <v>142</v>
      </c>
      <c r="F43" s="50">
        <v>141.4</v>
      </c>
      <c r="G43" s="50">
        <v>141.4</v>
      </c>
      <c r="H43" s="50">
        <v>141.4</v>
      </c>
      <c r="I43" s="50">
        <v>141.4</v>
      </c>
      <c r="J43" s="50">
        <v>141.30000000000001</v>
      </c>
      <c r="K43" s="50">
        <v>101.5</v>
      </c>
      <c r="L43" s="50">
        <v>141.30000000000001</v>
      </c>
      <c r="M43" s="50">
        <v>141.9</v>
      </c>
      <c r="N43" s="50">
        <v>141.9</v>
      </c>
      <c r="O43" s="50">
        <v>141.9</v>
      </c>
      <c r="P43" s="50">
        <v>141.5</v>
      </c>
      <c r="Q43" s="50">
        <v>96.6</v>
      </c>
      <c r="R43" s="50">
        <v>142.9</v>
      </c>
      <c r="S43" s="50">
        <v>141.30000000000001</v>
      </c>
      <c r="T43" s="50">
        <v>141.30000000000001</v>
      </c>
      <c r="U43" s="50">
        <v>141.30000000000001</v>
      </c>
      <c r="V43" s="50">
        <v>142.1</v>
      </c>
      <c r="W43" s="50">
        <v>141.5</v>
      </c>
      <c r="X43" s="50">
        <v>141.5</v>
      </c>
      <c r="Y43" s="50">
        <v>141.5</v>
      </c>
      <c r="Z43" s="50">
        <v>141.5</v>
      </c>
      <c r="AA43" s="50">
        <v>141.5</v>
      </c>
      <c r="AB43" s="50">
        <v>141.5</v>
      </c>
      <c r="AC43" s="50">
        <v>141.5</v>
      </c>
      <c r="AD43" s="50">
        <v>141.5</v>
      </c>
      <c r="AE43" s="50">
        <v>141.5</v>
      </c>
      <c r="AF43" s="50">
        <v>141.5</v>
      </c>
      <c r="AG43" s="135">
        <v>144</v>
      </c>
      <c r="AH43" s="54">
        <f t="shared" si="2"/>
        <v>142.9</v>
      </c>
      <c r="AI43" s="55">
        <f t="shared" si="3"/>
        <v>96.6</v>
      </c>
      <c r="AK43" s="56"/>
    </row>
    <row r="44" spans="1:88" x14ac:dyDescent="0.25">
      <c r="A44" s="60" t="s">
        <v>24</v>
      </c>
      <c r="B44" s="48">
        <v>70</v>
      </c>
      <c r="C44" s="48">
        <v>61.5</v>
      </c>
      <c r="D44" s="48">
        <v>61.5</v>
      </c>
      <c r="E44" s="48">
        <v>61.5</v>
      </c>
      <c r="F44" s="48">
        <v>69</v>
      </c>
      <c r="G44" s="48">
        <v>70.400000000000006</v>
      </c>
      <c r="H44" s="48">
        <v>70.400000000000006</v>
      </c>
      <c r="I44" s="48">
        <v>70.400000000000006</v>
      </c>
      <c r="J44" s="48">
        <v>71.5</v>
      </c>
      <c r="K44" s="48">
        <v>71.5</v>
      </c>
      <c r="L44" s="48">
        <v>72.099999999999994</v>
      </c>
      <c r="M44" s="50">
        <v>72.2</v>
      </c>
      <c r="N44" s="50">
        <v>70.7</v>
      </c>
      <c r="O44" s="50">
        <v>71.5</v>
      </c>
      <c r="P44" s="50">
        <v>71.2</v>
      </c>
      <c r="Q44" s="50">
        <v>71.400000000000006</v>
      </c>
      <c r="R44" s="50">
        <v>59.7</v>
      </c>
      <c r="S44" s="48">
        <v>70.5</v>
      </c>
      <c r="T44" s="48">
        <v>70.5</v>
      </c>
      <c r="U44" s="48">
        <v>70.5</v>
      </c>
      <c r="V44" s="48">
        <v>73.5</v>
      </c>
      <c r="W44" s="48">
        <v>72.599999999999994</v>
      </c>
      <c r="X44" s="48">
        <v>72.599999999999994</v>
      </c>
      <c r="Y44" s="48">
        <v>72.599999999999994</v>
      </c>
      <c r="Z44" s="48">
        <v>72.599999999999994</v>
      </c>
      <c r="AA44" s="48">
        <v>72.599999999999994</v>
      </c>
      <c r="AB44" s="48">
        <v>72.599999999999994</v>
      </c>
      <c r="AC44" s="48">
        <v>72.599999999999994</v>
      </c>
      <c r="AD44" s="48">
        <v>72.599999999999994</v>
      </c>
      <c r="AE44" s="48">
        <v>72.599999999999994</v>
      </c>
      <c r="AF44" s="48">
        <v>72.599999999999994</v>
      </c>
      <c r="AG44" s="136">
        <v>70</v>
      </c>
      <c r="AH44" s="54">
        <f t="shared" si="2"/>
        <v>73.5</v>
      </c>
      <c r="AI44" s="55">
        <f t="shared" si="3"/>
        <v>59.7</v>
      </c>
      <c r="AK44" s="56"/>
    </row>
    <row r="45" spans="1:88" x14ac:dyDescent="0.25">
      <c r="A45" s="60" t="s">
        <v>25</v>
      </c>
      <c r="B45" s="48">
        <v>63.5</v>
      </c>
      <c r="C45" s="48">
        <v>63.5</v>
      </c>
      <c r="D45" s="48">
        <v>63.5</v>
      </c>
      <c r="E45" s="48">
        <v>55</v>
      </c>
      <c r="F45" s="48">
        <v>63.5</v>
      </c>
      <c r="G45" s="48">
        <v>52.3</v>
      </c>
      <c r="H45" s="48">
        <v>52.3</v>
      </c>
      <c r="I45" s="48">
        <v>52.3</v>
      </c>
      <c r="J45" s="48">
        <v>62.7</v>
      </c>
      <c r="K45" s="48">
        <v>62.7</v>
      </c>
      <c r="L45" s="48">
        <v>64</v>
      </c>
      <c r="M45" s="50">
        <v>63.6</v>
      </c>
      <c r="N45" s="50">
        <v>63.3</v>
      </c>
      <c r="O45" s="50">
        <v>63.7</v>
      </c>
      <c r="P45" s="50">
        <v>64</v>
      </c>
      <c r="Q45" s="50">
        <v>63.6</v>
      </c>
      <c r="R45" s="50">
        <v>51.1</v>
      </c>
      <c r="S45" s="48">
        <v>63.9</v>
      </c>
      <c r="T45" s="48">
        <v>63.9</v>
      </c>
      <c r="U45" s="48">
        <v>63.9</v>
      </c>
      <c r="V45" s="48">
        <v>64.099999999999994</v>
      </c>
      <c r="W45" s="48">
        <v>64.099999999999994</v>
      </c>
      <c r="X45" s="48">
        <v>64.099999999999994</v>
      </c>
      <c r="Y45" s="48">
        <v>64.099999999999994</v>
      </c>
      <c r="Z45" s="48">
        <v>64.099999999999994</v>
      </c>
      <c r="AA45" s="48">
        <v>64.099999999999994</v>
      </c>
      <c r="AB45" s="48">
        <v>64.099999999999994</v>
      </c>
      <c r="AC45" s="48">
        <v>64.099999999999994</v>
      </c>
      <c r="AD45" s="48">
        <v>64.099999999999994</v>
      </c>
      <c r="AE45" s="48">
        <v>64.099999999999994</v>
      </c>
      <c r="AF45" s="48">
        <v>64.099999999999994</v>
      </c>
      <c r="AG45" s="136">
        <v>69</v>
      </c>
      <c r="AH45" s="54">
        <f t="shared" si="2"/>
        <v>64.099999999999994</v>
      </c>
      <c r="AI45" s="55">
        <f t="shared" si="3"/>
        <v>51.1</v>
      </c>
      <c r="AK45" s="56"/>
    </row>
    <row r="46" spans="1:88" x14ac:dyDescent="0.25">
      <c r="A46" s="60" t="s">
        <v>26</v>
      </c>
      <c r="B46" s="62">
        <v>60</v>
      </c>
      <c r="C46" s="62">
        <v>52</v>
      </c>
      <c r="D46" s="62">
        <v>52</v>
      </c>
      <c r="E46" s="62">
        <v>60</v>
      </c>
      <c r="F46" s="62">
        <v>50</v>
      </c>
      <c r="G46" s="62">
        <v>50.6</v>
      </c>
      <c r="H46" s="62">
        <v>50.6</v>
      </c>
      <c r="I46" s="62">
        <v>40.1</v>
      </c>
      <c r="J46" s="62">
        <v>60.4</v>
      </c>
      <c r="K46" s="62">
        <v>60.4</v>
      </c>
      <c r="L46" s="62">
        <v>60.7</v>
      </c>
      <c r="M46" s="50">
        <v>60.4</v>
      </c>
      <c r="N46" s="50">
        <v>60.4</v>
      </c>
      <c r="O46" s="50">
        <v>59.5</v>
      </c>
      <c r="P46" s="50">
        <v>59.5</v>
      </c>
      <c r="Q46" s="50">
        <v>60</v>
      </c>
      <c r="R46" s="50">
        <v>60</v>
      </c>
      <c r="S46" s="50">
        <v>60</v>
      </c>
      <c r="T46" s="50">
        <v>60</v>
      </c>
      <c r="U46" s="50">
        <v>60</v>
      </c>
      <c r="V46" s="50">
        <v>60.4</v>
      </c>
      <c r="W46" s="50">
        <v>60.2</v>
      </c>
      <c r="X46" s="50">
        <v>60.2</v>
      </c>
      <c r="Y46" s="50">
        <v>60.2</v>
      </c>
      <c r="Z46" s="50">
        <v>60.2</v>
      </c>
      <c r="AA46" s="50">
        <v>60.2</v>
      </c>
      <c r="AB46" s="50">
        <v>60.2</v>
      </c>
      <c r="AC46" s="50">
        <v>60.2</v>
      </c>
      <c r="AD46" s="50">
        <v>60.2</v>
      </c>
      <c r="AE46" s="50">
        <v>60.2</v>
      </c>
      <c r="AF46" s="50">
        <v>60.2</v>
      </c>
      <c r="AG46" s="136">
        <v>60</v>
      </c>
      <c r="AH46" s="54">
        <f t="shared" si="2"/>
        <v>60.7</v>
      </c>
      <c r="AI46" s="55">
        <f t="shared" si="3"/>
        <v>40.1</v>
      </c>
      <c r="AK46" s="56"/>
    </row>
    <row r="47" spans="1:88" x14ac:dyDescent="0.25">
      <c r="A47" s="60" t="s">
        <v>27</v>
      </c>
      <c r="B47" s="62">
        <v>28.6</v>
      </c>
      <c r="C47" s="62">
        <v>28.6</v>
      </c>
      <c r="D47" s="62">
        <v>28.6</v>
      </c>
      <c r="E47" s="62">
        <v>28.6</v>
      </c>
      <c r="F47" s="62">
        <v>28.6</v>
      </c>
      <c r="G47" s="62">
        <v>28.6</v>
      </c>
      <c r="H47" s="62">
        <v>28.6</v>
      </c>
      <c r="I47" s="62">
        <v>28.6</v>
      </c>
      <c r="J47" s="62">
        <v>28.6</v>
      </c>
      <c r="K47" s="62">
        <v>28.6</v>
      </c>
      <c r="L47" s="62">
        <v>28.6</v>
      </c>
      <c r="M47" s="50">
        <v>0</v>
      </c>
      <c r="N47" s="50">
        <v>0</v>
      </c>
      <c r="O47" s="50">
        <v>28.7</v>
      </c>
      <c r="P47" s="50">
        <v>28.7</v>
      </c>
      <c r="Q47" s="50">
        <v>28.7</v>
      </c>
      <c r="R47" s="50">
        <v>13.8</v>
      </c>
      <c r="S47" s="50">
        <v>28.5</v>
      </c>
      <c r="T47" s="50">
        <v>28.5</v>
      </c>
      <c r="U47" s="50">
        <v>28.5</v>
      </c>
      <c r="V47" s="50">
        <v>28.6</v>
      </c>
      <c r="W47" s="50">
        <v>28.6</v>
      </c>
      <c r="X47" s="50">
        <v>28.6</v>
      </c>
      <c r="Y47" s="50">
        <v>28.6</v>
      </c>
      <c r="Z47" s="50">
        <v>28.6</v>
      </c>
      <c r="AA47" s="50">
        <v>28.6</v>
      </c>
      <c r="AB47" s="50">
        <v>28.6</v>
      </c>
      <c r="AC47" s="50">
        <v>28.6</v>
      </c>
      <c r="AD47" s="50">
        <v>28.6</v>
      </c>
      <c r="AE47" s="50">
        <v>28.6</v>
      </c>
      <c r="AF47" s="50">
        <v>28.6</v>
      </c>
      <c r="AG47" s="136">
        <v>30</v>
      </c>
      <c r="AH47" s="54">
        <f t="shared" si="2"/>
        <v>28.7</v>
      </c>
      <c r="AI47" s="55">
        <f t="shared" si="3"/>
        <v>0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48">
        <v>0</v>
      </c>
      <c r="M48" s="50">
        <v>5</v>
      </c>
      <c r="N48" s="50">
        <v>7</v>
      </c>
      <c r="O48" s="50">
        <v>7</v>
      </c>
      <c r="P48" s="50">
        <v>7</v>
      </c>
      <c r="Q48" s="50">
        <v>7</v>
      </c>
      <c r="R48" s="50">
        <v>7</v>
      </c>
      <c r="S48" s="50">
        <v>8</v>
      </c>
      <c r="T48" s="50">
        <v>8</v>
      </c>
      <c r="U48" s="50">
        <v>8</v>
      </c>
      <c r="V48" s="50">
        <v>8</v>
      </c>
      <c r="W48" s="50">
        <v>8</v>
      </c>
      <c r="X48" s="50">
        <v>6</v>
      </c>
      <c r="Y48" s="50">
        <v>6</v>
      </c>
      <c r="Z48" s="50">
        <v>0</v>
      </c>
      <c r="AA48" s="50">
        <v>0</v>
      </c>
      <c r="AB48" s="50">
        <v>0</v>
      </c>
      <c r="AC48" s="50">
        <v>0</v>
      </c>
      <c r="AD48" s="50">
        <v>0</v>
      </c>
      <c r="AE48" s="50">
        <v>0</v>
      </c>
      <c r="AF48" s="50">
        <v>0</v>
      </c>
      <c r="AG48" s="136">
        <v>25</v>
      </c>
      <c r="AH48" s="54">
        <f t="shared" si="2"/>
        <v>8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14.4</v>
      </c>
      <c r="C49" s="48">
        <v>14.4</v>
      </c>
      <c r="D49" s="48">
        <v>14.4</v>
      </c>
      <c r="E49" s="48">
        <v>14.4</v>
      </c>
      <c r="F49" s="48">
        <v>14.4</v>
      </c>
      <c r="G49" s="48">
        <v>14.4</v>
      </c>
      <c r="H49" s="48">
        <v>14.4</v>
      </c>
      <c r="I49" s="48">
        <v>14.4</v>
      </c>
      <c r="J49" s="48">
        <v>14.4</v>
      </c>
      <c r="K49" s="48">
        <v>14.4</v>
      </c>
      <c r="L49" s="48">
        <v>14.4</v>
      </c>
      <c r="M49" s="50">
        <v>14.6</v>
      </c>
      <c r="N49" s="50">
        <v>15.4</v>
      </c>
      <c r="O49" s="50">
        <v>15.4</v>
      </c>
      <c r="P49" s="50">
        <v>15.4</v>
      </c>
      <c r="Q49" s="50">
        <v>15.4</v>
      </c>
      <c r="R49" s="50">
        <v>14.4</v>
      </c>
      <c r="S49" s="50">
        <v>15.9</v>
      </c>
      <c r="T49" s="50">
        <v>15.9</v>
      </c>
      <c r="U49" s="50">
        <v>15.9</v>
      </c>
      <c r="V49" s="50">
        <v>14.9</v>
      </c>
      <c r="W49" s="50">
        <v>14.9</v>
      </c>
      <c r="X49" s="50">
        <v>14.9</v>
      </c>
      <c r="Y49" s="50">
        <v>14.9</v>
      </c>
      <c r="Z49" s="50">
        <v>14.9</v>
      </c>
      <c r="AA49" s="50">
        <v>14.9</v>
      </c>
      <c r="AB49" s="50">
        <v>14.9</v>
      </c>
      <c r="AC49" s="50">
        <v>14.9</v>
      </c>
      <c r="AD49" s="50">
        <v>14.9</v>
      </c>
      <c r="AE49" s="50">
        <v>14.9</v>
      </c>
      <c r="AF49" s="50">
        <v>14.9</v>
      </c>
      <c r="AG49" s="136">
        <v>24</v>
      </c>
      <c r="AH49" s="54">
        <f t="shared" si="2"/>
        <v>15.9</v>
      </c>
      <c r="AI49" s="55">
        <f t="shared" si="3"/>
        <v>14.4</v>
      </c>
      <c r="AK49" s="56"/>
    </row>
    <row r="50" spans="1:41" x14ac:dyDescent="0.25">
      <c r="A50" s="60" t="s">
        <v>30</v>
      </c>
      <c r="B50" s="48">
        <v>3</v>
      </c>
      <c r="C50" s="48">
        <v>3</v>
      </c>
      <c r="D50" s="48">
        <v>3</v>
      </c>
      <c r="E50" s="48">
        <v>3</v>
      </c>
      <c r="F50" s="48">
        <v>3</v>
      </c>
      <c r="G50" s="48">
        <v>3</v>
      </c>
      <c r="H50" s="48">
        <v>3</v>
      </c>
      <c r="I50" s="48">
        <v>3</v>
      </c>
      <c r="J50" s="48">
        <v>3</v>
      </c>
      <c r="K50" s="48">
        <v>3</v>
      </c>
      <c r="L50" s="48">
        <v>3</v>
      </c>
      <c r="M50" s="50">
        <v>3</v>
      </c>
      <c r="N50" s="50">
        <v>3</v>
      </c>
      <c r="O50" s="50">
        <v>3</v>
      </c>
      <c r="P50" s="50">
        <v>3</v>
      </c>
      <c r="Q50" s="50">
        <v>3</v>
      </c>
      <c r="R50" s="50">
        <v>3</v>
      </c>
      <c r="S50" s="50">
        <v>3</v>
      </c>
      <c r="T50" s="50">
        <v>3</v>
      </c>
      <c r="U50" s="50">
        <v>3</v>
      </c>
      <c r="V50" s="50">
        <v>3</v>
      </c>
      <c r="W50" s="50">
        <v>3</v>
      </c>
      <c r="X50" s="50">
        <v>3</v>
      </c>
      <c r="Y50" s="50">
        <v>3</v>
      </c>
      <c r="Z50" s="50">
        <v>3</v>
      </c>
      <c r="AA50" s="50">
        <v>3</v>
      </c>
      <c r="AB50" s="50">
        <v>3</v>
      </c>
      <c r="AC50" s="50">
        <v>3</v>
      </c>
      <c r="AD50" s="50">
        <v>3</v>
      </c>
      <c r="AE50" s="50">
        <v>3</v>
      </c>
      <c r="AF50" s="50">
        <v>3</v>
      </c>
      <c r="AG50" s="136">
        <v>15</v>
      </c>
      <c r="AH50" s="54">
        <f t="shared" si="2"/>
        <v>3</v>
      </c>
      <c r="AI50" s="55">
        <f t="shared" si="3"/>
        <v>3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9.8000000000000007</v>
      </c>
      <c r="C51" s="48">
        <v>9.8000000000000007</v>
      </c>
      <c r="D51" s="48">
        <v>9.8000000000000007</v>
      </c>
      <c r="E51" s="48">
        <v>9.8000000000000007</v>
      </c>
      <c r="F51" s="48">
        <v>9.8000000000000007</v>
      </c>
      <c r="G51" s="48">
        <v>9.8000000000000007</v>
      </c>
      <c r="H51" s="48">
        <v>9.8000000000000007</v>
      </c>
      <c r="I51" s="48">
        <v>9.8000000000000007</v>
      </c>
      <c r="J51" s="48">
        <v>9.8000000000000007</v>
      </c>
      <c r="K51" s="48">
        <v>9.8000000000000007</v>
      </c>
      <c r="L51" s="48">
        <v>9.8000000000000007</v>
      </c>
      <c r="M51" s="50">
        <v>10.1</v>
      </c>
      <c r="N51" s="50">
        <v>9.6999999999999993</v>
      </c>
      <c r="O51" s="50">
        <v>9.6999999999999993</v>
      </c>
      <c r="P51" s="50">
        <v>9.6999999999999993</v>
      </c>
      <c r="Q51" s="50">
        <v>9.6999999999999993</v>
      </c>
      <c r="R51" s="50">
        <v>9.6999999999999993</v>
      </c>
      <c r="S51" s="50">
        <v>10.3</v>
      </c>
      <c r="T51" s="50">
        <v>10.3</v>
      </c>
      <c r="U51" s="50">
        <v>10.3</v>
      </c>
      <c r="V51" s="50">
        <v>10.3</v>
      </c>
      <c r="W51" s="50">
        <v>10.3</v>
      </c>
      <c r="X51" s="50">
        <v>10.3</v>
      </c>
      <c r="Y51" s="50">
        <v>10.3</v>
      </c>
      <c r="Z51" s="50">
        <v>10.3</v>
      </c>
      <c r="AA51" s="50">
        <v>10.3</v>
      </c>
      <c r="AB51" s="50">
        <v>10.3</v>
      </c>
      <c r="AC51" s="50">
        <v>10.3</v>
      </c>
      <c r="AD51" s="50">
        <v>10.3</v>
      </c>
      <c r="AE51" s="50">
        <v>10.3</v>
      </c>
      <c r="AF51" s="50">
        <v>10.3</v>
      </c>
      <c r="AG51" s="136">
        <v>14.1</v>
      </c>
      <c r="AH51" s="54">
        <f t="shared" si="2"/>
        <v>10.3</v>
      </c>
      <c r="AI51" s="55">
        <f t="shared" si="3"/>
        <v>9.6999999999999993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14</v>
      </c>
      <c r="C52" s="48">
        <v>14</v>
      </c>
      <c r="D52" s="48">
        <v>14</v>
      </c>
      <c r="E52" s="48">
        <v>14</v>
      </c>
      <c r="F52" s="48">
        <v>14</v>
      </c>
      <c r="G52" s="48">
        <v>14</v>
      </c>
      <c r="H52" s="48">
        <v>14</v>
      </c>
      <c r="I52" s="48">
        <v>14</v>
      </c>
      <c r="J52" s="48">
        <v>14</v>
      </c>
      <c r="K52" s="48">
        <v>14</v>
      </c>
      <c r="L52" s="48">
        <v>14</v>
      </c>
      <c r="M52" s="50">
        <v>14</v>
      </c>
      <c r="N52" s="50">
        <v>14</v>
      </c>
      <c r="O52" s="50">
        <v>14</v>
      </c>
      <c r="P52" s="50">
        <v>14</v>
      </c>
      <c r="Q52" s="50">
        <v>14</v>
      </c>
      <c r="R52" s="50">
        <v>14</v>
      </c>
      <c r="S52" s="50">
        <v>7.2</v>
      </c>
      <c r="T52" s="50">
        <v>7.2</v>
      </c>
      <c r="U52" s="50">
        <v>7.2</v>
      </c>
      <c r="V52" s="50">
        <v>14.2</v>
      </c>
      <c r="W52" s="50">
        <v>14.1</v>
      </c>
      <c r="X52" s="50">
        <v>14.1</v>
      </c>
      <c r="Y52" s="50">
        <v>14.1</v>
      </c>
      <c r="Z52" s="50">
        <v>14.1</v>
      </c>
      <c r="AA52" s="50">
        <v>14.1</v>
      </c>
      <c r="AB52" s="50">
        <v>14.1</v>
      </c>
      <c r="AC52" s="50">
        <v>14.1</v>
      </c>
      <c r="AD52" s="50">
        <v>14.1</v>
      </c>
      <c r="AE52" s="50">
        <v>14.1</v>
      </c>
      <c r="AF52" s="50">
        <v>14.1</v>
      </c>
      <c r="AG52" s="136">
        <v>14</v>
      </c>
      <c r="AH52" s="54">
        <f t="shared" si="2"/>
        <v>14.2</v>
      </c>
      <c r="AI52" s="55">
        <f t="shared" si="3"/>
        <v>7.2</v>
      </c>
      <c r="AK52" s="56"/>
    </row>
    <row r="53" spans="1:41" x14ac:dyDescent="0.25">
      <c r="A53" s="60" t="s">
        <v>33</v>
      </c>
      <c r="B53" s="48">
        <v>6</v>
      </c>
      <c r="C53" s="48">
        <v>6</v>
      </c>
      <c r="D53" s="48">
        <v>0</v>
      </c>
      <c r="E53" s="48">
        <v>0</v>
      </c>
      <c r="F53" s="48">
        <v>0</v>
      </c>
      <c r="G53" s="48">
        <v>0</v>
      </c>
      <c r="H53" s="48">
        <v>6</v>
      </c>
      <c r="I53" s="48">
        <v>6</v>
      </c>
      <c r="J53" s="48">
        <v>6</v>
      </c>
      <c r="K53" s="48">
        <v>6</v>
      </c>
      <c r="L53" s="48">
        <v>6</v>
      </c>
      <c r="M53" s="48">
        <v>6</v>
      </c>
      <c r="N53" s="48">
        <v>6</v>
      </c>
      <c r="O53" s="48">
        <v>6</v>
      </c>
      <c r="P53" s="48">
        <v>6</v>
      </c>
      <c r="Q53" s="48">
        <v>6</v>
      </c>
      <c r="R53" s="48">
        <v>6</v>
      </c>
      <c r="S53" s="50">
        <v>6</v>
      </c>
      <c r="T53" s="50">
        <v>6</v>
      </c>
      <c r="U53" s="50">
        <v>6</v>
      </c>
      <c r="V53" s="50">
        <v>6</v>
      </c>
      <c r="W53" s="50">
        <v>6</v>
      </c>
      <c r="X53" s="50">
        <v>6</v>
      </c>
      <c r="Y53" s="50">
        <v>6</v>
      </c>
      <c r="Z53" s="50">
        <v>6</v>
      </c>
      <c r="AA53" s="50">
        <v>6</v>
      </c>
      <c r="AB53" s="50">
        <v>6</v>
      </c>
      <c r="AC53" s="50">
        <v>6</v>
      </c>
      <c r="AD53" s="50">
        <v>6</v>
      </c>
      <c r="AE53" s="50">
        <v>6</v>
      </c>
      <c r="AF53" s="50">
        <v>6</v>
      </c>
      <c r="AG53" s="136">
        <v>10.050000000000001</v>
      </c>
      <c r="AH53" s="54">
        <f t="shared" si="2"/>
        <v>6</v>
      </c>
      <c r="AI53" s="55">
        <f t="shared" si="3"/>
        <v>0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>
        <v>6.2</v>
      </c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48">
        <v>6.2</v>
      </c>
      <c r="N54" s="48">
        <v>6.2</v>
      </c>
      <c r="O54" s="48">
        <v>6.2</v>
      </c>
      <c r="P54" s="48">
        <v>6.2</v>
      </c>
      <c r="Q54" s="48">
        <v>6.2</v>
      </c>
      <c r="R54" s="48">
        <v>6.2</v>
      </c>
      <c r="S54" s="50">
        <v>6.2</v>
      </c>
      <c r="T54" s="50">
        <v>6.2</v>
      </c>
      <c r="U54" s="50">
        <v>6.2</v>
      </c>
      <c r="V54" s="50">
        <v>6.2</v>
      </c>
      <c r="W54" s="50">
        <v>6.2</v>
      </c>
      <c r="X54" s="50">
        <v>6.2</v>
      </c>
      <c r="Y54" s="50">
        <v>6.2</v>
      </c>
      <c r="Z54" s="50">
        <v>6.2</v>
      </c>
      <c r="AA54" s="50">
        <v>6.2</v>
      </c>
      <c r="AB54" s="50">
        <v>6.2</v>
      </c>
      <c r="AC54" s="50">
        <v>6.2</v>
      </c>
      <c r="AD54" s="50">
        <v>6.2</v>
      </c>
      <c r="AE54" s="50">
        <v>6.2</v>
      </c>
      <c r="AF54" s="50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6">AG221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>SUM(B43:B55)</f>
        <v>421.04</v>
      </c>
      <c r="C56" s="66">
        <f t="shared" ref="C56:AG56" si="7">SUM(C43:C55)</f>
        <v>404.54</v>
      </c>
      <c r="D56" s="66">
        <f t="shared" si="7"/>
        <v>398.54</v>
      </c>
      <c r="E56" s="66">
        <f t="shared" si="7"/>
        <v>398.04</v>
      </c>
      <c r="F56" s="66">
        <f t="shared" si="7"/>
        <v>403.44</v>
      </c>
      <c r="G56" s="66">
        <f t="shared" si="7"/>
        <v>394.24000000000007</v>
      </c>
      <c r="H56" s="66">
        <f t="shared" si="7"/>
        <v>400.24000000000007</v>
      </c>
      <c r="I56" s="66">
        <f t="shared" si="7"/>
        <v>389.74000000000007</v>
      </c>
      <c r="J56" s="66">
        <f t="shared" si="7"/>
        <v>421.44</v>
      </c>
      <c r="K56" s="66">
        <f t="shared" si="7"/>
        <v>381.64</v>
      </c>
      <c r="L56" s="66">
        <f t="shared" si="7"/>
        <v>423.64</v>
      </c>
      <c r="M56" s="66">
        <f t="shared" si="7"/>
        <v>400.54000000000008</v>
      </c>
      <c r="N56" s="66">
        <f t="shared" si="7"/>
        <v>401.14</v>
      </c>
      <c r="O56" s="66">
        <f t="shared" si="7"/>
        <v>430.14</v>
      </c>
      <c r="P56" s="66">
        <f t="shared" si="7"/>
        <v>429.73999999999995</v>
      </c>
      <c r="Q56" s="66">
        <f t="shared" si="7"/>
        <v>385.14</v>
      </c>
      <c r="R56" s="66">
        <f t="shared" si="7"/>
        <v>391.34000000000003</v>
      </c>
      <c r="S56" s="66">
        <f t="shared" si="7"/>
        <v>424.34</v>
      </c>
      <c r="T56" s="66">
        <f t="shared" si="7"/>
        <v>424.34</v>
      </c>
      <c r="U56" s="66">
        <f t="shared" si="7"/>
        <v>424.34</v>
      </c>
      <c r="V56" s="66">
        <f t="shared" si="7"/>
        <v>434.84</v>
      </c>
      <c r="W56" s="66">
        <f t="shared" si="7"/>
        <v>433.04</v>
      </c>
      <c r="X56" s="66">
        <f t="shared" si="7"/>
        <v>431.04</v>
      </c>
      <c r="Y56" s="66">
        <f t="shared" si="7"/>
        <v>431.04</v>
      </c>
      <c r="Z56" s="66">
        <f t="shared" si="7"/>
        <v>425.04</v>
      </c>
      <c r="AA56" s="66">
        <f t="shared" si="7"/>
        <v>425.04</v>
      </c>
      <c r="AB56" s="66">
        <f t="shared" si="7"/>
        <v>425.04</v>
      </c>
      <c r="AC56" s="66">
        <f t="shared" si="7"/>
        <v>425.04</v>
      </c>
      <c r="AD56" s="66">
        <f t="shared" si="7"/>
        <v>425.04</v>
      </c>
      <c r="AE56" s="66">
        <f t="shared" si="7"/>
        <v>425.04</v>
      </c>
      <c r="AF56" s="66">
        <f t="shared" si="7"/>
        <v>425.04</v>
      </c>
      <c r="AG56" s="143">
        <f t="shared" si="7"/>
        <v>489.91</v>
      </c>
      <c r="AH56" s="54">
        <f t="shared" si="2"/>
        <v>434.84</v>
      </c>
      <c r="AI56" s="55">
        <f t="shared" si="3"/>
        <v>381.64</v>
      </c>
      <c r="AK56" s="56"/>
    </row>
    <row r="57" spans="1:41" x14ac:dyDescent="0.25">
      <c r="A57" s="57" t="s">
        <v>37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29.6</v>
      </c>
      <c r="AB57" s="50">
        <v>29.6</v>
      </c>
      <c r="AC57" s="50">
        <v>0</v>
      </c>
      <c r="AD57" s="50">
        <v>0</v>
      </c>
      <c r="AE57" s="50">
        <v>0</v>
      </c>
      <c r="AF57" s="50">
        <v>0</v>
      </c>
      <c r="AG57" s="135">
        <v>60</v>
      </c>
      <c r="AH57" s="54">
        <f t="shared" si="2"/>
        <v>29.6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14.7</v>
      </c>
      <c r="AB58" s="48">
        <v>14.7</v>
      </c>
      <c r="AC58" s="48">
        <v>0</v>
      </c>
      <c r="AD58" s="48">
        <v>0</v>
      </c>
      <c r="AE58" s="48">
        <v>0</v>
      </c>
      <c r="AF58" s="48">
        <v>0</v>
      </c>
      <c r="AG58" s="136">
        <v>32</v>
      </c>
      <c r="AH58" s="54">
        <f t="shared" si="2"/>
        <v>14.7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70">
        <v>0</v>
      </c>
      <c r="P59" s="70">
        <v>1</v>
      </c>
      <c r="Q59" s="70">
        <v>0</v>
      </c>
      <c r="R59" s="70">
        <v>0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70">
        <v>5.4</v>
      </c>
      <c r="AB59" s="70">
        <v>5.4</v>
      </c>
      <c r="AC59" s="70">
        <v>0</v>
      </c>
      <c r="AD59" s="70">
        <v>0</v>
      </c>
      <c r="AE59" s="70">
        <v>0</v>
      </c>
      <c r="AF59" s="70">
        <v>0</v>
      </c>
      <c r="AG59" s="137">
        <v>14</v>
      </c>
      <c r="AH59" s="54">
        <f t="shared" si="2"/>
        <v>5.4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>SUM(B57:B59)</f>
        <v>0</v>
      </c>
      <c r="C60" s="66">
        <f t="shared" ref="C60:AG60" si="8">SUM(C57:C59)</f>
        <v>0</v>
      </c>
      <c r="D60" s="66">
        <f t="shared" si="8"/>
        <v>0</v>
      </c>
      <c r="E60" s="66">
        <f t="shared" si="8"/>
        <v>0</v>
      </c>
      <c r="F60" s="66">
        <f t="shared" si="8"/>
        <v>0</v>
      </c>
      <c r="G60" s="66">
        <f t="shared" si="8"/>
        <v>0</v>
      </c>
      <c r="H60" s="66">
        <f t="shared" si="8"/>
        <v>0</v>
      </c>
      <c r="I60" s="66">
        <f t="shared" si="8"/>
        <v>0</v>
      </c>
      <c r="J60" s="66">
        <f t="shared" si="8"/>
        <v>0</v>
      </c>
      <c r="K60" s="66">
        <f t="shared" si="8"/>
        <v>0</v>
      </c>
      <c r="L60" s="66">
        <f t="shared" si="8"/>
        <v>0</v>
      </c>
      <c r="M60" s="66">
        <f t="shared" si="8"/>
        <v>0</v>
      </c>
      <c r="N60" s="66">
        <f t="shared" si="8"/>
        <v>0</v>
      </c>
      <c r="O60" s="66">
        <f t="shared" si="8"/>
        <v>0</v>
      </c>
      <c r="P60" s="66">
        <f t="shared" si="8"/>
        <v>1</v>
      </c>
      <c r="Q60" s="66">
        <f t="shared" si="8"/>
        <v>0</v>
      </c>
      <c r="R60" s="66">
        <f t="shared" si="8"/>
        <v>0</v>
      </c>
      <c r="S60" s="66">
        <f t="shared" si="8"/>
        <v>0</v>
      </c>
      <c r="T60" s="66">
        <f t="shared" si="8"/>
        <v>0</v>
      </c>
      <c r="U60" s="66">
        <f t="shared" si="8"/>
        <v>0</v>
      </c>
      <c r="V60" s="66">
        <f t="shared" si="8"/>
        <v>0</v>
      </c>
      <c r="W60" s="66">
        <f t="shared" si="8"/>
        <v>0</v>
      </c>
      <c r="X60" s="66">
        <f t="shared" si="8"/>
        <v>0</v>
      </c>
      <c r="Y60" s="66">
        <f t="shared" si="8"/>
        <v>0</v>
      </c>
      <c r="Z60" s="66">
        <f t="shared" si="8"/>
        <v>0</v>
      </c>
      <c r="AA60" s="66">
        <f t="shared" si="8"/>
        <v>49.699999999999996</v>
      </c>
      <c r="AB60" s="66">
        <f t="shared" si="8"/>
        <v>49.699999999999996</v>
      </c>
      <c r="AC60" s="66">
        <f t="shared" si="8"/>
        <v>0</v>
      </c>
      <c r="AD60" s="66">
        <f t="shared" si="8"/>
        <v>0</v>
      </c>
      <c r="AE60" s="66">
        <f t="shared" si="8"/>
        <v>0</v>
      </c>
      <c r="AF60" s="66">
        <f t="shared" si="8"/>
        <v>0</v>
      </c>
      <c r="AG60" s="143">
        <f t="shared" si="8"/>
        <v>106</v>
      </c>
      <c r="AH60" s="54">
        <f t="shared" si="2"/>
        <v>49.699999999999996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20.8</v>
      </c>
      <c r="C61" s="50">
        <v>14.4</v>
      </c>
      <c r="D61" s="50">
        <v>13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10</v>
      </c>
      <c r="N61" s="50">
        <v>12</v>
      </c>
      <c r="O61" s="50">
        <v>21.3</v>
      </c>
      <c r="P61" s="50">
        <v>31.5</v>
      </c>
      <c r="Q61" s="50">
        <v>26.5</v>
      </c>
      <c r="R61" s="50">
        <v>13.8</v>
      </c>
      <c r="S61" s="50">
        <v>32.299999999999997</v>
      </c>
      <c r="T61" s="50">
        <v>31.8</v>
      </c>
      <c r="U61" s="50">
        <v>66</v>
      </c>
      <c r="V61" s="50">
        <v>23.6</v>
      </c>
      <c r="W61" s="50">
        <v>17.2</v>
      </c>
      <c r="X61" s="50">
        <v>16</v>
      </c>
      <c r="Y61" s="50">
        <v>52</v>
      </c>
      <c r="Z61" s="50">
        <v>58.2</v>
      </c>
      <c r="AA61" s="50">
        <v>71</v>
      </c>
      <c r="AB61" s="50">
        <v>71</v>
      </c>
      <c r="AC61" s="50">
        <v>65.3</v>
      </c>
      <c r="AD61" s="50">
        <v>66.8</v>
      </c>
      <c r="AE61" s="50">
        <v>71</v>
      </c>
      <c r="AF61" s="50">
        <v>66.8</v>
      </c>
      <c r="AG61" s="135"/>
      <c r="AH61" s="54">
        <f t="shared" si="2"/>
        <v>71</v>
      </c>
      <c r="AI61" s="55">
        <f t="shared" si="3"/>
        <v>0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-397</v>
      </c>
      <c r="C63" s="48">
        <v>-403</v>
      </c>
      <c r="D63" s="48">
        <v>-405</v>
      </c>
      <c r="E63" s="48">
        <v>-410.6</v>
      </c>
      <c r="F63" s="48">
        <v>-410.4</v>
      </c>
      <c r="G63" s="48">
        <v>-422</v>
      </c>
      <c r="H63" s="48">
        <v>-440</v>
      </c>
      <c r="I63" s="48">
        <v>-414.2</v>
      </c>
      <c r="J63" s="48">
        <v>-417.1</v>
      </c>
      <c r="K63" s="48">
        <v>-404.1</v>
      </c>
      <c r="L63" s="48">
        <v>-415</v>
      </c>
      <c r="M63" s="48">
        <v>-355.4</v>
      </c>
      <c r="N63" s="48">
        <v>-321.10000000000002</v>
      </c>
      <c r="O63" s="48">
        <v>-355.2</v>
      </c>
      <c r="P63" s="48">
        <v>-312.10000000000002</v>
      </c>
      <c r="Q63" s="48">
        <v>-302.3</v>
      </c>
      <c r="R63" s="48">
        <v>-295.3</v>
      </c>
      <c r="S63" s="48">
        <v>-301</v>
      </c>
      <c r="T63" s="48">
        <v>-327.3</v>
      </c>
      <c r="U63" s="48">
        <v>-300</v>
      </c>
      <c r="V63" s="48">
        <v>-321.7</v>
      </c>
      <c r="W63" s="48">
        <v>-333</v>
      </c>
      <c r="X63" s="48">
        <v>-352.6</v>
      </c>
      <c r="Y63" s="48">
        <v>-360</v>
      </c>
      <c r="Z63" s="48">
        <v>-270.8</v>
      </c>
      <c r="AA63" s="48">
        <v>-244</v>
      </c>
      <c r="AB63" s="48">
        <v>-288</v>
      </c>
      <c r="AC63" s="48">
        <v>-275</v>
      </c>
      <c r="AD63" s="48">
        <v>-255</v>
      </c>
      <c r="AE63" s="48">
        <v>-321</v>
      </c>
      <c r="AF63" s="48">
        <v>-362</v>
      </c>
      <c r="AG63" s="140"/>
      <c r="AH63" s="54">
        <f t="shared" si="2"/>
        <v>-244</v>
      </c>
      <c r="AI63" s="55">
        <f t="shared" si="3"/>
        <v>-440</v>
      </c>
      <c r="AK63" s="56"/>
    </row>
    <row r="64" spans="1:41" x14ac:dyDescent="0.25">
      <c r="A64" s="60" t="s">
        <v>44</v>
      </c>
      <c r="B64" s="71">
        <v>0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140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5</v>
      </c>
      <c r="C66" s="72">
        <v>5</v>
      </c>
      <c r="D66" s="72">
        <v>5</v>
      </c>
      <c r="E66" s="72">
        <v>5</v>
      </c>
      <c r="F66" s="72">
        <v>0</v>
      </c>
      <c r="G66" s="72">
        <v>0</v>
      </c>
      <c r="H66" s="72">
        <v>0</v>
      </c>
      <c r="I66" s="72">
        <v>0</v>
      </c>
      <c r="J66" s="72">
        <v>0</v>
      </c>
      <c r="K66" s="72">
        <v>0</v>
      </c>
      <c r="L66" s="72">
        <v>0</v>
      </c>
      <c r="M66" s="72">
        <v>4</v>
      </c>
      <c r="N66" s="72">
        <v>4</v>
      </c>
      <c r="O66" s="72">
        <v>4</v>
      </c>
      <c r="P66" s="72">
        <v>4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5</v>
      </c>
      <c r="Y66" s="72">
        <v>5</v>
      </c>
      <c r="Z66" s="72">
        <v>5</v>
      </c>
      <c r="AA66" s="72">
        <v>7</v>
      </c>
      <c r="AB66" s="72">
        <v>7</v>
      </c>
      <c r="AC66" s="72">
        <v>7</v>
      </c>
      <c r="AD66" s="72">
        <v>7</v>
      </c>
      <c r="AE66" s="72">
        <v>7</v>
      </c>
      <c r="AF66" s="72">
        <v>7</v>
      </c>
      <c r="AG66" s="140"/>
      <c r="AH66" s="54">
        <f t="shared" si="2"/>
        <v>7</v>
      </c>
      <c r="AI66" s="55">
        <f t="shared" si="3"/>
        <v>0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1">
        <v>0</v>
      </c>
      <c r="D68" s="71">
        <v>0</v>
      </c>
      <c r="E68" s="71">
        <v>0</v>
      </c>
      <c r="F68" s="71">
        <v>0</v>
      </c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5</v>
      </c>
      <c r="P68" s="71">
        <v>5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5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1">
        <v>0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4">
        <v>0</v>
      </c>
      <c r="C70" s="74">
        <v>0</v>
      </c>
      <c r="D70" s="74">
        <v>0</v>
      </c>
      <c r="E70" s="74">
        <v>0</v>
      </c>
      <c r="F70" s="74">
        <v>0</v>
      </c>
      <c r="G70" s="74">
        <v>0</v>
      </c>
      <c r="H70" s="74">
        <v>0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4">
        <v>0</v>
      </c>
      <c r="C71" s="74">
        <v>0</v>
      </c>
      <c r="D71" s="74">
        <v>0</v>
      </c>
      <c r="E71" s="74">
        <v>0</v>
      </c>
      <c r="F71" s="74">
        <v>0</v>
      </c>
      <c r="G71" s="74">
        <v>0</v>
      </c>
      <c r="H71" s="74">
        <v>0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>SUMIF(B61:B71,"&gt;0")</f>
        <v>25.8</v>
      </c>
      <c r="C72" s="66">
        <f t="shared" ref="C72:L72" si="9">SUMIF(C61:C71,"&gt;0")</f>
        <v>19.399999999999999</v>
      </c>
      <c r="D72" s="66">
        <f t="shared" si="9"/>
        <v>18</v>
      </c>
      <c r="E72" s="66">
        <f t="shared" si="9"/>
        <v>5</v>
      </c>
      <c r="F72" s="66">
        <f t="shared" si="9"/>
        <v>0</v>
      </c>
      <c r="G72" s="66">
        <f t="shared" si="9"/>
        <v>0</v>
      </c>
      <c r="H72" s="66">
        <f t="shared" si="9"/>
        <v>0</v>
      </c>
      <c r="I72" s="66">
        <f t="shared" si="9"/>
        <v>0</v>
      </c>
      <c r="J72" s="66">
        <f t="shared" si="9"/>
        <v>0</v>
      </c>
      <c r="K72" s="66">
        <f t="shared" si="9"/>
        <v>0</v>
      </c>
      <c r="L72" s="66">
        <f t="shared" si="9"/>
        <v>0</v>
      </c>
      <c r="M72" s="66">
        <f>SUMIF(M61:M71,"&gt;0")</f>
        <v>14</v>
      </c>
      <c r="N72" s="66">
        <f t="shared" ref="N72:AF72" si="10">SUMIF(N61:N71,"&gt;0")</f>
        <v>16</v>
      </c>
      <c r="O72" s="66">
        <f t="shared" si="10"/>
        <v>30.3</v>
      </c>
      <c r="P72" s="66">
        <f t="shared" si="10"/>
        <v>40.5</v>
      </c>
      <c r="Q72" s="66">
        <f t="shared" si="10"/>
        <v>26.5</v>
      </c>
      <c r="R72" s="66">
        <f t="shared" si="10"/>
        <v>13.8</v>
      </c>
      <c r="S72" s="66">
        <f t="shared" si="10"/>
        <v>32.299999999999997</v>
      </c>
      <c r="T72" s="66">
        <f t="shared" si="10"/>
        <v>31.8</v>
      </c>
      <c r="U72" s="66">
        <f t="shared" si="10"/>
        <v>66</v>
      </c>
      <c r="V72" s="66">
        <f t="shared" si="10"/>
        <v>23.6</v>
      </c>
      <c r="W72" s="66">
        <f t="shared" si="10"/>
        <v>17.2</v>
      </c>
      <c r="X72" s="66">
        <f t="shared" si="10"/>
        <v>21</v>
      </c>
      <c r="Y72" s="66">
        <f t="shared" si="10"/>
        <v>57</v>
      </c>
      <c r="Z72" s="66">
        <f t="shared" si="10"/>
        <v>63.2</v>
      </c>
      <c r="AA72" s="66">
        <f t="shared" si="10"/>
        <v>78</v>
      </c>
      <c r="AB72" s="66">
        <f t="shared" si="10"/>
        <v>78</v>
      </c>
      <c r="AC72" s="66">
        <f t="shared" si="10"/>
        <v>72.3</v>
      </c>
      <c r="AD72" s="66">
        <f t="shared" si="10"/>
        <v>73.8</v>
      </c>
      <c r="AE72" s="66">
        <f t="shared" si="10"/>
        <v>78</v>
      </c>
      <c r="AF72" s="66">
        <f t="shared" si="10"/>
        <v>73.8</v>
      </c>
      <c r="AG72" s="138">
        <f>SUM(AG61:AG71)</f>
        <v>0</v>
      </c>
      <c r="AH72" s="54">
        <f t="shared" si="2"/>
        <v>78</v>
      </c>
      <c r="AI72" s="55">
        <f t="shared" si="3"/>
        <v>0</v>
      </c>
      <c r="AK72" s="56"/>
    </row>
    <row r="73" spans="1:88" x14ac:dyDescent="0.25">
      <c r="A73" s="57" t="s">
        <v>53</v>
      </c>
      <c r="B73" s="71">
        <v>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>
        <v>0</v>
      </c>
      <c r="C75" s="74">
        <v>0</v>
      </c>
      <c r="D75" s="74">
        <v>0</v>
      </c>
      <c r="E75" s="74">
        <v>0</v>
      </c>
      <c r="F75" s="74">
        <v>0</v>
      </c>
      <c r="G75" s="74">
        <v>0</v>
      </c>
      <c r="H75" s="74">
        <v>0</v>
      </c>
      <c r="I75" s="74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>B38+B42+B60+B56+B72+B76</f>
        <v>1794.4399999999998</v>
      </c>
      <c r="C77" s="75">
        <f t="shared" ref="C77:AF77" si="11">C38+C42+C60+C56+C72+C76</f>
        <v>1771.54</v>
      </c>
      <c r="D77" s="75">
        <f t="shared" si="11"/>
        <v>1764.1399999999999</v>
      </c>
      <c r="E77" s="75">
        <f t="shared" si="11"/>
        <v>1747.6399999999999</v>
      </c>
      <c r="F77" s="75">
        <f t="shared" si="11"/>
        <v>1746.04</v>
      </c>
      <c r="G77" s="75">
        <f t="shared" si="11"/>
        <v>1736.84</v>
      </c>
      <c r="H77" s="75">
        <f t="shared" si="11"/>
        <v>1738.84</v>
      </c>
      <c r="I77" s="75">
        <f t="shared" si="11"/>
        <v>1728.34</v>
      </c>
      <c r="J77" s="75">
        <f t="shared" si="11"/>
        <v>1765.04</v>
      </c>
      <c r="K77" s="75">
        <f t="shared" si="11"/>
        <v>1758.2399999999998</v>
      </c>
      <c r="L77" s="75">
        <f t="shared" si="11"/>
        <v>1807.2399999999998</v>
      </c>
      <c r="M77" s="75">
        <f t="shared" si="11"/>
        <v>1774.7400000000002</v>
      </c>
      <c r="N77" s="75">
        <f t="shared" si="11"/>
        <v>1706.3400000000001</v>
      </c>
      <c r="O77" s="75">
        <f t="shared" si="11"/>
        <v>1787.5399999999997</v>
      </c>
      <c r="P77" s="75">
        <f t="shared" si="11"/>
        <v>1742.14</v>
      </c>
      <c r="Q77" s="75">
        <f t="shared" si="11"/>
        <v>1713.54</v>
      </c>
      <c r="R77" s="75">
        <f t="shared" si="11"/>
        <v>1752.24</v>
      </c>
      <c r="S77" s="75">
        <f t="shared" si="11"/>
        <v>1798.7399999999998</v>
      </c>
      <c r="T77" s="75">
        <f t="shared" si="11"/>
        <v>1772.34</v>
      </c>
      <c r="U77" s="75">
        <f t="shared" si="11"/>
        <v>1806.54</v>
      </c>
      <c r="V77" s="75">
        <f t="shared" si="11"/>
        <v>1825.6399999999999</v>
      </c>
      <c r="W77" s="75">
        <f t="shared" si="11"/>
        <v>1837.44</v>
      </c>
      <c r="X77" s="75">
        <f t="shared" si="11"/>
        <v>1834.24</v>
      </c>
      <c r="Y77" s="75">
        <f t="shared" si="11"/>
        <v>1862.1399999999999</v>
      </c>
      <c r="Z77" s="75">
        <f t="shared" si="11"/>
        <v>1872.34</v>
      </c>
      <c r="AA77" s="75">
        <f t="shared" si="11"/>
        <v>1950.04</v>
      </c>
      <c r="AB77" s="75">
        <f t="shared" si="11"/>
        <v>1949.84</v>
      </c>
      <c r="AC77" s="75">
        <f t="shared" si="11"/>
        <v>1894.4399999999998</v>
      </c>
      <c r="AD77" s="75">
        <f t="shared" si="11"/>
        <v>1895.9399999999998</v>
      </c>
      <c r="AE77" s="75">
        <f t="shared" si="11"/>
        <v>1900.1399999999999</v>
      </c>
      <c r="AF77" s="75">
        <f t="shared" si="11"/>
        <v>1890.9399999999998</v>
      </c>
      <c r="AG77" s="143">
        <f>AG38+AG42+AG60+AG56+AG72+AG76</f>
        <v>1855.1900000000003</v>
      </c>
      <c r="AH77" s="54">
        <f t="shared" si="2"/>
        <v>1950.04</v>
      </c>
      <c r="AI77" s="55">
        <f t="shared" si="3"/>
        <v>1706.3400000000001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0</v>
      </c>
      <c r="AI78" s="55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>B77+B78</f>
        <v>1794.4399999999998</v>
      </c>
      <c r="C79" s="75">
        <f t="shared" ref="C79:AF79" si="12">C77+C78</f>
        <v>1771.54</v>
      </c>
      <c r="D79" s="75">
        <f t="shared" si="12"/>
        <v>1764.1399999999999</v>
      </c>
      <c r="E79" s="75">
        <f t="shared" si="12"/>
        <v>1747.6399999999999</v>
      </c>
      <c r="F79" s="75">
        <f t="shared" si="12"/>
        <v>1746.04</v>
      </c>
      <c r="G79" s="75">
        <f t="shared" si="12"/>
        <v>1736.84</v>
      </c>
      <c r="H79" s="75">
        <f t="shared" si="12"/>
        <v>1738.84</v>
      </c>
      <c r="I79" s="75">
        <f t="shared" si="12"/>
        <v>1728.34</v>
      </c>
      <c r="J79" s="75">
        <f t="shared" si="12"/>
        <v>1765.04</v>
      </c>
      <c r="K79" s="75">
        <f t="shared" si="12"/>
        <v>1758.2399999999998</v>
      </c>
      <c r="L79" s="75">
        <f t="shared" si="12"/>
        <v>1807.2399999999998</v>
      </c>
      <c r="M79" s="75">
        <f t="shared" si="12"/>
        <v>1774.7400000000002</v>
      </c>
      <c r="N79" s="75">
        <f t="shared" si="12"/>
        <v>1706.3400000000001</v>
      </c>
      <c r="O79" s="75">
        <f t="shared" si="12"/>
        <v>1787.5399999999997</v>
      </c>
      <c r="P79" s="75">
        <f t="shared" si="12"/>
        <v>1742.14</v>
      </c>
      <c r="Q79" s="75">
        <f t="shared" si="12"/>
        <v>1713.54</v>
      </c>
      <c r="R79" s="75">
        <f t="shared" si="12"/>
        <v>1752.24</v>
      </c>
      <c r="S79" s="75">
        <f t="shared" si="12"/>
        <v>1798.7399999999998</v>
      </c>
      <c r="T79" s="75">
        <f t="shared" si="12"/>
        <v>1772.34</v>
      </c>
      <c r="U79" s="75">
        <f t="shared" si="12"/>
        <v>1806.54</v>
      </c>
      <c r="V79" s="75">
        <f t="shared" si="12"/>
        <v>1825.6399999999999</v>
      </c>
      <c r="W79" s="75">
        <f t="shared" si="12"/>
        <v>1837.44</v>
      </c>
      <c r="X79" s="75">
        <f t="shared" si="12"/>
        <v>1834.24</v>
      </c>
      <c r="Y79" s="75">
        <f t="shared" si="12"/>
        <v>1862.1399999999999</v>
      </c>
      <c r="Z79" s="75">
        <f t="shared" si="12"/>
        <v>1872.34</v>
      </c>
      <c r="AA79" s="75">
        <f t="shared" si="12"/>
        <v>1950.04</v>
      </c>
      <c r="AB79" s="75">
        <f t="shared" si="12"/>
        <v>1949.84</v>
      </c>
      <c r="AC79" s="75">
        <f t="shared" si="12"/>
        <v>1894.4399999999998</v>
      </c>
      <c r="AD79" s="75">
        <f t="shared" si="12"/>
        <v>1895.9399999999998</v>
      </c>
      <c r="AE79" s="75">
        <f t="shared" si="12"/>
        <v>1900.1399999999999</v>
      </c>
      <c r="AF79" s="75">
        <f t="shared" si="12"/>
        <v>1890.9399999999998</v>
      </c>
      <c r="AG79" s="138">
        <f>AG76+AG72+AG60+AG56+AG38+AG78</f>
        <v>1317.0900000000001</v>
      </c>
      <c r="AH79" s="54">
        <f t="shared" si="2"/>
        <v>1950.04</v>
      </c>
      <c r="AI79" s="55">
        <f t="shared" si="3"/>
        <v>1706.3400000000001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:AF80" si="13">B79-B87</f>
        <v>1397.4399999999998</v>
      </c>
      <c r="C80" s="75">
        <f t="shared" si="13"/>
        <v>1368.54</v>
      </c>
      <c r="D80" s="75">
        <f t="shared" si="13"/>
        <v>1359.1399999999999</v>
      </c>
      <c r="E80" s="75">
        <f t="shared" si="13"/>
        <v>1337.04</v>
      </c>
      <c r="F80" s="75">
        <f t="shared" si="13"/>
        <v>1335.6399999999999</v>
      </c>
      <c r="G80" s="75">
        <f t="shared" si="13"/>
        <v>1314.84</v>
      </c>
      <c r="H80" s="75">
        <f t="shared" si="13"/>
        <v>1298.8399999999999</v>
      </c>
      <c r="I80" s="75">
        <f t="shared" si="13"/>
        <v>1314.1399999999999</v>
      </c>
      <c r="J80" s="75">
        <f t="shared" si="13"/>
        <v>1347.94</v>
      </c>
      <c r="K80" s="75">
        <f t="shared" si="13"/>
        <v>1354.1399999999999</v>
      </c>
      <c r="L80" s="75">
        <f t="shared" si="13"/>
        <v>1392.2399999999998</v>
      </c>
      <c r="M80" s="75">
        <f t="shared" si="13"/>
        <v>1419.3400000000001</v>
      </c>
      <c r="N80" s="75">
        <f t="shared" si="13"/>
        <v>1385.2400000000002</v>
      </c>
      <c r="O80" s="75">
        <f t="shared" si="13"/>
        <v>1432.3399999999997</v>
      </c>
      <c r="P80" s="75">
        <f t="shared" si="13"/>
        <v>1430.04</v>
      </c>
      <c r="Q80" s="75">
        <f t="shared" si="13"/>
        <v>1411.24</v>
      </c>
      <c r="R80" s="75">
        <f t="shared" si="13"/>
        <v>1456.94</v>
      </c>
      <c r="S80" s="75">
        <f t="shared" si="13"/>
        <v>1497.7399999999998</v>
      </c>
      <c r="T80" s="75">
        <f t="shared" si="13"/>
        <v>1445.04</v>
      </c>
      <c r="U80" s="75">
        <f t="shared" si="13"/>
        <v>1506.54</v>
      </c>
      <c r="V80" s="75">
        <f t="shared" si="13"/>
        <v>1503.9399999999998</v>
      </c>
      <c r="W80" s="75">
        <f t="shared" si="13"/>
        <v>1504.44</v>
      </c>
      <c r="X80" s="75">
        <f t="shared" si="13"/>
        <v>1481.6399999999999</v>
      </c>
      <c r="Y80" s="75">
        <f t="shared" si="13"/>
        <v>1502.1399999999999</v>
      </c>
      <c r="Z80" s="75">
        <f t="shared" si="13"/>
        <v>1601.54</v>
      </c>
      <c r="AA80" s="75">
        <f t="shared" si="13"/>
        <v>1706.04</v>
      </c>
      <c r="AB80" s="75">
        <f t="shared" si="13"/>
        <v>1661.84</v>
      </c>
      <c r="AC80" s="75">
        <f t="shared" si="13"/>
        <v>1619.4399999999998</v>
      </c>
      <c r="AD80" s="75">
        <f t="shared" si="13"/>
        <v>1640.9399999999998</v>
      </c>
      <c r="AE80" s="75">
        <f t="shared" si="13"/>
        <v>1579.1399999999999</v>
      </c>
      <c r="AF80" s="75">
        <f t="shared" si="13"/>
        <v>1528.9399999999998</v>
      </c>
      <c r="AG80" s="138"/>
      <c r="AH80" s="54">
        <f t="shared" ref="AH80:AH97" si="14">MAX(B80:AF80)</f>
        <v>1706.04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>IF(B64&lt;0,B64*-1,0)</f>
        <v>0</v>
      </c>
      <c r="C81" s="71">
        <f t="shared" ref="C81:AF81" si="15">IF(C64&lt;0,C64*-1,0)</f>
        <v>0</v>
      </c>
      <c r="D81" s="71">
        <f t="shared" si="15"/>
        <v>0</v>
      </c>
      <c r="E81" s="71">
        <f t="shared" si="15"/>
        <v>0</v>
      </c>
      <c r="F81" s="71">
        <f t="shared" si="15"/>
        <v>0</v>
      </c>
      <c r="G81" s="71">
        <f t="shared" si="15"/>
        <v>0</v>
      </c>
      <c r="H81" s="71">
        <f t="shared" si="15"/>
        <v>0</v>
      </c>
      <c r="I81" s="71">
        <f t="shared" si="15"/>
        <v>0</v>
      </c>
      <c r="J81" s="71">
        <f t="shared" si="15"/>
        <v>0</v>
      </c>
      <c r="K81" s="71">
        <f t="shared" si="15"/>
        <v>0</v>
      </c>
      <c r="L81" s="71">
        <f t="shared" si="15"/>
        <v>0</v>
      </c>
      <c r="M81" s="71">
        <f t="shared" si="15"/>
        <v>0</v>
      </c>
      <c r="N81" s="71">
        <f t="shared" si="15"/>
        <v>0</v>
      </c>
      <c r="O81" s="71">
        <f t="shared" si="15"/>
        <v>0</v>
      </c>
      <c r="P81" s="71">
        <f t="shared" si="15"/>
        <v>0</v>
      </c>
      <c r="Q81" s="71">
        <f t="shared" si="15"/>
        <v>0</v>
      </c>
      <c r="R81" s="71">
        <f t="shared" si="15"/>
        <v>0</v>
      </c>
      <c r="S81" s="71">
        <f t="shared" si="15"/>
        <v>0</v>
      </c>
      <c r="T81" s="71">
        <f t="shared" si="15"/>
        <v>0</v>
      </c>
      <c r="U81" s="71">
        <f t="shared" si="15"/>
        <v>0</v>
      </c>
      <c r="V81" s="71">
        <f t="shared" si="15"/>
        <v>0</v>
      </c>
      <c r="W81" s="71">
        <f t="shared" si="15"/>
        <v>0</v>
      </c>
      <c r="X81" s="71">
        <f t="shared" si="15"/>
        <v>0</v>
      </c>
      <c r="Y81" s="71">
        <f t="shared" si="15"/>
        <v>0</v>
      </c>
      <c r="Z81" s="71">
        <f t="shared" si="15"/>
        <v>0</v>
      </c>
      <c r="AA81" s="71">
        <f t="shared" si="15"/>
        <v>0</v>
      </c>
      <c r="AB81" s="71">
        <f t="shared" si="15"/>
        <v>0</v>
      </c>
      <c r="AC81" s="71">
        <f t="shared" si="15"/>
        <v>0</v>
      </c>
      <c r="AD81" s="71">
        <f t="shared" si="15"/>
        <v>0</v>
      </c>
      <c r="AE81" s="71">
        <f t="shared" si="15"/>
        <v>0</v>
      </c>
      <c r="AF81" s="71">
        <f t="shared" si="15"/>
        <v>0</v>
      </c>
      <c r="AG81" s="135"/>
      <c r="AH81" s="54">
        <f t="shared" si="14"/>
        <v>0</v>
      </c>
      <c r="AI81" s="55">
        <f t="shared" ref="AI81:AI97" si="16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>IF(B62&lt;0,B62*-1,0)</f>
        <v>0</v>
      </c>
      <c r="C82" s="71">
        <f t="shared" ref="C82:AF82" si="17">IF(C62&lt;0,C62*-1,0)</f>
        <v>0</v>
      </c>
      <c r="D82" s="71">
        <f t="shared" si="17"/>
        <v>0</v>
      </c>
      <c r="E82" s="71">
        <f t="shared" si="17"/>
        <v>0</v>
      </c>
      <c r="F82" s="71">
        <f t="shared" si="17"/>
        <v>0</v>
      </c>
      <c r="G82" s="71">
        <f t="shared" si="17"/>
        <v>0</v>
      </c>
      <c r="H82" s="71">
        <f t="shared" si="17"/>
        <v>0</v>
      </c>
      <c r="I82" s="71">
        <f t="shared" si="17"/>
        <v>0</v>
      </c>
      <c r="J82" s="71">
        <f t="shared" si="17"/>
        <v>0</v>
      </c>
      <c r="K82" s="71">
        <f t="shared" si="17"/>
        <v>0</v>
      </c>
      <c r="L82" s="71">
        <f t="shared" si="17"/>
        <v>0</v>
      </c>
      <c r="M82" s="71">
        <f t="shared" si="17"/>
        <v>0</v>
      </c>
      <c r="N82" s="71">
        <f t="shared" si="17"/>
        <v>0</v>
      </c>
      <c r="O82" s="71">
        <f t="shared" si="17"/>
        <v>0</v>
      </c>
      <c r="P82" s="71">
        <f t="shared" si="17"/>
        <v>0</v>
      </c>
      <c r="Q82" s="71">
        <f t="shared" si="17"/>
        <v>0</v>
      </c>
      <c r="R82" s="71">
        <f t="shared" si="17"/>
        <v>0</v>
      </c>
      <c r="S82" s="71">
        <f t="shared" si="17"/>
        <v>0</v>
      </c>
      <c r="T82" s="71">
        <f t="shared" si="17"/>
        <v>0</v>
      </c>
      <c r="U82" s="71">
        <f t="shared" si="17"/>
        <v>0</v>
      </c>
      <c r="V82" s="71">
        <f t="shared" si="17"/>
        <v>0</v>
      </c>
      <c r="W82" s="71">
        <f t="shared" si="17"/>
        <v>0</v>
      </c>
      <c r="X82" s="71">
        <f t="shared" si="17"/>
        <v>0</v>
      </c>
      <c r="Y82" s="71">
        <f t="shared" si="17"/>
        <v>0</v>
      </c>
      <c r="Z82" s="71">
        <f t="shared" si="17"/>
        <v>0</v>
      </c>
      <c r="AA82" s="71">
        <f t="shared" si="17"/>
        <v>0</v>
      </c>
      <c r="AB82" s="71">
        <f t="shared" si="17"/>
        <v>0</v>
      </c>
      <c r="AC82" s="71">
        <f t="shared" si="17"/>
        <v>0</v>
      </c>
      <c r="AD82" s="71">
        <f t="shared" si="17"/>
        <v>0</v>
      </c>
      <c r="AE82" s="71">
        <f t="shared" si="17"/>
        <v>0</v>
      </c>
      <c r="AF82" s="71">
        <f t="shared" si="17"/>
        <v>0</v>
      </c>
      <c r="AG82" s="136"/>
      <c r="AH82" s="54">
        <f t="shared" si="14"/>
        <v>0</v>
      </c>
      <c r="AI82" s="55">
        <f t="shared" si="16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>IF(B65&lt;0,B65*-1,0)</f>
        <v>0</v>
      </c>
      <c r="C83" s="71">
        <f t="shared" ref="C83:AF83" si="18">IF(C65&lt;0,C65*-1,0)</f>
        <v>0</v>
      </c>
      <c r="D83" s="71">
        <f t="shared" si="18"/>
        <v>0</v>
      </c>
      <c r="E83" s="71">
        <f t="shared" si="18"/>
        <v>0</v>
      </c>
      <c r="F83" s="71">
        <f t="shared" si="18"/>
        <v>0</v>
      </c>
      <c r="G83" s="71">
        <f t="shared" si="18"/>
        <v>0</v>
      </c>
      <c r="H83" s="71">
        <f t="shared" si="18"/>
        <v>0</v>
      </c>
      <c r="I83" s="71">
        <f t="shared" si="18"/>
        <v>0</v>
      </c>
      <c r="J83" s="71">
        <f t="shared" si="18"/>
        <v>0</v>
      </c>
      <c r="K83" s="71">
        <f t="shared" si="18"/>
        <v>0</v>
      </c>
      <c r="L83" s="71">
        <f t="shared" si="18"/>
        <v>0</v>
      </c>
      <c r="M83" s="71">
        <f t="shared" si="18"/>
        <v>0</v>
      </c>
      <c r="N83" s="71">
        <f t="shared" si="18"/>
        <v>0</v>
      </c>
      <c r="O83" s="71">
        <f t="shared" si="18"/>
        <v>0</v>
      </c>
      <c r="P83" s="71">
        <f t="shared" si="18"/>
        <v>0</v>
      </c>
      <c r="Q83" s="71">
        <f t="shared" si="18"/>
        <v>0</v>
      </c>
      <c r="R83" s="71">
        <f t="shared" si="18"/>
        <v>0</v>
      </c>
      <c r="S83" s="71">
        <f t="shared" si="18"/>
        <v>0</v>
      </c>
      <c r="T83" s="71">
        <f t="shared" si="18"/>
        <v>0</v>
      </c>
      <c r="U83" s="71">
        <f t="shared" si="18"/>
        <v>0</v>
      </c>
      <c r="V83" s="71">
        <f t="shared" si="18"/>
        <v>0</v>
      </c>
      <c r="W83" s="71">
        <f t="shared" si="18"/>
        <v>0</v>
      </c>
      <c r="X83" s="71">
        <f t="shared" si="18"/>
        <v>0</v>
      </c>
      <c r="Y83" s="71">
        <f t="shared" si="18"/>
        <v>0</v>
      </c>
      <c r="Z83" s="71">
        <f t="shared" si="18"/>
        <v>0</v>
      </c>
      <c r="AA83" s="71">
        <f t="shared" si="18"/>
        <v>0</v>
      </c>
      <c r="AB83" s="71">
        <f t="shared" si="18"/>
        <v>0</v>
      </c>
      <c r="AC83" s="71">
        <f t="shared" si="18"/>
        <v>0</v>
      </c>
      <c r="AD83" s="71">
        <f t="shared" si="18"/>
        <v>0</v>
      </c>
      <c r="AE83" s="71">
        <f t="shared" si="18"/>
        <v>0</v>
      </c>
      <c r="AF83" s="71">
        <f t="shared" si="18"/>
        <v>0</v>
      </c>
      <c r="AG83" s="144"/>
      <c r="AH83" s="54">
        <f t="shared" si="14"/>
        <v>0</v>
      </c>
      <c r="AI83" s="55">
        <f t="shared" si="16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>IF(B63&lt;0,B63*-1,0)</f>
        <v>397</v>
      </c>
      <c r="C84" s="71">
        <f t="shared" ref="C84:AF84" si="19">IF(C63&lt;0,C63*-1,0)</f>
        <v>403</v>
      </c>
      <c r="D84" s="71">
        <f t="shared" si="19"/>
        <v>405</v>
      </c>
      <c r="E84" s="71">
        <f t="shared" si="19"/>
        <v>410.6</v>
      </c>
      <c r="F84" s="71">
        <f t="shared" si="19"/>
        <v>410.4</v>
      </c>
      <c r="G84" s="71">
        <f t="shared" si="19"/>
        <v>422</v>
      </c>
      <c r="H84" s="71">
        <f t="shared" si="19"/>
        <v>440</v>
      </c>
      <c r="I84" s="71">
        <f t="shared" si="19"/>
        <v>414.2</v>
      </c>
      <c r="J84" s="71">
        <f t="shared" si="19"/>
        <v>417.1</v>
      </c>
      <c r="K84" s="71">
        <f t="shared" si="19"/>
        <v>404.1</v>
      </c>
      <c r="L84" s="71">
        <f t="shared" si="19"/>
        <v>415</v>
      </c>
      <c r="M84" s="71">
        <f t="shared" si="19"/>
        <v>355.4</v>
      </c>
      <c r="N84" s="71">
        <f t="shared" si="19"/>
        <v>321.10000000000002</v>
      </c>
      <c r="O84" s="71">
        <f t="shared" si="19"/>
        <v>355.2</v>
      </c>
      <c r="P84" s="71">
        <f t="shared" si="19"/>
        <v>312.10000000000002</v>
      </c>
      <c r="Q84" s="71">
        <f t="shared" si="19"/>
        <v>302.3</v>
      </c>
      <c r="R84" s="71">
        <f t="shared" si="19"/>
        <v>295.3</v>
      </c>
      <c r="S84" s="71">
        <f t="shared" si="19"/>
        <v>301</v>
      </c>
      <c r="T84" s="71">
        <f t="shared" si="19"/>
        <v>327.3</v>
      </c>
      <c r="U84" s="71">
        <f t="shared" si="19"/>
        <v>300</v>
      </c>
      <c r="V84" s="71">
        <f t="shared" si="19"/>
        <v>321.7</v>
      </c>
      <c r="W84" s="71">
        <f t="shared" si="19"/>
        <v>333</v>
      </c>
      <c r="X84" s="71">
        <f t="shared" si="19"/>
        <v>352.6</v>
      </c>
      <c r="Y84" s="71">
        <f t="shared" si="19"/>
        <v>360</v>
      </c>
      <c r="Z84" s="71">
        <f t="shared" si="19"/>
        <v>270.8</v>
      </c>
      <c r="AA84" s="71">
        <f t="shared" si="19"/>
        <v>244</v>
      </c>
      <c r="AB84" s="71">
        <f t="shared" si="19"/>
        <v>288</v>
      </c>
      <c r="AC84" s="71">
        <f t="shared" si="19"/>
        <v>275</v>
      </c>
      <c r="AD84" s="71">
        <f t="shared" si="19"/>
        <v>255</v>
      </c>
      <c r="AE84" s="71">
        <f t="shared" si="19"/>
        <v>321</v>
      </c>
      <c r="AF84" s="71">
        <f t="shared" si="19"/>
        <v>362</v>
      </c>
      <c r="AG84" s="144"/>
      <c r="AH84" s="54">
        <f t="shared" si="14"/>
        <v>440</v>
      </c>
      <c r="AI84" s="55">
        <f t="shared" si="16"/>
        <v>244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>IF(B61&lt;0,B61*-1,0)</f>
        <v>0</v>
      </c>
      <c r="C85" s="71">
        <f t="shared" ref="C85:AF85" si="20">IF(C61&lt;0,C61*-1,0)</f>
        <v>0</v>
      </c>
      <c r="D85" s="71">
        <f t="shared" si="20"/>
        <v>0</v>
      </c>
      <c r="E85" s="71">
        <f t="shared" si="20"/>
        <v>0</v>
      </c>
      <c r="F85" s="71">
        <f t="shared" si="20"/>
        <v>0</v>
      </c>
      <c r="G85" s="71">
        <f t="shared" si="20"/>
        <v>0</v>
      </c>
      <c r="H85" s="71">
        <f t="shared" si="20"/>
        <v>0</v>
      </c>
      <c r="I85" s="71">
        <f t="shared" si="20"/>
        <v>0</v>
      </c>
      <c r="J85" s="71">
        <f t="shared" si="20"/>
        <v>0</v>
      </c>
      <c r="K85" s="71">
        <f t="shared" si="20"/>
        <v>0</v>
      </c>
      <c r="L85" s="71">
        <f t="shared" si="20"/>
        <v>0</v>
      </c>
      <c r="M85" s="71">
        <f t="shared" si="20"/>
        <v>0</v>
      </c>
      <c r="N85" s="71">
        <f t="shared" si="20"/>
        <v>0</v>
      </c>
      <c r="O85" s="71">
        <f t="shared" si="20"/>
        <v>0</v>
      </c>
      <c r="P85" s="71">
        <f t="shared" si="20"/>
        <v>0</v>
      </c>
      <c r="Q85" s="71">
        <f t="shared" si="20"/>
        <v>0</v>
      </c>
      <c r="R85" s="71">
        <f t="shared" si="20"/>
        <v>0</v>
      </c>
      <c r="S85" s="71">
        <f t="shared" si="20"/>
        <v>0</v>
      </c>
      <c r="T85" s="71">
        <f t="shared" si="20"/>
        <v>0</v>
      </c>
      <c r="U85" s="71">
        <f t="shared" si="20"/>
        <v>0</v>
      </c>
      <c r="V85" s="71">
        <f t="shared" si="20"/>
        <v>0</v>
      </c>
      <c r="W85" s="71">
        <f t="shared" si="20"/>
        <v>0</v>
      </c>
      <c r="X85" s="71">
        <f t="shared" si="20"/>
        <v>0</v>
      </c>
      <c r="Y85" s="71">
        <f t="shared" si="20"/>
        <v>0</v>
      </c>
      <c r="Z85" s="71">
        <f t="shared" si="20"/>
        <v>0</v>
      </c>
      <c r="AA85" s="71">
        <f t="shared" si="20"/>
        <v>0</v>
      </c>
      <c r="AB85" s="71">
        <f t="shared" si="20"/>
        <v>0</v>
      </c>
      <c r="AC85" s="71">
        <f t="shared" si="20"/>
        <v>0</v>
      </c>
      <c r="AD85" s="71">
        <f t="shared" si="20"/>
        <v>0</v>
      </c>
      <c r="AE85" s="71">
        <f t="shared" si="20"/>
        <v>0</v>
      </c>
      <c r="AF85" s="71">
        <f t="shared" si="20"/>
        <v>0</v>
      </c>
      <c r="AG85" s="144"/>
      <c r="AH85" s="54">
        <f t="shared" si="14"/>
        <v>0</v>
      </c>
      <c r="AI85" s="55">
        <f t="shared" si="16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/>
      <c r="AD86" s="74"/>
      <c r="AE86" s="74"/>
      <c r="AF86" s="74"/>
      <c r="AG86" s="141"/>
      <c r="AH86" s="54">
        <f t="shared" si="14"/>
        <v>0</v>
      </c>
      <c r="AI86" s="55">
        <f t="shared" si="16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>SUM(B81:B86)</f>
        <v>397</v>
      </c>
      <c r="C87" s="66">
        <f t="shared" ref="C87:AF87" si="21">SUM(C81:C86)</f>
        <v>403</v>
      </c>
      <c r="D87" s="66">
        <f t="shared" si="21"/>
        <v>405</v>
      </c>
      <c r="E87" s="66">
        <f t="shared" si="21"/>
        <v>410.6</v>
      </c>
      <c r="F87" s="66">
        <f t="shared" si="21"/>
        <v>410.4</v>
      </c>
      <c r="G87" s="66">
        <f t="shared" si="21"/>
        <v>422</v>
      </c>
      <c r="H87" s="66">
        <f t="shared" si="21"/>
        <v>440</v>
      </c>
      <c r="I87" s="66">
        <f t="shared" si="21"/>
        <v>414.2</v>
      </c>
      <c r="J87" s="66">
        <f t="shared" si="21"/>
        <v>417.1</v>
      </c>
      <c r="K87" s="66">
        <f t="shared" si="21"/>
        <v>404.1</v>
      </c>
      <c r="L87" s="66">
        <f t="shared" si="21"/>
        <v>415</v>
      </c>
      <c r="M87" s="66">
        <f t="shared" si="21"/>
        <v>355.4</v>
      </c>
      <c r="N87" s="66">
        <f t="shared" si="21"/>
        <v>321.10000000000002</v>
      </c>
      <c r="O87" s="66">
        <f t="shared" si="21"/>
        <v>355.2</v>
      </c>
      <c r="P87" s="66">
        <f t="shared" si="21"/>
        <v>312.10000000000002</v>
      </c>
      <c r="Q87" s="66">
        <f t="shared" si="21"/>
        <v>302.3</v>
      </c>
      <c r="R87" s="66">
        <f t="shared" si="21"/>
        <v>295.3</v>
      </c>
      <c r="S87" s="66">
        <f t="shared" si="21"/>
        <v>301</v>
      </c>
      <c r="T87" s="66">
        <f t="shared" si="21"/>
        <v>327.3</v>
      </c>
      <c r="U87" s="66">
        <f t="shared" si="21"/>
        <v>300</v>
      </c>
      <c r="V87" s="66">
        <f t="shared" si="21"/>
        <v>321.7</v>
      </c>
      <c r="W87" s="66">
        <f t="shared" si="21"/>
        <v>333</v>
      </c>
      <c r="X87" s="66">
        <f t="shared" si="21"/>
        <v>352.6</v>
      </c>
      <c r="Y87" s="66">
        <f t="shared" si="21"/>
        <v>360</v>
      </c>
      <c r="Z87" s="66">
        <f t="shared" si="21"/>
        <v>270.8</v>
      </c>
      <c r="AA87" s="66">
        <f t="shared" si="21"/>
        <v>244</v>
      </c>
      <c r="AB87" s="66">
        <f t="shared" si="21"/>
        <v>288</v>
      </c>
      <c r="AC87" s="66">
        <f t="shared" si="21"/>
        <v>275</v>
      </c>
      <c r="AD87" s="66">
        <f t="shared" si="21"/>
        <v>255</v>
      </c>
      <c r="AE87" s="66">
        <f t="shared" si="21"/>
        <v>321</v>
      </c>
      <c r="AF87" s="66">
        <f t="shared" si="21"/>
        <v>362</v>
      </c>
      <c r="AG87" s="138"/>
      <c r="AH87" s="54">
        <f t="shared" si="14"/>
        <v>440</v>
      </c>
      <c r="AI87" s="55">
        <f t="shared" si="16"/>
        <v>244</v>
      </c>
      <c r="AK87" s="56"/>
    </row>
    <row r="88" spans="1:88" s="1" customFormat="1" ht="15.75" thickBot="1" x14ac:dyDescent="0.3">
      <c r="A88" s="65" t="s">
        <v>64</v>
      </c>
      <c r="B88" s="66">
        <f>B72-B87</f>
        <v>-371.2</v>
      </c>
      <c r="C88" s="66">
        <f t="shared" ref="C88:AF88" si="22">C72-C87</f>
        <v>-383.6</v>
      </c>
      <c r="D88" s="66">
        <f t="shared" si="22"/>
        <v>-387</v>
      </c>
      <c r="E88" s="66">
        <f t="shared" si="22"/>
        <v>-405.6</v>
      </c>
      <c r="F88" s="66">
        <f t="shared" si="22"/>
        <v>-410.4</v>
      </c>
      <c r="G88" s="66">
        <f t="shared" si="22"/>
        <v>-422</v>
      </c>
      <c r="H88" s="66">
        <f t="shared" si="22"/>
        <v>-440</v>
      </c>
      <c r="I88" s="66">
        <f t="shared" si="22"/>
        <v>-414.2</v>
      </c>
      <c r="J88" s="66">
        <f t="shared" si="22"/>
        <v>-417.1</v>
      </c>
      <c r="K88" s="66">
        <f t="shared" si="22"/>
        <v>-404.1</v>
      </c>
      <c r="L88" s="66">
        <f t="shared" si="22"/>
        <v>-415</v>
      </c>
      <c r="M88" s="66">
        <f t="shared" si="22"/>
        <v>-341.4</v>
      </c>
      <c r="N88" s="66">
        <f t="shared" si="22"/>
        <v>-305.10000000000002</v>
      </c>
      <c r="O88" s="66">
        <f t="shared" si="22"/>
        <v>-324.89999999999998</v>
      </c>
      <c r="P88" s="66">
        <f t="shared" si="22"/>
        <v>-271.60000000000002</v>
      </c>
      <c r="Q88" s="66">
        <f t="shared" si="22"/>
        <v>-275.8</v>
      </c>
      <c r="R88" s="66">
        <f t="shared" si="22"/>
        <v>-281.5</v>
      </c>
      <c r="S88" s="66">
        <f t="shared" si="22"/>
        <v>-268.7</v>
      </c>
      <c r="T88" s="66">
        <f t="shared" si="22"/>
        <v>-295.5</v>
      </c>
      <c r="U88" s="66">
        <f t="shared" si="22"/>
        <v>-234</v>
      </c>
      <c r="V88" s="66">
        <f t="shared" si="22"/>
        <v>-298.09999999999997</v>
      </c>
      <c r="W88" s="66">
        <f t="shared" si="22"/>
        <v>-315.8</v>
      </c>
      <c r="X88" s="66">
        <f t="shared" si="22"/>
        <v>-331.6</v>
      </c>
      <c r="Y88" s="66">
        <f t="shared" si="22"/>
        <v>-303</v>
      </c>
      <c r="Z88" s="66">
        <f t="shared" si="22"/>
        <v>-207.60000000000002</v>
      </c>
      <c r="AA88" s="66">
        <f t="shared" si="22"/>
        <v>-166</v>
      </c>
      <c r="AB88" s="66">
        <f t="shared" si="22"/>
        <v>-210</v>
      </c>
      <c r="AC88" s="66">
        <f t="shared" si="22"/>
        <v>-202.7</v>
      </c>
      <c r="AD88" s="66">
        <f t="shared" si="22"/>
        <v>-181.2</v>
      </c>
      <c r="AE88" s="66">
        <f t="shared" si="22"/>
        <v>-243</v>
      </c>
      <c r="AF88" s="66">
        <f t="shared" si="22"/>
        <v>-288.2</v>
      </c>
      <c r="AG88" s="138"/>
      <c r="AH88" s="54">
        <f t="shared" si="14"/>
        <v>-166</v>
      </c>
      <c r="AI88" s="55">
        <f t="shared" si="16"/>
        <v>-440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50.058</v>
      </c>
      <c r="C89" s="80">
        <v>50.006999999999998</v>
      </c>
      <c r="D89" s="80">
        <v>49.887</v>
      </c>
      <c r="E89" s="80">
        <v>49.973999999999997</v>
      </c>
      <c r="F89" s="80">
        <v>49.991</v>
      </c>
      <c r="G89" s="80">
        <v>50.052999999999997</v>
      </c>
      <c r="H89" s="80">
        <v>49.694000000000003</v>
      </c>
      <c r="I89" s="80">
        <v>49.598999999999997</v>
      </c>
      <c r="J89" s="80">
        <v>49.832999999999998</v>
      </c>
      <c r="K89" s="80">
        <v>49.889000000000003</v>
      </c>
      <c r="L89" s="80">
        <v>50.045999999999999</v>
      </c>
      <c r="M89" s="80">
        <v>50.045999999999999</v>
      </c>
      <c r="N89" s="80">
        <v>50.136000000000003</v>
      </c>
      <c r="O89" s="80">
        <v>50.155999999999999</v>
      </c>
      <c r="P89" s="80">
        <v>50.156999999999996</v>
      </c>
      <c r="Q89" s="80">
        <v>50.134</v>
      </c>
      <c r="R89" s="80">
        <v>50.219000000000001</v>
      </c>
      <c r="S89" s="80">
        <v>50.274000000000001</v>
      </c>
      <c r="T89" s="80">
        <v>50.015000000000001</v>
      </c>
      <c r="U89" s="80">
        <v>49.89</v>
      </c>
      <c r="V89" s="80">
        <v>49.906999999999996</v>
      </c>
      <c r="W89" s="80">
        <v>50.076000000000001</v>
      </c>
      <c r="X89" s="80">
        <v>50.015000000000001</v>
      </c>
      <c r="Y89" s="80">
        <v>49.98</v>
      </c>
      <c r="Z89" s="80">
        <v>50.094000000000001</v>
      </c>
      <c r="AA89" s="80">
        <v>49.851999999999997</v>
      </c>
      <c r="AB89" s="80">
        <v>49.851999999999997</v>
      </c>
      <c r="AC89" s="80">
        <v>49.97</v>
      </c>
      <c r="AD89" s="80">
        <v>50.045999999999999</v>
      </c>
      <c r="AE89" s="80">
        <v>49.941000000000003</v>
      </c>
      <c r="AF89" s="80">
        <v>50.058999999999997</v>
      </c>
      <c r="AG89" s="145"/>
      <c r="AH89" s="54">
        <f t="shared" si="14"/>
        <v>50.274000000000001</v>
      </c>
      <c r="AI89" s="55">
        <f t="shared" si="16"/>
        <v>49.598999999999997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123.8</v>
      </c>
      <c r="C90" s="48">
        <v>122.8</v>
      </c>
      <c r="D90" s="48">
        <v>123.2</v>
      </c>
      <c r="E90" s="48">
        <v>123.9</v>
      </c>
      <c r="F90" s="48">
        <v>124.3</v>
      </c>
      <c r="G90" s="48">
        <v>124.6</v>
      </c>
      <c r="H90" s="48">
        <v>124.8</v>
      </c>
      <c r="I90" s="48">
        <v>124.6</v>
      </c>
      <c r="J90" s="48">
        <v>123.5</v>
      </c>
      <c r="K90" s="48">
        <v>122.7</v>
      </c>
      <c r="L90" s="48">
        <v>122.2</v>
      </c>
      <c r="M90" s="48">
        <v>122.1</v>
      </c>
      <c r="N90" s="48">
        <v>119.2</v>
      </c>
      <c r="O90" s="48">
        <v>123.2</v>
      </c>
      <c r="P90" s="48">
        <v>123.4</v>
      </c>
      <c r="Q90" s="48">
        <v>123</v>
      </c>
      <c r="R90" s="48">
        <v>123.5</v>
      </c>
      <c r="S90" s="48">
        <v>123.7</v>
      </c>
      <c r="T90" s="48">
        <v>122</v>
      </c>
      <c r="U90" s="48">
        <v>122</v>
      </c>
      <c r="V90" s="48">
        <v>122.5</v>
      </c>
      <c r="W90" s="48">
        <v>124.9</v>
      </c>
      <c r="X90" s="48">
        <v>124.9</v>
      </c>
      <c r="Y90" s="48">
        <v>123.4</v>
      </c>
      <c r="Z90" s="48">
        <v>123.4</v>
      </c>
      <c r="AA90" s="48">
        <v>125</v>
      </c>
      <c r="AB90" s="48">
        <v>125</v>
      </c>
      <c r="AC90" s="48">
        <v>125</v>
      </c>
      <c r="AD90" s="48">
        <v>123</v>
      </c>
      <c r="AE90" s="48">
        <v>123</v>
      </c>
      <c r="AF90" s="48">
        <v>121.5</v>
      </c>
      <c r="AG90" s="146"/>
      <c r="AH90" s="54">
        <f t="shared" si="14"/>
        <v>125</v>
      </c>
      <c r="AI90" s="55">
        <f t="shared" si="16"/>
        <v>119.2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128.6</v>
      </c>
      <c r="C91" s="48">
        <v>128.1</v>
      </c>
      <c r="D91" s="48">
        <v>128</v>
      </c>
      <c r="E91" s="48">
        <v>128.9</v>
      </c>
      <c r="F91" s="48">
        <v>129.30000000000001</v>
      </c>
      <c r="G91" s="48">
        <v>129.4</v>
      </c>
      <c r="H91" s="48">
        <v>129</v>
      </c>
      <c r="I91" s="48">
        <v>128.30000000000001</v>
      </c>
      <c r="J91" s="48">
        <v>127.2</v>
      </c>
      <c r="K91" s="48">
        <v>126.1</v>
      </c>
      <c r="L91" s="48">
        <v>125.6</v>
      </c>
      <c r="M91" s="48">
        <v>125.7</v>
      </c>
      <c r="N91" s="48">
        <v>122.7</v>
      </c>
      <c r="O91" s="48">
        <v>126.1</v>
      </c>
      <c r="P91" s="48">
        <v>126.4</v>
      </c>
      <c r="Q91" s="48">
        <v>125.6</v>
      </c>
      <c r="R91" s="48">
        <v>126.9</v>
      </c>
      <c r="S91" s="48">
        <v>126.9</v>
      </c>
      <c r="T91" s="48">
        <v>125.3</v>
      </c>
      <c r="U91" s="48">
        <v>125.3</v>
      </c>
      <c r="V91" s="48">
        <v>126.3</v>
      </c>
      <c r="W91" s="48">
        <v>128.19999999999999</v>
      </c>
      <c r="X91" s="48">
        <v>128.19999999999999</v>
      </c>
      <c r="Y91" s="48">
        <v>127.5</v>
      </c>
      <c r="Z91" s="48">
        <v>126.8</v>
      </c>
      <c r="AA91" s="48">
        <v>129.19999999999999</v>
      </c>
      <c r="AB91" s="48">
        <v>129.19999999999999</v>
      </c>
      <c r="AC91" s="48">
        <v>129.4</v>
      </c>
      <c r="AD91" s="48">
        <v>127</v>
      </c>
      <c r="AE91" s="48">
        <v>127</v>
      </c>
      <c r="AF91" s="48">
        <v>127</v>
      </c>
      <c r="AG91" s="146"/>
      <c r="AH91" s="54">
        <f t="shared" si="14"/>
        <v>129.4</v>
      </c>
      <c r="AI91" s="55">
        <f t="shared" si="16"/>
        <v>122.7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127.6</v>
      </c>
      <c r="C92" s="48">
        <v>129.19999999999999</v>
      </c>
      <c r="D92" s="48">
        <v>126.9</v>
      </c>
      <c r="E92" s="48">
        <v>127.8</v>
      </c>
      <c r="F92" s="48">
        <v>130.19999999999999</v>
      </c>
      <c r="G92" s="48">
        <v>129.4</v>
      </c>
      <c r="H92" s="48">
        <v>127.3</v>
      </c>
      <c r="I92" s="48">
        <v>129</v>
      </c>
      <c r="J92" s="48">
        <v>128.9</v>
      </c>
      <c r="K92" s="48">
        <v>127.7</v>
      </c>
      <c r="L92" s="48">
        <v>129.69999999999999</v>
      </c>
      <c r="M92" s="48">
        <v>129.19999999999999</v>
      </c>
      <c r="N92" s="48">
        <v>126.1</v>
      </c>
      <c r="O92" s="48">
        <v>130.5</v>
      </c>
      <c r="P92" s="48">
        <v>128.9</v>
      </c>
      <c r="Q92" s="48">
        <v>128</v>
      </c>
      <c r="R92" s="48">
        <v>128.69999999999999</v>
      </c>
      <c r="S92" s="48">
        <v>129</v>
      </c>
      <c r="T92" s="48">
        <v>128.19999999999999</v>
      </c>
      <c r="U92" s="48">
        <v>128.19999999999999</v>
      </c>
      <c r="V92" s="48">
        <v>128.30000000000001</v>
      </c>
      <c r="W92" s="48">
        <v>131</v>
      </c>
      <c r="X92" s="48">
        <v>131</v>
      </c>
      <c r="Y92" s="48">
        <v>129</v>
      </c>
      <c r="Z92" s="48">
        <v>129.30000000000001</v>
      </c>
      <c r="AA92" s="48">
        <v>128.5</v>
      </c>
      <c r="AB92" s="48">
        <v>128.5</v>
      </c>
      <c r="AC92" s="48">
        <v>128.5</v>
      </c>
      <c r="AD92" s="48">
        <v>130</v>
      </c>
      <c r="AE92" s="48">
        <v>130</v>
      </c>
      <c r="AF92" s="48">
        <v>131</v>
      </c>
      <c r="AG92" s="146"/>
      <c r="AH92" s="54">
        <f t="shared" si="14"/>
        <v>131</v>
      </c>
      <c r="AI92" s="55">
        <f t="shared" si="16"/>
        <v>126.1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146"/>
      <c r="AH93" s="54">
        <f t="shared" si="14"/>
        <v>0</v>
      </c>
      <c r="AI93" s="55">
        <f t="shared" si="16"/>
        <v>0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132.80000000000001</v>
      </c>
      <c r="C94" s="82">
        <v>133.1</v>
      </c>
      <c r="D94" s="82">
        <v>130.80000000000001</v>
      </c>
      <c r="E94" s="82">
        <v>132.69999999999999</v>
      </c>
      <c r="F94" s="82">
        <v>132.69999999999999</v>
      </c>
      <c r="G94" s="82">
        <v>132.80000000000001</v>
      </c>
      <c r="H94" s="82">
        <v>132.19999999999999</v>
      </c>
      <c r="I94" s="82">
        <v>132.6</v>
      </c>
      <c r="J94" s="82">
        <v>132.80000000000001</v>
      </c>
      <c r="K94" s="82">
        <v>130.1</v>
      </c>
      <c r="L94" s="82">
        <v>132.30000000000001</v>
      </c>
      <c r="M94" s="82">
        <v>129.69999999999999</v>
      </c>
      <c r="N94" s="82">
        <v>132.80000000000001</v>
      </c>
      <c r="O94" s="82">
        <v>134.4</v>
      </c>
      <c r="P94" s="82">
        <v>135</v>
      </c>
      <c r="Q94" s="82">
        <v>134.1</v>
      </c>
      <c r="R94" s="82">
        <v>134.1</v>
      </c>
      <c r="S94" s="82">
        <v>137.1</v>
      </c>
      <c r="T94" s="82">
        <v>122.6</v>
      </c>
      <c r="U94" s="82">
        <v>122.6</v>
      </c>
      <c r="V94" s="82">
        <v>135.19999999999999</v>
      </c>
      <c r="W94" s="82">
        <v>135.19999999999999</v>
      </c>
      <c r="X94" s="82">
        <v>135.19999999999999</v>
      </c>
      <c r="Y94" s="82">
        <v>135</v>
      </c>
      <c r="Z94" s="82">
        <v>133.19999999999999</v>
      </c>
      <c r="AA94" s="82">
        <v>134.9</v>
      </c>
      <c r="AB94" s="82">
        <v>134.9</v>
      </c>
      <c r="AC94" s="82">
        <v>134.9</v>
      </c>
      <c r="AD94" s="82">
        <v>132</v>
      </c>
      <c r="AE94" s="82">
        <v>132</v>
      </c>
      <c r="AF94" s="82">
        <v>133</v>
      </c>
      <c r="AG94" s="147"/>
      <c r="AH94" s="54">
        <f t="shared" si="14"/>
        <v>137.1</v>
      </c>
      <c r="AI94" s="55">
        <f t="shared" si="16"/>
        <v>122.6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124.3</v>
      </c>
      <c r="C95" s="48">
        <v>125.8</v>
      </c>
      <c r="D95" s="48">
        <v>123.7</v>
      </c>
      <c r="E95" s="48">
        <v>128.9</v>
      </c>
      <c r="F95" s="48">
        <v>128.30000000000001</v>
      </c>
      <c r="G95" s="48">
        <v>129.69999999999999</v>
      </c>
      <c r="H95" s="48">
        <v>128.9</v>
      </c>
      <c r="I95" s="48">
        <v>128.80000000000001</v>
      </c>
      <c r="J95" s="48">
        <v>130.80000000000001</v>
      </c>
      <c r="K95" s="48">
        <v>129.19999999999999</v>
      </c>
      <c r="L95" s="48">
        <v>130.19999999999999</v>
      </c>
      <c r="M95" s="48">
        <v>124.8</v>
      </c>
      <c r="N95" s="48">
        <v>122.7</v>
      </c>
      <c r="O95" s="48">
        <v>128.9</v>
      </c>
      <c r="P95" s="48">
        <v>136.80000000000001</v>
      </c>
      <c r="Q95" s="48">
        <v>126.4</v>
      </c>
      <c r="R95" s="48">
        <v>123.8</v>
      </c>
      <c r="S95" s="48">
        <v>133.30000000000001</v>
      </c>
      <c r="T95" s="48">
        <v>128.30000000000001</v>
      </c>
      <c r="U95" s="48">
        <v>128.30000000000001</v>
      </c>
      <c r="V95" s="48">
        <v>128.19999999999999</v>
      </c>
      <c r="W95" s="48">
        <v>127.8</v>
      </c>
      <c r="X95" s="48">
        <v>127.8</v>
      </c>
      <c r="Y95" s="48">
        <v>131.5</v>
      </c>
      <c r="Z95" s="48">
        <v>128.1</v>
      </c>
      <c r="AA95" s="48">
        <v>122</v>
      </c>
      <c r="AB95" s="48">
        <v>122</v>
      </c>
      <c r="AC95" s="48">
        <v>122</v>
      </c>
      <c r="AD95" s="48">
        <v>127</v>
      </c>
      <c r="AE95" s="48">
        <v>127</v>
      </c>
      <c r="AF95" s="48">
        <v>125</v>
      </c>
      <c r="AG95" s="146"/>
      <c r="AH95" s="54">
        <f t="shared" si="14"/>
        <v>136.80000000000001</v>
      </c>
      <c r="AI95" s="55">
        <f t="shared" si="16"/>
        <v>122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65.099999999999994</v>
      </c>
      <c r="C96" s="83">
        <v>64.8</v>
      </c>
      <c r="D96" s="83">
        <v>64.7</v>
      </c>
      <c r="E96" s="83">
        <v>65.099999999999994</v>
      </c>
      <c r="F96" s="83">
        <v>65.2</v>
      </c>
      <c r="G96" s="83">
        <v>65.5</v>
      </c>
      <c r="H96" s="83">
        <v>64.8</v>
      </c>
      <c r="I96" s="83">
        <v>64.400000000000006</v>
      </c>
      <c r="J96" s="83">
        <v>64.099999999999994</v>
      </c>
      <c r="K96" s="83">
        <v>63.8</v>
      </c>
      <c r="L96" s="83">
        <v>63.4</v>
      </c>
      <c r="M96" s="83">
        <v>62.5</v>
      </c>
      <c r="N96" s="83">
        <v>61.9</v>
      </c>
      <c r="O96" s="83">
        <v>63.3</v>
      </c>
      <c r="P96" s="83">
        <v>63.6</v>
      </c>
      <c r="Q96" s="83">
        <v>63.2</v>
      </c>
      <c r="R96" s="83">
        <v>63.8</v>
      </c>
      <c r="S96" s="83">
        <v>63.6</v>
      </c>
      <c r="T96" s="83">
        <v>63</v>
      </c>
      <c r="U96" s="83">
        <v>63</v>
      </c>
      <c r="V96" s="83">
        <v>63.7</v>
      </c>
      <c r="W96" s="83">
        <v>64.599999999999994</v>
      </c>
      <c r="X96" s="83">
        <v>64.599999999999994</v>
      </c>
      <c r="Y96" s="83">
        <v>64.5</v>
      </c>
      <c r="Z96" s="83">
        <v>64.3</v>
      </c>
      <c r="AA96" s="83">
        <v>65</v>
      </c>
      <c r="AB96" s="83">
        <v>65</v>
      </c>
      <c r="AC96" s="83">
        <v>65</v>
      </c>
      <c r="AD96" s="83">
        <v>64.2</v>
      </c>
      <c r="AE96" s="83">
        <v>64.2</v>
      </c>
      <c r="AF96" s="83">
        <v>64.900000000000006</v>
      </c>
      <c r="AG96" s="148"/>
      <c r="AH96" s="54">
        <f t="shared" si="14"/>
        <v>65.5</v>
      </c>
      <c r="AI96" s="55">
        <f t="shared" si="16"/>
        <v>61.9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14"/>
        <v>0</v>
      </c>
      <c r="AI97" s="55">
        <f t="shared" si="16"/>
        <v>0</v>
      </c>
    </row>
    <row r="98" spans="1:37" ht="15.75" thickBot="1" x14ac:dyDescent="0.3">
      <c r="A98" s="85" t="s">
        <v>73</v>
      </c>
      <c r="B98" s="86">
        <f t="shared" ref="B98:AF98" si="23">SUM(B15,B18,B21:B22,B46,B48:B49,B51,B53,B99:B102,B124,B130,B136,B145,B147,B159,B166,B169:B170,B177,B179,B181,B185:B187,B189:B191,B196,B202:B203,B205:B207,B215,B220)</f>
        <v>36.400000000000027</v>
      </c>
      <c r="C98" s="86">
        <f t="shared" si="23"/>
        <v>24.540000000000017</v>
      </c>
      <c r="D98" s="86">
        <f t="shared" si="23"/>
        <v>10.040000000000006</v>
      </c>
      <c r="E98" s="86">
        <f t="shared" si="23"/>
        <v>20.640000000000008</v>
      </c>
      <c r="F98" s="86">
        <f t="shared" si="23"/>
        <v>11.340000000000012</v>
      </c>
      <c r="G98" s="86">
        <f t="shared" si="23"/>
        <v>32.54000000000002</v>
      </c>
      <c r="H98" s="86">
        <f t="shared" si="23"/>
        <v>65.040000000000006</v>
      </c>
      <c r="I98" s="86">
        <f t="shared" si="23"/>
        <v>86.440000000000012</v>
      </c>
      <c r="J98" s="86">
        <f t="shared" si="23"/>
        <v>119.44000000000004</v>
      </c>
      <c r="K98" s="86">
        <f t="shared" si="23"/>
        <v>168.74000000000004</v>
      </c>
      <c r="L98" s="86">
        <f t="shared" si="23"/>
        <v>166.44</v>
      </c>
      <c r="M98" s="86">
        <f t="shared" si="23"/>
        <v>182.23999999999998</v>
      </c>
      <c r="N98" s="86">
        <f t="shared" si="23"/>
        <v>212.04000000000002</v>
      </c>
      <c r="O98" s="86">
        <f t="shared" si="23"/>
        <v>180.03999999999996</v>
      </c>
      <c r="P98" s="86">
        <f t="shared" si="23"/>
        <v>153.74</v>
      </c>
      <c r="Q98" s="86">
        <f t="shared" si="23"/>
        <v>176.8</v>
      </c>
      <c r="R98" s="86">
        <f t="shared" si="23"/>
        <v>159</v>
      </c>
      <c r="S98" s="86">
        <f t="shared" si="23"/>
        <v>160.40000000000003</v>
      </c>
      <c r="T98" s="86">
        <f t="shared" si="23"/>
        <v>174.00000000000003</v>
      </c>
      <c r="U98" s="86">
        <f t="shared" si="23"/>
        <v>174.00000000000003</v>
      </c>
      <c r="V98" s="86">
        <f t="shared" si="23"/>
        <v>186.60000000000002</v>
      </c>
      <c r="W98" s="86">
        <f t="shared" si="23"/>
        <v>205</v>
      </c>
      <c r="X98" s="86">
        <f t="shared" si="23"/>
        <v>183.7</v>
      </c>
      <c r="Y98" s="86">
        <f t="shared" si="23"/>
        <v>181.4</v>
      </c>
      <c r="Z98" s="86">
        <f t="shared" si="23"/>
        <v>227.50000000000003</v>
      </c>
      <c r="AA98" s="86">
        <f t="shared" si="23"/>
        <v>233.2</v>
      </c>
      <c r="AB98" s="86">
        <f t="shared" si="23"/>
        <v>232.60000000000002</v>
      </c>
      <c r="AC98" s="86">
        <f t="shared" si="23"/>
        <v>170.90000000000003</v>
      </c>
      <c r="AD98" s="86">
        <f t="shared" si="23"/>
        <v>153.40000000000003</v>
      </c>
      <c r="AE98" s="86">
        <f t="shared" si="23"/>
        <v>101.50000000000006</v>
      </c>
      <c r="AF98" s="86">
        <f t="shared" si="23"/>
        <v>70.400000000000034</v>
      </c>
      <c r="AG98" s="150"/>
      <c r="AH98" s="54">
        <f>MAX(C98:AF98)</f>
        <v>233.2</v>
      </c>
      <c r="AI98" s="55">
        <f>MIN(C98:AF98)</f>
        <v>10.040000000000006</v>
      </c>
    </row>
    <row r="99" spans="1:37" x14ac:dyDescent="0.25">
      <c r="A99" s="170" t="s">
        <v>74</v>
      </c>
      <c r="B99" s="87">
        <v>5.4</v>
      </c>
      <c r="C99" s="87">
        <v>8.3000000000000007</v>
      </c>
      <c r="D99" s="87">
        <v>8.5</v>
      </c>
      <c r="E99" s="87">
        <v>5.6</v>
      </c>
      <c r="F99" s="87">
        <v>8.1</v>
      </c>
      <c r="G99" s="87">
        <v>10.9</v>
      </c>
      <c r="H99" s="87">
        <v>11.6</v>
      </c>
      <c r="I99" s="87">
        <v>13.8</v>
      </c>
      <c r="J99" s="87">
        <v>23.8</v>
      </c>
      <c r="K99" s="87">
        <v>25.8</v>
      </c>
      <c r="L99" s="87">
        <v>39.5</v>
      </c>
      <c r="M99" s="87">
        <v>28.6</v>
      </c>
      <c r="N99" s="87">
        <v>31.4</v>
      </c>
      <c r="O99" s="87">
        <v>27</v>
      </c>
      <c r="P99" s="87">
        <v>39.200000000000003</v>
      </c>
      <c r="Q99" s="87">
        <v>22.9</v>
      </c>
      <c r="R99" s="87">
        <v>23.8</v>
      </c>
      <c r="S99" s="87">
        <v>34.9</v>
      </c>
      <c r="T99" s="87">
        <v>40.9</v>
      </c>
      <c r="U99" s="87">
        <v>40.9</v>
      </c>
      <c r="V99" s="87">
        <v>30.2</v>
      </c>
      <c r="W99" s="87">
        <v>29.3</v>
      </c>
      <c r="X99" s="87">
        <v>30.4</v>
      </c>
      <c r="Y99" s="87">
        <v>49</v>
      </c>
      <c r="Z99" s="87">
        <v>41.7</v>
      </c>
      <c r="AA99" s="87">
        <v>30.1</v>
      </c>
      <c r="AB99" s="87">
        <v>30.1</v>
      </c>
      <c r="AC99" s="87">
        <v>32.799999999999997</v>
      </c>
      <c r="AD99" s="87">
        <v>30.2</v>
      </c>
      <c r="AE99" s="87">
        <v>29.8</v>
      </c>
      <c r="AF99" s="87">
        <v>25.7</v>
      </c>
      <c r="AG99" s="151">
        <v>75</v>
      </c>
      <c r="AH99" s="54">
        <f t="shared" ref="AH99:AH106" si="24">IF(ABS(MAX(C99:AF99))&gt;ABS(MIN(C99:AF99)),MAX(C99:AF99),MIN(C99:AF99))</f>
        <v>49</v>
      </c>
      <c r="AI99" s="89">
        <f t="shared" ref="AI99:AI106" si="25">INDEX($C$9:$AF$9,1,MATCH(AH99,C99:AF99,0))</f>
        <v>0.77083333333333337</v>
      </c>
    </row>
    <row r="100" spans="1:37" x14ac:dyDescent="0.25">
      <c r="A100" s="163" t="s">
        <v>75</v>
      </c>
      <c r="B100" s="90">
        <f>-60-64.6</f>
        <v>-124.6</v>
      </c>
      <c r="C100" s="90">
        <f>-62.6-67.7</f>
        <v>-130.30000000000001</v>
      </c>
      <c r="D100" s="90">
        <f>-66.7-72.6</f>
        <v>-139.30000000000001</v>
      </c>
      <c r="E100" s="90">
        <f>-61.4-66.5</f>
        <v>-127.9</v>
      </c>
      <c r="F100" s="90">
        <f>-62.1-67.4</f>
        <v>-129.5</v>
      </c>
      <c r="G100" s="90">
        <f>-54.3-59.8</f>
        <v>-114.1</v>
      </c>
      <c r="H100" s="90">
        <f>-44.4-48.7</f>
        <v>-93.1</v>
      </c>
      <c r="I100" s="90">
        <f>-33.1-35.6</f>
        <v>-68.7</v>
      </c>
      <c r="J100" s="90">
        <f>-32.9-37.8</f>
        <v>-70.699999999999989</v>
      </c>
      <c r="K100" s="90">
        <f>-26.4-29.1</f>
        <v>-55.5</v>
      </c>
      <c r="L100" s="90">
        <f>-33.8-36.8</f>
        <v>-70.599999999999994</v>
      </c>
      <c r="M100" s="90">
        <v>-53.6</v>
      </c>
      <c r="N100" s="90">
        <v>-15.7</v>
      </c>
      <c r="O100" s="90">
        <v>-42.7</v>
      </c>
      <c r="P100" s="90">
        <v>-65.599999999999994</v>
      </c>
      <c r="Q100" s="90">
        <v>-27.2</v>
      </c>
      <c r="R100" s="90">
        <v>-42.5</v>
      </c>
      <c r="S100" s="90">
        <v>-51</v>
      </c>
      <c r="T100" s="90">
        <v>-74</v>
      </c>
      <c r="U100" s="90">
        <v>-74</v>
      </c>
      <c r="V100" s="90">
        <v>-52</v>
      </c>
      <c r="W100" s="90">
        <v>-88</v>
      </c>
      <c r="X100" s="90">
        <v>-88</v>
      </c>
      <c r="Y100" s="90">
        <v>-65</v>
      </c>
      <c r="Z100" s="90">
        <v>-21</v>
      </c>
      <c r="AA100" s="90">
        <v>-55</v>
      </c>
      <c r="AB100" s="90">
        <v>-55</v>
      </c>
      <c r="AC100" s="90">
        <f>-31.5-26.7</f>
        <v>-58.2</v>
      </c>
      <c r="AD100" s="90">
        <v>-72</v>
      </c>
      <c r="AE100" s="90">
        <v>-116</v>
      </c>
      <c r="AF100" s="90">
        <v>-138</v>
      </c>
      <c r="AG100" s="151">
        <v>240</v>
      </c>
      <c r="AH100" s="54">
        <f t="shared" si="24"/>
        <v>-139.30000000000001</v>
      </c>
      <c r="AI100" s="89">
        <f t="shared" si="25"/>
        <v>8.3333333333333301E-2</v>
      </c>
    </row>
    <row r="101" spans="1:37" x14ac:dyDescent="0.25">
      <c r="A101" s="163" t="s">
        <v>76</v>
      </c>
      <c r="B101" s="90">
        <v>-0.6</v>
      </c>
      <c r="C101" s="90">
        <v>-2.6</v>
      </c>
      <c r="D101" s="90">
        <v>-2.2999999999999998</v>
      </c>
      <c r="E101" s="90">
        <v>-5.2</v>
      </c>
      <c r="F101" s="90">
        <v>-5.4</v>
      </c>
      <c r="G101" s="90">
        <v>-3</v>
      </c>
      <c r="H101" s="90">
        <v>1.8</v>
      </c>
      <c r="I101" s="90">
        <v>7.1</v>
      </c>
      <c r="J101" s="90">
        <v>6.8</v>
      </c>
      <c r="K101" s="90">
        <v>10.9</v>
      </c>
      <c r="L101" s="90">
        <v>9.6999999999999993</v>
      </c>
      <c r="M101" s="90">
        <v>14.2</v>
      </c>
      <c r="N101" s="90">
        <v>15.9</v>
      </c>
      <c r="O101" s="90">
        <v>16.2</v>
      </c>
      <c r="P101" s="90">
        <v>15.6</v>
      </c>
      <c r="Q101" s="90">
        <v>17</v>
      </c>
      <c r="R101" s="90">
        <v>14.6</v>
      </c>
      <c r="S101" s="90">
        <v>10.3</v>
      </c>
      <c r="T101" s="90">
        <v>10.9</v>
      </c>
      <c r="U101" s="90">
        <v>10.9</v>
      </c>
      <c r="V101" s="90">
        <v>12.8</v>
      </c>
      <c r="W101" s="90">
        <v>9.1</v>
      </c>
      <c r="X101" s="90">
        <v>9.1999999999999993</v>
      </c>
      <c r="Y101" s="90">
        <v>14</v>
      </c>
      <c r="Z101" s="90">
        <v>19.399999999999999</v>
      </c>
      <c r="AA101" s="90">
        <v>33.6</v>
      </c>
      <c r="AB101" s="90">
        <v>33.6</v>
      </c>
      <c r="AC101" s="90">
        <v>12.4</v>
      </c>
      <c r="AD101" s="90">
        <v>8.4</v>
      </c>
      <c r="AE101" s="90">
        <v>0.9</v>
      </c>
      <c r="AF101" s="90">
        <v>-4.0999999999999996</v>
      </c>
      <c r="AG101" s="151">
        <v>60</v>
      </c>
      <c r="AH101" s="54">
        <f t="shared" si="24"/>
        <v>33.6</v>
      </c>
      <c r="AI101" s="89">
        <f t="shared" si="25"/>
        <v>0.8125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0</v>
      </c>
      <c r="M102" s="91">
        <v>0</v>
      </c>
      <c r="N102" s="91">
        <v>0</v>
      </c>
      <c r="O102" s="91">
        <v>0</v>
      </c>
      <c r="P102" s="91">
        <v>0</v>
      </c>
      <c r="Q102" s="91">
        <v>0</v>
      </c>
      <c r="R102" s="91">
        <v>0</v>
      </c>
      <c r="S102" s="91">
        <v>0</v>
      </c>
      <c r="T102" s="91">
        <v>0</v>
      </c>
      <c r="U102" s="91">
        <v>0</v>
      </c>
      <c r="V102" s="91">
        <v>0</v>
      </c>
      <c r="W102" s="91">
        <v>59.2</v>
      </c>
      <c r="X102" s="91">
        <v>48.7</v>
      </c>
      <c r="Y102" s="91">
        <v>0</v>
      </c>
      <c r="Z102" s="91">
        <v>0</v>
      </c>
      <c r="AA102" s="91">
        <v>37.1</v>
      </c>
      <c r="AB102" s="91">
        <v>37.1</v>
      </c>
      <c r="AC102" s="91">
        <v>-2.9</v>
      </c>
      <c r="AD102" s="91">
        <v>0</v>
      </c>
      <c r="AE102" s="91">
        <v>0</v>
      </c>
      <c r="AF102" s="91">
        <v>0</v>
      </c>
      <c r="AG102" s="152">
        <v>120</v>
      </c>
      <c r="AH102" s="54">
        <f t="shared" si="24"/>
        <v>59.2</v>
      </c>
      <c r="AI102" s="89">
        <f t="shared" si="25"/>
        <v>0.72916666666666663</v>
      </c>
    </row>
    <row r="103" spans="1:37" x14ac:dyDescent="0.25">
      <c r="A103" s="164" t="s">
        <v>78</v>
      </c>
      <c r="B103" s="91">
        <v>41</v>
      </c>
      <c r="C103" s="91">
        <v>46</v>
      </c>
      <c r="D103" s="91">
        <v>53</v>
      </c>
      <c r="E103" s="91">
        <v>57.3</v>
      </c>
      <c r="F103" s="91">
        <v>57.4</v>
      </c>
      <c r="G103" s="91">
        <v>55.8</v>
      </c>
      <c r="H103" s="91">
        <v>55.6</v>
      </c>
      <c r="I103" s="91">
        <v>68.7</v>
      </c>
      <c r="J103" s="91">
        <v>58.3</v>
      </c>
      <c r="K103" s="91">
        <v>68.2</v>
      </c>
      <c r="L103" s="91">
        <v>47.4</v>
      </c>
      <c r="M103" s="91">
        <v>75.099999999999994</v>
      </c>
      <c r="N103" s="91">
        <v>90.2</v>
      </c>
      <c r="O103" s="91">
        <v>77.400000000000006</v>
      </c>
      <c r="P103" s="91">
        <v>44</v>
      </c>
      <c r="Q103" s="91">
        <v>84.5</v>
      </c>
      <c r="R103" s="91">
        <v>79.900000000000006</v>
      </c>
      <c r="S103" s="91">
        <v>68.5</v>
      </c>
      <c r="T103" s="91">
        <v>46.8</v>
      </c>
      <c r="U103" s="91">
        <v>46.8</v>
      </c>
      <c r="V103" s="91">
        <v>83.4</v>
      </c>
      <c r="W103" s="91">
        <v>52.4</v>
      </c>
      <c r="X103" s="91">
        <v>48.1</v>
      </c>
      <c r="Y103" s="91">
        <v>53.5</v>
      </c>
      <c r="Z103" s="91">
        <v>83.2</v>
      </c>
      <c r="AA103" s="91">
        <v>78.900000000000006</v>
      </c>
      <c r="AB103" s="91">
        <v>78.900000000000006</v>
      </c>
      <c r="AC103" s="91">
        <v>74</v>
      </c>
      <c r="AD103" s="91">
        <v>82.4</v>
      </c>
      <c r="AE103" s="91">
        <v>52.5</v>
      </c>
      <c r="AF103" s="91">
        <v>41.2</v>
      </c>
      <c r="AG103" s="152"/>
      <c r="AH103" s="54">
        <f t="shared" si="24"/>
        <v>90.2</v>
      </c>
      <c r="AI103" s="89">
        <f t="shared" si="25"/>
        <v>0.375</v>
      </c>
    </row>
    <row r="104" spans="1:37" x14ac:dyDescent="0.25">
      <c r="A104" s="164" t="s">
        <v>105</v>
      </c>
      <c r="B104" s="91">
        <v>41.4</v>
      </c>
      <c r="C104" s="91">
        <v>57</v>
      </c>
      <c r="D104" s="91">
        <v>57.5</v>
      </c>
      <c r="E104" s="91">
        <v>63.2</v>
      </c>
      <c r="F104" s="91">
        <v>57.5</v>
      </c>
      <c r="G104" s="91">
        <v>60.3</v>
      </c>
      <c r="H104" s="91">
        <v>60.1</v>
      </c>
      <c r="I104" s="91">
        <v>57.7</v>
      </c>
      <c r="J104" s="91">
        <v>34.6</v>
      </c>
      <c r="K104" s="91">
        <v>46.3</v>
      </c>
      <c r="L104" s="91">
        <v>-9.1999999999999993</v>
      </c>
      <c r="M104" s="91">
        <v>42.8</v>
      </c>
      <c r="N104" s="91">
        <v>20.7</v>
      </c>
      <c r="O104" s="91">
        <v>2</v>
      </c>
      <c r="P104" s="91">
        <v>-45.2</v>
      </c>
      <c r="Q104" s="91">
        <v>31.8</v>
      </c>
      <c r="R104" s="91">
        <v>7.3</v>
      </c>
      <c r="S104" s="91">
        <v>-20.9</v>
      </c>
      <c r="T104" s="91">
        <v>-19.399999999999999</v>
      </c>
      <c r="U104" s="91">
        <v>-19.399999999999999</v>
      </c>
      <c r="V104" s="91">
        <v>25.4</v>
      </c>
      <c r="W104" s="91">
        <v>15.6</v>
      </c>
      <c r="X104" s="91">
        <v>10.199999999999999</v>
      </c>
      <c r="Y104" s="91">
        <v>40</v>
      </c>
      <c r="Z104" s="91">
        <v>-13.7</v>
      </c>
      <c r="AA104" s="91">
        <v>29.2</v>
      </c>
      <c r="AB104" s="91">
        <v>29.2</v>
      </c>
      <c r="AC104" s="91">
        <v>10</v>
      </c>
      <c r="AD104" s="91">
        <v>16.8</v>
      </c>
      <c r="AE104" s="91">
        <v>9.4</v>
      </c>
      <c r="AF104" s="91">
        <v>2.2999999999999998</v>
      </c>
      <c r="AG104" s="153"/>
      <c r="AH104" s="54">
        <f t="shared" si="24"/>
        <v>63.2</v>
      </c>
      <c r="AI104" s="89">
        <f t="shared" si="25"/>
        <v>0.125</v>
      </c>
    </row>
    <row r="105" spans="1:37" x14ac:dyDescent="0.25">
      <c r="A105" s="171" t="s">
        <v>106</v>
      </c>
      <c r="B105" s="82">
        <v>115</v>
      </c>
      <c r="C105" s="82">
        <v>112</v>
      </c>
      <c r="D105" s="82">
        <v>104.2</v>
      </c>
      <c r="E105" s="82">
        <v>119.1</v>
      </c>
      <c r="F105" s="82">
        <v>100</v>
      </c>
      <c r="G105" s="82">
        <v>112</v>
      </c>
      <c r="H105" s="82">
        <v>114.5</v>
      </c>
      <c r="I105" s="82">
        <v>106.2</v>
      </c>
      <c r="J105" s="82">
        <v>109.4</v>
      </c>
      <c r="K105" s="82">
        <v>108.3</v>
      </c>
      <c r="L105" s="82">
        <v>73.7</v>
      </c>
      <c r="M105" s="82">
        <v>71.7</v>
      </c>
      <c r="N105" s="82">
        <v>104.2</v>
      </c>
      <c r="O105" s="82">
        <v>78.3</v>
      </c>
      <c r="P105" s="82">
        <v>95.1</v>
      </c>
      <c r="Q105" s="82">
        <v>82</v>
      </c>
      <c r="R105" s="82">
        <v>81.7</v>
      </c>
      <c r="S105" s="82">
        <v>81.099999999999994</v>
      </c>
      <c r="T105" s="82">
        <v>83.3</v>
      </c>
      <c r="U105" s="82">
        <v>83.3</v>
      </c>
      <c r="V105" s="82">
        <v>89.7</v>
      </c>
      <c r="W105" s="82">
        <v>84.3</v>
      </c>
      <c r="X105" s="82">
        <v>85.9</v>
      </c>
      <c r="Y105" s="82">
        <v>81</v>
      </c>
      <c r="Z105" s="82">
        <v>77.2</v>
      </c>
      <c r="AA105" s="82">
        <v>68.3</v>
      </c>
      <c r="AB105" s="82">
        <v>68.3</v>
      </c>
      <c r="AC105" s="82">
        <v>81.8</v>
      </c>
      <c r="AD105" s="82">
        <v>84.4</v>
      </c>
      <c r="AE105" s="82">
        <v>88.1</v>
      </c>
      <c r="AF105" s="82">
        <v>91.3</v>
      </c>
      <c r="AG105" s="153"/>
      <c r="AH105" s="54">
        <f t="shared" si="24"/>
        <v>119.1</v>
      </c>
      <c r="AI105" s="89">
        <f t="shared" si="25"/>
        <v>0.125</v>
      </c>
    </row>
    <row r="106" spans="1:37" ht="15.75" thickBot="1" x14ac:dyDescent="0.3">
      <c r="A106" s="171" t="s">
        <v>280</v>
      </c>
      <c r="B106" s="82">
        <v>90.4</v>
      </c>
      <c r="C106" s="82">
        <v>81.099999999999994</v>
      </c>
      <c r="D106" s="82">
        <v>88.1</v>
      </c>
      <c r="E106" s="82">
        <v>78.400000000000006</v>
      </c>
      <c r="F106" s="82">
        <v>80.599999999999994</v>
      </c>
      <c r="G106" s="82">
        <v>69.599999999999994</v>
      </c>
      <c r="H106" s="82">
        <v>56.7</v>
      </c>
      <c r="I106" s="82">
        <v>57.7</v>
      </c>
      <c r="J106" s="82">
        <v>47.8</v>
      </c>
      <c r="K106" s="82">
        <v>40.200000000000003</v>
      </c>
      <c r="L106" s="82">
        <v>55.2</v>
      </c>
      <c r="M106" s="82">
        <v>35.700000000000003</v>
      </c>
      <c r="N106" s="82">
        <v>23.6</v>
      </c>
      <c r="O106" s="82">
        <v>31</v>
      </c>
      <c r="P106" s="82">
        <v>56.8</v>
      </c>
      <c r="Q106" s="82">
        <v>20.100000000000001</v>
      </c>
      <c r="R106" s="82">
        <v>27.8</v>
      </c>
      <c r="S106" s="82">
        <v>36.299999999999997</v>
      </c>
      <c r="T106" s="82">
        <v>54.2</v>
      </c>
      <c r="U106" s="82">
        <v>54.2</v>
      </c>
      <c r="V106" s="82">
        <v>38</v>
      </c>
      <c r="W106" s="82">
        <v>57.4</v>
      </c>
      <c r="X106" s="82">
        <v>59</v>
      </c>
      <c r="Y106" s="82">
        <v>51</v>
      </c>
      <c r="Z106" s="82">
        <v>19.100000000000001</v>
      </c>
      <c r="AA106" s="82">
        <v>32.799999999999997</v>
      </c>
      <c r="AB106" s="82">
        <v>32.799999999999997</v>
      </c>
      <c r="AC106" s="82">
        <v>38.1</v>
      </c>
      <c r="AD106" s="82">
        <v>47</v>
      </c>
      <c r="AE106" s="82">
        <v>77.5</v>
      </c>
      <c r="AF106" s="82">
        <v>102</v>
      </c>
      <c r="AG106" s="153"/>
      <c r="AH106" s="54">
        <f t="shared" si="24"/>
        <v>102</v>
      </c>
      <c r="AI106" s="89">
        <f t="shared" si="25"/>
        <v>0.95833333333333304</v>
      </c>
    </row>
    <row r="107" spans="1:37" ht="15.75" thickBot="1" x14ac:dyDescent="0.3">
      <c r="A107" s="92" t="s">
        <v>79</v>
      </c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154"/>
      <c r="AH107" s="94"/>
      <c r="AI107" s="55"/>
      <c r="AK107" s="56"/>
    </row>
    <row r="108" spans="1:37" x14ac:dyDescent="0.25">
      <c r="A108" s="162" t="s">
        <v>133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>
        <v>9.94</v>
      </c>
      <c r="AH108" s="54"/>
      <c r="AI108" s="55"/>
      <c r="AK108" s="56"/>
    </row>
    <row r="109" spans="1:37" x14ac:dyDescent="0.25">
      <c r="A109" s="163" t="s">
        <v>134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135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136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137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138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139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140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141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142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143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144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145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146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147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148</v>
      </c>
      <c r="B123" s="95"/>
      <c r="C123" s="53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6"/>
      <c r="AH123" s="54"/>
      <c r="AI123" s="55"/>
      <c r="AK123" s="56"/>
    </row>
    <row r="124" spans="1:37" x14ac:dyDescent="0.25">
      <c r="A124" s="163" t="s">
        <v>149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9">
        <v>9.9</v>
      </c>
      <c r="AH124" s="54"/>
      <c r="AI124" s="55"/>
      <c r="AK124" s="56"/>
    </row>
    <row r="125" spans="1:37" x14ac:dyDescent="0.25">
      <c r="A125" s="164" t="s">
        <v>80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9.6579999999999995</v>
      </c>
      <c r="AH125" s="54"/>
      <c r="AI125" s="55"/>
      <c r="AK125" s="56"/>
    </row>
    <row r="126" spans="1:37" x14ac:dyDescent="0.25">
      <c r="A126" s="164" t="s">
        <v>150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9.6</v>
      </c>
      <c r="AH126" s="54"/>
      <c r="AI126" s="55"/>
      <c r="AK126" s="56"/>
    </row>
    <row r="127" spans="1:37" x14ac:dyDescent="0.25">
      <c r="A127" s="164" t="s">
        <v>151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9.51</v>
      </c>
      <c r="AH127" s="54"/>
      <c r="AI127" s="55"/>
      <c r="AK127" s="56"/>
    </row>
    <row r="128" spans="1:37" x14ac:dyDescent="0.25">
      <c r="A128" s="164" t="s">
        <v>152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9.4</v>
      </c>
      <c r="AH128" s="54"/>
      <c r="AI128" s="55"/>
      <c r="AK128" s="56"/>
    </row>
    <row r="129" spans="1:37" x14ac:dyDescent="0.25">
      <c r="A129" s="164" t="s">
        <v>153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8.8000000000000007</v>
      </c>
      <c r="AH129" s="54"/>
      <c r="AI129" s="55"/>
      <c r="AK129" s="56"/>
    </row>
    <row r="130" spans="1:37" x14ac:dyDescent="0.25">
      <c r="A130" s="164" t="s">
        <v>154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155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8.5</v>
      </c>
      <c r="AH131" s="54"/>
      <c r="AI131" s="55"/>
      <c r="AK131" s="56"/>
    </row>
    <row r="132" spans="1:37" x14ac:dyDescent="0.25">
      <c r="A132" s="164" t="s">
        <v>156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8.4</v>
      </c>
      <c r="AH132" s="54"/>
      <c r="AI132" s="55"/>
      <c r="AK132" s="56"/>
    </row>
    <row r="133" spans="1:37" ht="13.5" customHeight="1" x14ac:dyDescent="0.25">
      <c r="A133" s="164" t="s">
        <v>157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158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159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8</v>
      </c>
      <c r="AH135" s="54"/>
      <c r="AI135" s="55"/>
      <c r="AK135" s="56"/>
    </row>
    <row r="136" spans="1:37" x14ac:dyDescent="0.25">
      <c r="A136" s="164" t="s">
        <v>160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7.8</v>
      </c>
      <c r="AH136" s="54"/>
      <c r="AI136" s="55"/>
      <c r="AK136" s="56"/>
    </row>
    <row r="137" spans="1:37" x14ac:dyDescent="0.25">
      <c r="A137" s="164" t="s">
        <v>161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7.6</v>
      </c>
      <c r="AH137" s="54"/>
      <c r="AI137" s="55"/>
      <c r="AK137" s="56"/>
    </row>
    <row r="138" spans="1:37" x14ac:dyDescent="0.25">
      <c r="A138" s="164" t="s">
        <v>162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163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7.5</v>
      </c>
      <c r="AH139" s="54"/>
      <c r="AI139" s="55"/>
      <c r="AK139" s="56"/>
    </row>
    <row r="140" spans="1:37" x14ac:dyDescent="0.25">
      <c r="A140" s="164" t="s">
        <v>164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165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166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167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7</v>
      </c>
      <c r="AH143" s="54"/>
      <c r="AI143" s="55"/>
      <c r="AK143" s="56"/>
    </row>
    <row r="144" spans="1:37" x14ac:dyDescent="0.25">
      <c r="A144" s="164" t="s">
        <v>168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169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6.6</v>
      </c>
      <c r="AH145" s="54"/>
      <c r="AI145" s="55"/>
      <c r="AK145" s="56"/>
    </row>
    <row r="146" spans="1:37" x14ac:dyDescent="0.25">
      <c r="A146" s="164" t="s">
        <v>170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6.4</v>
      </c>
      <c r="AH146" s="54"/>
      <c r="AI146" s="55"/>
      <c r="AK146" s="56"/>
    </row>
    <row r="147" spans="1:37" x14ac:dyDescent="0.25">
      <c r="A147" s="164" t="s">
        <v>171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6</v>
      </c>
      <c r="AH147" s="54"/>
      <c r="AI147" s="55"/>
      <c r="AK147" s="56"/>
    </row>
    <row r="148" spans="1:37" x14ac:dyDescent="0.25">
      <c r="A148" s="164" t="s">
        <v>172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5.0999999999999996</v>
      </c>
      <c r="AH148" s="54"/>
      <c r="AI148" s="55"/>
      <c r="AK148" s="56"/>
    </row>
    <row r="149" spans="1:37" x14ac:dyDescent="0.25">
      <c r="A149" s="164" t="s">
        <v>173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100">
        <v>5</v>
      </c>
      <c r="AH149" s="54"/>
      <c r="AI149" s="55"/>
      <c r="AK149" s="56"/>
    </row>
    <row r="150" spans="1:37" x14ac:dyDescent="0.25">
      <c r="A150" s="163" t="s">
        <v>174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99">
        <v>5</v>
      </c>
      <c r="AH150" s="54"/>
      <c r="AI150" s="55"/>
      <c r="AK150" s="56"/>
    </row>
    <row r="151" spans="1:37" x14ac:dyDescent="0.25">
      <c r="A151" s="164" t="s">
        <v>175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176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177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178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179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5</v>
      </c>
      <c r="AH155" s="54"/>
      <c r="AI155" s="55"/>
      <c r="AK155" s="56"/>
    </row>
    <row r="156" spans="1:37" x14ac:dyDescent="0.25">
      <c r="A156" s="164" t="s">
        <v>180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4.9930000000000003</v>
      </c>
      <c r="AH156" s="54"/>
      <c r="AI156" s="55"/>
      <c r="AK156" s="56"/>
    </row>
    <row r="157" spans="1:37" x14ac:dyDescent="0.25">
      <c r="A157" s="164" t="s">
        <v>181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4.9800000000000004</v>
      </c>
      <c r="AH157" s="54"/>
      <c r="AI157" s="55"/>
      <c r="AK157" s="56"/>
    </row>
    <row r="158" spans="1:37" x14ac:dyDescent="0.25">
      <c r="A158" s="164" t="s">
        <v>182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81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4.95</v>
      </c>
      <c r="AH159" s="54"/>
      <c r="AI159" s="55"/>
      <c r="AK159" s="56"/>
    </row>
    <row r="160" spans="1:37" x14ac:dyDescent="0.25">
      <c r="A160" s="164" t="s">
        <v>183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184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185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4.8</v>
      </c>
      <c r="AH162" s="54"/>
      <c r="AI162" s="55"/>
      <c r="AK162" s="56"/>
    </row>
    <row r="163" spans="1:37" x14ac:dyDescent="0.25">
      <c r="A163" s="164" t="s">
        <v>186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187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4.5</v>
      </c>
      <c r="AH164" s="54"/>
      <c r="AI164" s="55"/>
      <c r="AK164" s="56"/>
    </row>
    <row r="165" spans="1:37" x14ac:dyDescent="0.25">
      <c r="A165" s="164" t="s">
        <v>188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4.4550000000000001</v>
      </c>
      <c r="AH165" s="54"/>
      <c r="AI165" s="55"/>
      <c r="AK165" s="56"/>
    </row>
    <row r="166" spans="1:37" x14ac:dyDescent="0.25">
      <c r="A166" s="164" t="s">
        <v>189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4.41</v>
      </c>
      <c r="AH166" s="54"/>
      <c r="AI166" s="55"/>
      <c r="AK166" s="56"/>
    </row>
    <row r="167" spans="1:37" x14ac:dyDescent="0.25">
      <c r="A167" s="164" t="s">
        <v>190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4.4000000000000004</v>
      </c>
      <c r="AH167" s="54"/>
      <c r="AI167" s="55"/>
      <c r="AK167" s="56"/>
    </row>
    <row r="168" spans="1:37" x14ac:dyDescent="0.25">
      <c r="A168" s="164" t="s">
        <v>191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4.3600000000000003</v>
      </c>
      <c r="AH168" s="54"/>
      <c r="AI168" s="55"/>
      <c r="AK168" s="56"/>
    </row>
    <row r="169" spans="1:37" x14ac:dyDescent="0.25">
      <c r="A169" s="164" t="s">
        <v>192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4.2</v>
      </c>
      <c r="AH169" s="54"/>
      <c r="AI169" s="55"/>
      <c r="AK169" s="56"/>
    </row>
    <row r="170" spans="1:37" x14ac:dyDescent="0.25">
      <c r="A170" s="164" t="s">
        <v>193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194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195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196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197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198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199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200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4</v>
      </c>
      <c r="AH177" s="54"/>
      <c r="AI177" s="55"/>
      <c r="AK177" s="56"/>
    </row>
    <row r="178" spans="1:37" x14ac:dyDescent="0.25">
      <c r="A178" s="164" t="s">
        <v>201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3.75</v>
      </c>
      <c r="AH178" s="54"/>
      <c r="AI178" s="55"/>
      <c r="AK178" s="56"/>
    </row>
    <row r="179" spans="1:37" x14ac:dyDescent="0.25">
      <c r="A179" s="164" t="s">
        <v>202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3.52</v>
      </c>
      <c r="AH179" s="54"/>
      <c r="AI179" s="55"/>
      <c r="AK179" s="56"/>
    </row>
    <row r="180" spans="1:37" x14ac:dyDescent="0.25">
      <c r="A180" s="164" t="s">
        <v>203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3.33</v>
      </c>
      <c r="AH180" s="54"/>
      <c r="AI180" s="55"/>
      <c r="AK180" s="56"/>
    </row>
    <row r="181" spans="1:37" x14ac:dyDescent="0.25">
      <c r="A181" s="164" t="s">
        <v>204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3.2</v>
      </c>
      <c r="AH181" s="54"/>
      <c r="AI181" s="55"/>
      <c r="AK181" s="56"/>
    </row>
    <row r="182" spans="1:37" x14ac:dyDescent="0.25">
      <c r="A182" s="164" t="s">
        <v>205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206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207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208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209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210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211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212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3</v>
      </c>
      <c r="AH189" s="54"/>
      <c r="AI189" s="55"/>
      <c r="AK189" s="56"/>
    </row>
    <row r="190" spans="1:37" x14ac:dyDescent="0.25">
      <c r="A190" s="164" t="s">
        <v>213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2.83</v>
      </c>
      <c r="AH190" s="54"/>
      <c r="AI190" s="55"/>
      <c r="AK190" s="56"/>
    </row>
    <row r="191" spans="1:37" x14ac:dyDescent="0.25">
      <c r="A191" s="164" t="s">
        <v>214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215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2.5</v>
      </c>
      <c r="AH192" s="54"/>
      <c r="AI192" s="55"/>
      <c r="AK192" s="56"/>
    </row>
    <row r="193" spans="1:37" x14ac:dyDescent="0.25">
      <c r="A193" s="164" t="s">
        <v>216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217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2.4</v>
      </c>
      <c r="AH194" s="54"/>
      <c r="AI194" s="55"/>
      <c r="AK194" s="56"/>
    </row>
    <row r="195" spans="1:37" x14ac:dyDescent="0.25">
      <c r="A195" s="164" t="s">
        <v>218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2.2000000000000002</v>
      </c>
      <c r="AH195" s="54"/>
      <c r="AI195" s="55"/>
      <c r="AK195" s="56"/>
    </row>
    <row r="196" spans="1:37" x14ac:dyDescent="0.25">
      <c r="A196" s="164" t="s">
        <v>219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220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221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2</v>
      </c>
      <c r="AH198" s="54"/>
      <c r="AI198" s="55"/>
      <c r="AK198" s="56"/>
    </row>
    <row r="199" spans="1:37" x14ac:dyDescent="0.25">
      <c r="A199" s="164" t="s">
        <v>222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223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1.8</v>
      </c>
      <c r="AH200" s="54"/>
      <c r="AI200" s="55"/>
      <c r="AK200" s="56"/>
    </row>
    <row r="201" spans="1:37" x14ac:dyDescent="0.25">
      <c r="A201" s="164" t="s">
        <v>224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1.65</v>
      </c>
      <c r="AH201" s="54"/>
      <c r="AI201" s="55"/>
      <c r="AK201" s="56"/>
    </row>
    <row r="202" spans="1:37" x14ac:dyDescent="0.25">
      <c r="A202" s="164" t="s">
        <v>225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1.5</v>
      </c>
      <c r="AH202" s="54"/>
      <c r="AI202" s="55"/>
      <c r="AK202" s="56"/>
    </row>
    <row r="203" spans="1:37" x14ac:dyDescent="0.25">
      <c r="A203" s="164" t="s">
        <v>226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0.998</v>
      </c>
      <c r="AH203" s="54"/>
      <c r="AI203" s="55"/>
      <c r="AK203" s="56"/>
    </row>
    <row r="204" spans="1:37" x14ac:dyDescent="0.25">
      <c r="A204" s="164" t="s">
        <v>227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228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0.997</v>
      </c>
      <c r="AH205" s="54"/>
      <c r="AI205" s="55"/>
      <c r="AK205" s="56"/>
    </row>
    <row r="206" spans="1:37" x14ac:dyDescent="0.25">
      <c r="A206" s="164" t="s">
        <v>229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230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231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0.996</v>
      </c>
      <c r="AH208" s="54"/>
      <c r="AI208" s="55"/>
      <c r="AK208" s="56"/>
    </row>
    <row r="209" spans="1:37" x14ac:dyDescent="0.25">
      <c r="A209" s="164" t="s">
        <v>232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0.995</v>
      </c>
      <c r="AH209" s="54"/>
      <c r="AI209" s="55"/>
      <c r="AK209" s="56"/>
    </row>
    <row r="210" spans="1:37" x14ac:dyDescent="0.25">
      <c r="A210" s="164" t="s">
        <v>233</v>
      </c>
      <c r="B210" s="97"/>
      <c r="C210" s="98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0.99299999999999999</v>
      </c>
      <c r="AH210" s="54"/>
      <c r="AI210" s="55"/>
      <c r="AK210" s="56"/>
    </row>
    <row r="211" spans="1:37" x14ac:dyDescent="0.25">
      <c r="A211" s="164" t="s">
        <v>234</v>
      </c>
      <c r="B211" s="97"/>
      <c r="C211" s="53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  <c r="AF211" s="97"/>
      <c r="AG211" s="100">
        <v>0.99</v>
      </c>
      <c r="AH211" s="54"/>
      <c r="AI211" s="55"/>
      <c r="AK211" s="56"/>
    </row>
    <row r="212" spans="1:37" ht="15.75" thickBot="1" x14ac:dyDescent="0.3">
      <c r="A212" s="164" t="s">
        <v>235</v>
      </c>
      <c r="B212" s="102"/>
      <c r="C212" s="166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0">
        <v>0.97899999999999998</v>
      </c>
      <c r="AH212" s="54"/>
      <c r="AI212" s="55"/>
      <c r="AK212" s="56"/>
    </row>
    <row r="213" spans="1:37" ht="15.75" thickBot="1" x14ac:dyDescent="0.3">
      <c r="A213" s="165" t="s">
        <v>82</v>
      </c>
      <c r="B213" s="167">
        <f>SUM(B108:B212)</f>
        <v>0</v>
      </c>
      <c r="C213" s="103">
        <f t="shared" ref="C213:AG213" si="26">SUM(C108:C212)</f>
        <v>0</v>
      </c>
      <c r="D213" s="103">
        <f t="shared" si="26"/>
        <v>0</v>
      </c>
      <c r="E213" s="103">
        <f t="shared" si="26"/>
        <v>0</v>
      </c>
      <c r="F213" s="103">
        <f t="shared" si="26"/>
        <v>0</v>
      </c>
      <c r="G213" s="103">
        <f t="shared" si="26"/>
        <v>0</v>
      </c>
      <c r="H213" s="103">
        <f t="shared" si="26"/>
        <v>0</v>
      </c>
      <c r="I213" s="103">
        <f t="shared" si="26"/>
        <v>0</v>
      </c>
      <c r="J213" s="103">
        <f t="shared" si="26"/>
        <v>0</v>
      </c>
      <c r="K213" s="103">
        <f t="shared" si="26"/>
        <v>0</v>
      </c>
      <c r="L213" s="103">
        <f t="shared" si="26"/>
        <v>0</v>
      </c>
      <c r="M213" s="103">
        <f t="shared" si="26"/>
        <v>0</v>
      </c>
      <c r="N213" s="103">
        <f t="shared" si="26"/>
        <v>0</v>
      </c>
      <c r="O213" s="103">
        <f t="shared" si="26"/>
        <v>0</v>
      </c>
      <c r="P213" s="103">
        <f t="shared" si="26"/>
        <v>0</v>
      </c>
      <c r="Q213" s="103">
        <f t="shared" si="26"/>
        <v>0</v>
      </c>
      <c r="R213" s="103">
        <f t="shared" si="26"/>
        <v>0</v>
      </c>
      <c r="S213" s="103">
        <f t="shared" si="26"/>
        <v>0</v>
      </c>
      <c r="T213" s="103">
        <f t="shared" si="26"/>
        <v>0</v>
      </c>
      <c r="U213" s="103">
        <f t="shared" si="26"/>
        <v>0</v>
      </c>
      <c r="V213" s="103">
        <f t="shared" si="26"/>
        <v>0</v>
      </c>
      <c r="W213" s="103">
        <f t="shared" si="26"/>
        <v>0</v>
      </c>
      <c r="X213" s="103">
        <f t="shared" si="26"/>
        <v>0</v>
      </c>
      <c r="Y213" s="103">
        <f t="shared" si="26"/>
        <v>0</v>
      </c>
      <c r="Z213" s="103">
        <f t="shared" si="26"/>
        <v>0</v>
      </c>
      <c r="AA213" s="103">
        <f t="shared" si="26"/>
        <v>0</v>
      </c>
      <c r="AB213" s="103">
        <f t="shared" si="26"/>
        <v>0</v>
      </c>
      <c r="AC213" s="103">
        <f t="shared" si="26"/>
        <v>0</v>
      </c>
      <c r="AD213" s="103">
        <f t="shared" si="26"/>
        <v>0</v>
      </c>
      <c r="AE213" s="103">
        <f t="shared" si="26"/>
        <v>0</v>
      </c>
      <c r="AF213" s="168">
        <f t="shared" si="26"/>
        <v>0</v>
      </c>
      <c r="AG213" s="169">
        <f t="shared" si="26"/>
        <v>412.72299999999984</v>
      </c>
      <c r="AH213" s="54"/>
      <c r="AI213" s="55"/>
      <c r="AK213" s="56"/>
    </row>
    <row r="214" spans="1:37" ht="15.75" thickBot="1" x14ac:dyDescent="0.3">
      <c r="A214" s="28" t="s">
        <v>35</v>
      </c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149"/>
      <c r="AH214" s="54"/>
      <c r="AI214" s="55"/>
      <c r="AK214" s="56"/>
    </row>
    <row r="215" spans="1:37" x14ac:dyDescent="0.25">
      <c r="A215" s="170" t="s">
        <v>83</v>
      </c>
      <c r="B215" s="101">
        <f t="shared" ref="B215:B220" si="27">AF215</f>
        <v>0</v>
      </c>
      <c r="C215" s="101">
        <v>0.3</v>
      </c>
      <c r="D215" s="101">
        <f t="shared" ref="D215:P220" si="28">C215</f>
        <v>0.3</v>
      </c>
      <c r="E215" s="101">
        <f t="shared" si="28"/>
        <v>0.3</v>
      </c>
      <c r="F215" s="101">
        <f t="shared" si="28"/>
        <v>0.3</v>
      </c>
      <c r="G215" s="101">
        <f t="shared" si="28"/>
        <v>0.3</v>
      </c>
      <c r="H215" s="101">
        <f t="shared" si="28"/>
        <v>0.3</v>
      </c>
      <c r="I215" s="101">
        <f t="shared" si="28"/>
        <v>0.3</v>
      </c>
      <c r="J215" s="101">
        <f t="shared" si="28"/>
        <v>0.3</v>
      </c>
      <c r="K215" s="101">
        <f t="shared" si="28"/>
        <v>0.3</v>
      </c>
      <c r="L215" s="101">
        <f t="shared" si="28"/>
        <v>0.3</v>
      </c>
      <c r="M215" s="101">
        <f t="shared" si="28"/>
        <v>0.3</v>
      </c>
      <c r="N215" s="101">
        <f t="shared" si="28"/>
        <v>0.3</v>
      </c>
      <c r="O215" s="101">
        <f t="shared" si="28"/>
        <v>0.3</v>
      </c>
      <c r="P215" s="101">
        <f t="shared" si="28"/>
        <v>0.3</v>
      </c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  <c r="AE215" s="101"/>
      <c r="AF215" s="101"/>
      <c r="AG215" s="155">
        <v>2.4</v>
      </c>
      <c r="AH215" s="54"/>
      <c r="AI215" s="55"/>
      <c r="AK215" s="56"/>
    </row>
    <row r="216" spans="1:37" x14ac:dyDescent="0.25">
      <c r="A216" s="163" t="s">
        <v>84</v>
      </c>
      <c r="B216" s="97">
        <f t="shared" si="27"/>
        <v>0</v>
      </c>
      <c r="C216" s="97">
        <v>0.4</v>
      </c>
      <c r="D216" s="97">
        <f t="shared" si="28"/>
        <v>0.4</v>
      </c>
      <c r="E216" s="97">
        <f t="shared" si="28"/>
        <v>0.4</v>
      </c>
      <c r="F216" s="97">
        <f t="shared" si="28"/>
        <v>0.4</v>
      </c>
      <c r="G216" s="97">
        <f t="shared" si="28"/>
        <v>0.4</v>
      </c>
      <c r="H216" s="97">
        <f t="shared" si="28"/>
        <v>0.4</v>
      </c>
      <c r="I216" s="97">
        <f t="shared" si="28"/>
        <v>0.4</v>
      </c>
      <c r="J216" s="97">
        <f t="shared" si="28"/>
        <v>0.4</v>
      </c>
      <c r="K216" s="97">
        <f t="shared" si="28"/>
        <v>0.4</v>
      </c>
      <c r="L216" s="97">
        <f t="shared" si="28"/>
        <v>0.4</v>
      </c>
      <c r="M216" s="97">
        <f t="shared" si="28"/>
        <v>0.4</v>
      </c>
      <c r="N216" s="97">
        <f t="shared" si="28"/>
        <v>0.4</v>
      </c>
      <c r="O216" s="97">
        <f t="shared" si="28"/>
        <v>0.4</v>
      </c>
      <c r="P216" s="97">
        <f t="shared" si="28"/>
        <v>0.4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2</v>
      </c>
      <c r="AH216" s="54"/>
      <c r="AI216" s="55"/>
      <c r="AK216" s="56"/>
    </row>
    <row r="217" spans="1:37" x14ac:dyDescent="0.25">
      <c r="A217" s="163" t="s">
        <v>85</v>
      </c>
      <c r="B217" s="97">
        <f t="shared" si="27"/>
        <v>0</v>
      </c>
      <c r="C217" s="97">
        <v>1.5</v>
      </c>
      <c r="D217" s="97">
        <f t="shared" si="28"/>
        <v>1.5</v>
      </c>
      <c r="E217" s="97">
        <f t="shared" si="28"/>
        <v>1.5</v>
      </c>
      <c r="F217" s="97">
        <f t="shared" si="28"/>
        <v>1.5</v>
      </c>
      <c r="G217" s="97">
        <f t="shared" si="28"/>
        <v>1.5</v>
      </c>
      <c r="H217" s="97">
        <f t="shared" si="28"/>
        <v>1.5</v>
      </c>
      <c r="I217" s="97">
        <f t="shared" si="28"/>
        <v>1.5</v>
      </c>
      <c r="J217" s="97">
        <f t="shared" si="28"/>
        <v>1.5</v>
      </c>
      <c r="K217" s="97">
        <f t="shared" si="28"/>
        <v>1.5</v>
      </c>
      <c r="L217" s="97">
        <f t="shared" si="28"/>
        <v>1.5</v>
      </c>
      <c r="M217" s="97">
        <f t="shared" si="28"/>
        <v>1.5</v>
      </c>
      <c r="N217" s="97">
        <f t="shared" si="28"/>
        <v>1.5</v>
      </c>
      <c r="O217" s="97">
        <f t="shared" si="28"/>
        <v>1.5</v>
      </c>
      <c r="P217" s="97">
        <f t="shared" si="28"/>
        <v>1.5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1.5</v>
      </c>
      <c r="AH217" s="54"/>
      <c r="AI217" s="55"/>
      <c r="AK217" s="56"/>
    </row>
    <row r="218" spans="1:37" x14ac:dyDescent="0.25">
      <c r="A218" s="163" t="s">
        <v>86</v>
      </c>
      <c r="B218" s="97">
        <f t="shared" si="27"/>
        <v>0</v>
      </c>
      <c r="C218" s="97">
        <v>0.3</v>
      </c>
      <c r="D218" s="97">
        <f t="shared" si="28"/>
        <v>0.3</v>
      </c>
      <c r="E218" s="97">
        <f t="shared" si="28"/>
        <v>0.3</v>
      </c>
      <c r="F218" s="97">
        <f t="shared" si="28"/>
        <v>0.3</v>
      </c>
      <c r="G218" s="97">
        <f t="shared" si="28"/>
        <v>0.3</v>
      </c>
      <c r="H218" s="97">
        <f t="shared" si="28"/>
        <v>0.3</v>
      </c>
      <c r="I218" s="97">
        <f t="shared" si="28"/>
        <v>0.3</v>
      </c>
      <c r="J218" s="97">
        <f t="shared" si="28"/>
        <v>0.3</v>
      </c>
      <c r="K218" s="97">
        <f t="shared" si="28"/>
        <v>0.3</v>
      </c>
      <c r="L218" s="97">
        <f t="shared" si="28"/>
        <v>0.3</v>
      </c>
      <c r="M218" s="97">
        <f t="shared" si="28"/>
        <v>0.3</v>
      </c>
      <c r="N218" s="97">
        <f t="shared" si="28"/>
        <v>0.3</v>
      </c>
      <c r="O218" s="97">
        <f t="shared" si="28"/>
        <v>0.3</v>
      </c>
      <c r="P218" s="97">
        <f t="shared" si="28"/>
        <v>0.3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x14ac:dyDescent="0.25">
      <c r="A219" s="163" t="s">
        <v>87</v>
      </c>
      <c r="B219" s="97">
        <f t="shared" si="27"/>
        <v>0</v>
      </c>
      <c r="C219" s="97">
        <v>0.4</v>
      </c>
      <c r="D219" s="97">
        <f t="shared" si="28"/>
        <v>0.4</v>
      </c>
      <c r="E219" s="97">
        <f t="shared" si="28"/>
        <v>0.4</v>
      </c>
      <c r="F219" s="97">
        <f t="shared" si="28"/>
        <v>0.4</v>
      </c>
      <c r="G219" s="97">
        <f t="shared" si="28"/>
        <v>0.4</v>
      </c>
      <c r="H219" s="97">
        <f t="shared" si="28"/>
        <v>0.4</v>
      </c>
      <c r="I219" s="97">
        <f t="shared" si="28"/>
        <v>0.4</v>
      </c>
      <c r="J219" s="97">
        <f t="shared" si="28"/>
        <v>0.4</v>
      </c>
      <c r="K219" s="97">
        <f t="shared" si="28"/>
        <v>0.4</v>
      </c>
      <c r="L219" s="97">
        <f t="shared" si="28"/>
        <v>0.4</v>
      </c>
      <c r="M219" s="97">
        <f t="shared" si="28"/>
        <v>0.4</v>
      </c>
      <c r="N219" s="97">
        <f t="shared" si="28"/>
        <v>0.4</v>
      </c>
      <c r="O219" s="97">
        <f t="shared" si="28"/>
        <v>0.4</v>
      </c>
      <c r="P219" s="97">
        <f t="shared" si="28"/>
        <v>0.4</v>
      </c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  <c r="AE219" s="97"/>
      <c r="AF219" s="97"/>
      <c r="AG219" s="156">
        <v>1</v>
      </c>
      <c r="AH219" s="54"/>
      <c r="AI219" s="55"/>
      <c r="AK219" s="56"/>
    </row>
    <row r="220" spans="1:37" ht="15.75" thickBot="1" x14ac:dyDescent="0.3">
      <c r="A220" s="164" t="s">
        <v>88</v>
      </c>
      <c r="B220" s="102">
        <f t="shared" si="27"/>
        <v>0</v>
      </c>
      <c r="C220" s="102">
        <v>0.64</v>
      </c>
      <c r="D220" s="102">
        <f t="shared" si="28"/>
        <v>0.64</v>
      </c>
      <c r="E220" s="102">
        <f t="shared" si="28"/>
        <v>0.64</v>
      </c>
      <c r="F220" s="102">
        <f t="shared" si="28"/>
        <v>0.64</v>
      </c>
      <c r="G220" s="102">
        <f t="shared" si="28"/>
        <v>0.64</v>
      </c>
      <c r="H220" s="102">
        <f t="shared" si="28"/>
        <v>0.64</v>
      </c>
      <c r="I220" s="102">
        <f t="shared" si="28"/>
        <v>0.64</v>
      </c>
      <c r="J220" s="102">
        <f t="shared" si="28"/>
        <v>0.64</v>
      </c>
      <c r="K220" s="102">
        <f t="shared" si="28"/>
        <v>0.64</v>
      </c>
      <c r="L220" s="102">
        <f t="shared" si="28"/>
        <v>0.64</v>
      </c>
      <c r="M220" s="102">
        <f t="shared" si="28"/>
        <v>0.64</v>
      </c>
      <c r="N220" s="102">
        <f t="shared" si="28"/>
        <v>0.64</v>
      </c>
      <c r="O220" s="102">
        <f t="shared" si="28"/>
        <v>0.64</v>
      </c>
      <c r="P220" s="102">
        <f t="shared" si="28"/>
        <v>0.64</v>
      </c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57">
        <v>0.66</v>
      </c>
      <c r="AH220" s="54"/>
      <c r="AI220" s="55"/>
    </row>
    <row r="221" spans="1:37" ht="15.75" thickBot="1" x14ac:dyDescent="0.3">
      <c r="A221" s="173" t="s">
        <v>35</v>
      </c>
      <c r="B221" s="103">
        <f>SUM(B215:B220)</f>
        <v>0</v>
      </c>
      <c r="C221" s="103">
        <f>SUM(C215:C220)</f>
        <v>3.54</v>
      </c>
      <c r="D221" s="103">
        <f t="shared" ref="D221:L221" si="29">SUM(D215:D220)</f>
        <v>3.54</v>
      </c>
      <c r="E221" s="103">
        <f t="shared" si="29"/>
        <v>3.54</v>
      </c>
      <c r="F221" s="103">
        <f t="shared" si="29"/>
        <v>3.54</v>
      </c>
      <c r="G221" s="103">
        <f t="shared" si="29"/>
        <v>3.54</v>
      </c>
      <c r="H221" s="103">
        <f t="shared" si="29"/>
        <v>3.54</v>
      </c>
      <c r="I221" s="103">
        <f t="shared" si="29"/>
        <v>3.54</v>
      </c>
      <c r="J221" s="103">
        <f t="shared" si="29"/>
        <v>3.54</v>
      </c>
      <c r="K221" s="103">
        <f t="shared" si="29"/>
        <v>3.54</v>
      </c>
      <c r="L221" s="103">
        <f t="shared" si="29"/>
        <v>3.54</v>
      </c>
      <c r="M221" s="103">
        <f>SUM(M215:M220)</f>
        <v>3.54</v>
      </c>
      <c r="N221" s="103">
        <f t="shared" ref="N221:S221" si="30">SUM(N215:N220)</f>
        <v>3.54</v>
      </c>
      <c r="O221" s="103">
        <f t="shared" si="30"/>
        <v>3.54</v>
      </c>
      <c r="P221" s="103">
        <f t="shared" si="30"/>
        <v>3.54</v>
      </c>
      <c r="Q221" s="103">
        <f t="shared" si="30"/>
        <v>0</v>
      </c>
      <c r="R221" s="103">
        <f t="shared" si="30"/>
        <v>0</v>
      </c>
      <c r="S221" s="103">
        <f t="shared" si="30"/>
        <v>0</v>
      </c>
      <c r="T221" s="103">
        <f>SUM(T215:T220)</f>
        <v>0</v>
      </c>
      <c r="U221" s="103">
        <f t="shared" ref="U221:AG221" si="31">SUM(U215:U220)</f>
        <v>0</v>
      </c>
      <c r="V221" s="103">
        <f t="shared" si="31"/>
        <v>0</v>
      </c>
      <c r="W221" s="103">
        <f t="shared" si="31"/>
        <v>0</v>
      </c>
      <c r="X221" s="103">
        <f t="shared" si="31"/>
        <v>0</v>
      </c>
      <c r="Y221" s="103">
        <f t="shared" si="31"/>
        <v>0</v>
      </c>
      <c r="Z221" s="103">
        <f t="shared" si="31"/>
        <v>0</v>
      </c>
      <c r="AA221" s="103">
        <f t="shared" si="31"/>
        <v>0</v>
      </c>
      <c r="AB221" s="103">
        <f t="shared" si="31"/>
        <v>0</v>
      </c>
      <c r="AC221" s="103">
        <f t="shared" si="31"/>
        <v>0</v>
      </c>
      <c r="AD221" s="103">
        <f t="shared" si="31"/>
        <v>0</v>
      </c>
      <c r="AE221" s="103">
        <f t="shared" si="31"/>
        <v>0</v>
      </c>
      <c r="AF221" s="103">
        <f t="shared" si="31"/>
        <v>0</v>
      </c>
      <c r="AG221" s="158">
        <f t="shared" si="31"/>
        <v>8.56</v>
      </c>
      <c r="AH221" s="54"/>
      <c r="AI221" s="55"/>
    </row>
    <row r="222" spans="1:37" ht="15.75" thickBot="1" x14ac:dyDescent="0.3"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  <c r="AA222" s="179"/>
      <c r="AB222" s="179"/>
      <c r="AC222" s="179"/>
      <c r="AD222" s="179"/>
      <c r="AE222" s="179"/>
      <c r="AF222" s="179"/>
      <c r="AG222" s="84"/>
      <c r="AH222" s="179"/>
    </row>
    <row r="223" spans="1:37" x14ac:dyDescent="0.25">
      <c r="A223" s="79" t="s">
        <v>89</v>
      </c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  <c r="AE223" s="104"/>
      <c r="AF223" s="105"/>
      <c r="AG223" s="179"/>
      <c r="AH223" s="54"/>
      <c r="AI223" s="55"/>
    </row>
    <row r="224" spans="1:37" x14ac:dyDescent="0.25">
      <c r="A224" s="106" t="s">
        <v>90</v>
      </c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8"/>
      <c r="AG224" s="109"/>
      <c r="AH224" s="54"/>
      <c r="AI224" s="55"/>
    </row>
    <row r="225" spans="1:50" x14ac:dyDescent="0.25">
      <c r="A225" s="81" t="s">
        <v>91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x14ac:dyDescent="0.25">
      <c r="A226" s="81" t="s">
        <v>92</v>
      </c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1"/>
      <c r="AG226" s="109"/>
      <c r="AH226" s="54"/>
      <c r="AI226" s="55"/>
    </row>
    <row r="227" spans="1:50" ht="15.75" thickBot="1" x14ac:dyDescent="0.3">
      <c r="A227" s="112" t="s">
        <v>93</v>
      </c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  <c r="AB227" s="113"/>
      <c r="AC227" s="113"/>
      <c r="AD227" s="113"/>
      <c r="AE227" s="113"/>
      <c r="AF227" s="114"/>
      <c r="AG227" s="109"/>
      <c r="AH227" s="54"/>
      <c r="AI227" s="55"/>
    </row>
    <row r="228" spans="1:50" x14ac:dyDescent="0.25"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  <c r="AC228" s="179"/>
      <c r="AD228" s="179"/>
      <c r="AE228" s="179"/>
      <c r="AF228" s="179"/>
      <c r="AG228" s="179"/>
      <c r="AH228" s="179"/>
    </row>
    <row r="229" spans="1:50" x14ac:dyDescent="0.25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  <c r="AC229" s="179"/>
      <c r="AD229" s="179"/>
      <c r="AE229" s="179"/>
      <c r="AF229" s="179"/>
      <c r="AG229" s="179"/>
      <c r="AH229" s="179"/>
    </row>
    <row r="230" spans="1:50" x14ac:dyDescent="0.25">
      <c r="A230" s="115" t="s">
        <v>94</v>
      </c>
      <c r="B230" s="116">
        <f>MAX(G79:N79)</f>
        <v>1807.2399999999998</v>
      </c>
      <c r="C230" s="117">
        <f>INDEX(G9:N9,1,MATCH(MAX(G79:N79),G79:N79,0))</f>
        <v>0.3125</v>
      </c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79"/>
      <c r="AH230" s="179"/>
    </row>
    <row r="231" spans="1:50" x14ac:dyDescent="0.25"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18" t="str">
        <f ca="1">MID(CELL("filename",C7),FIND("]",CELL("filename",C7))+1,600)</f>
        <v>30</v>
      </c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  <c r="AE231" s="179"/>
      <c r="AF231" s="179"/>
      <c r="AG231" s="179"/>
      <c r="AH231" s="179"/>
    </row>
    <row r="232" spans="1:50" x14ac:dyDescent="0.25">
      <c r="A232" s="208" t="s">
        <v>95</v>
      </c>
      <c r="B232" s="208"/>
      <c r="C232" s="179"/>
      <c r="D232" s="118" t="str">
        <f ca="1">"Pie Chart of Daily Peak Demand(Inclusive of Export) of Nepal ("&amp;A4&amp;" "&amp;B4&amp;")"</f>
        <v>Pie Chart of Daily Peak Demand(Inclusive of Export) of Nepal (Nepali Date: 2079/02/30)</v>
      </c>
      <c r="E232" s="179"/>
      <c r="F232" s="179"/>
      <c r="G232" s="118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18" t="str">
        <f ca="1">"Daily Load Curve(Excluding of Export) of Nepal ("&amp;A4&amp;" "&amp;B4&amp;")"</f>
        <v>Daily Load Curve(Excluding of Export) of Nepal (Nepali Date: 2079/02/30)</v>
      </c>
      <c r="T232" s="179"/>
      <c r="U232" s="179"/>
      <c r="V232" s="179"/>
      <c r="W232" s="179"/>
      <c r="X232" s="179"/>
      <c r="Y232" s="179"/>
      <c r="Z232" s="179"/>
      <c r="AA232" s="179"/>
      <c r="AB232" s="179"/>
      <c r="AC232" s="179"/>
      <c r="AD232" s="179"/>
      <c r="AE232" s="179"/>
      <c r="AF232" s="179"/>
      <c r="AG232" s="179"/>
      <c r="AH232" s="179"/>
    </row>
    <row r="233" spans="1:50" ht="12.75" customHeight="1" thickBot="1" x14ac:dyDescent="0.3">
      <c r="A233" s="119" t="s">
        <v>7</v>
      </c>
      <c r="B233" s="120"/>
      <c r="C233" s="179"/>
      <c r="D233" s="121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  <c r="AA233" s="179"/>
      <c r="AB233" s="179"/>
      <c r="AC233" s="179"/>
      <c r="AD233" s="179"/>
      <c r="AE233" s="179"/>
      <c r="AF233" s="179"/>
      <c r="AG233" s="179"/>
      <c r="AH233" s="179"/>
    </row>
    <row r="234" spans="1:50" ht="15.75" thickTop="1" x14ac:dyDescent="0.25">
      <c r="A234" s="119" t="s">
        <v>96</v>
      </c>
      <c r="B234" s="120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22" t="s">
        <v>97</v>
      </c>
      <c r="T234" s="123">
        <v>0</v>
      </c>
      <c r="U234" s="124">
        <v>4.1666666666666664E-2</v>
      </c>
      <c r="V234" s="125">
        <v>8.3333333333333301E-2</v>
      </c>
      <c r="W234" s="125">
        <v>0.125</v>
      </c>
      <c r="X234" s="125">
        <v>0.16666666666666699</v>
      </c>
      <c r="Y234" s="125">
        <v>0.20833333333333301</v>
      </c>
      <c r="Z234" s="125">
        <v>0.22916666666666666</v>
      </c>
      <c r="AA234" s="125">
        <v>0.25</v>
      </c>
      <c r="AB234" s="125">
        <v>0.27083333333333331</v>
      </c>
      <c r="AC234" s="125">
        <v>0.29166666666666669</v>
      </c>
      <c r="AD234" s="125">
        <v>0.3125</v>
      </c>
      <c r="AE234" s="126">
        <v>0.33333333333333331</v>
      </c>
      <c r="AF234" s="126">
        <v>0.375</v>
      </c>
      <c r="AG234" s="126">
        <v>0.41666666666666702</v>
      </c>
      <c r="AH234" s="126">
        <v>0.45833333333333298</v>
      </c>
      <c r="AI234" s="126">
        <v>0.5</v>
      </c>
      <c r="AJ234" s="126">
        <v>0.54166666666666696</v>
      </c>
      <c r="AK234" s="126">
        <v>0.58333333333333304</v>
      </c>
      <c r="AL234" s="126">
        <v>0.625</v>
      </c>
      <c r="AM234" s="126">
        <v>0.66666666666666696</v>
      </c>
      <c r="AN234" s="126">
        <v>0.70833333333333304</v>
      </c>
      <c r="AO234" s="126">
        <v>0.72916666666666663</v>
      </c>
      <c r="AP234" s="126">
        <v>0.75</v>
      </c>
      <c r="AQ234" s="126">
        <v>0.77083333333333337</v>
      </c>
      <c r="AR234" s="126">
        <v>0.79166666666666663</v>
      </c>
      <c r="AS234" s="126">
        <v>0.8125</v>
      </c>
      <c r="AT234" s="125">
        <v>0.83333333333333337</v>
      </c>
      <c r="AU234" s="125">
        <v>0.85416666666666663</v>
      </c>
      <c r="AV234" s="125">
        <v>0.875</v>
      </c>
      <c r="AW234" s="125">
        <v>0.91666666666666696</v>
      </c>
      <c r="AX234" s="125">
        <v>0.95833333333333304</v>
      </c>
    </row>
    <row r="235" spans="1:50" x14ac:dyDescent="0.25">
      <c r="A235" s="119" t="s">
        <v>98</v>
      </c>
      <c r="B235" s="120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 t="s">
        <v>99</v>
      </c>
      <c r="T235" s="127">
        <f t="shared" ref="T235:AX235" si="32">B79</f>
        <v>1794.4399999999998</v>
      </c>
      <c r="U235" s="127">
        <f t="shared" si="32"/>
        <v>1771.54</v>
      </c>
      <c r="V235" s="127">
        <f t="shared" si="32"/>
        <v>1764.1399999999999</v>
      </c>
      <c r="W235" s="127">
        <f t="shared" si="32"/>
        <v>1747.6399999999999</v>
      </c>
      <c r="X235" s="127">
        <f t="shared" si="32"/>
        <v>1746.04</v>
      </c>
      <c r="Y235" s="127">
        <f t="shared" si="32"/>
        <v>1736.84</v>
      </c>
      <c r="Z235" s="127">
        <f t="shared" si="32"/>
        <v>1738.84</v>
      </c>
      <c r="AA235" s="127">
        <f t="shared" si="32"/>
        <v>1728.34</v>
      </c>
      <c r="AB235" s="127">
        <f t="shared" si="32"/>
        <v>1765.04</v>
      </c>
      <c r="AC235" s="127">
        <f t="shared" si="32"/>
        <v>1758.2399999999998</v>
      </c>
      <c r="AD235" s="127">
        <f t="shared" si="32"/>
        <v>1807.2399999999998</v>
      </c>
      <c r="AE235" s="127">
        <f t="shared" si="32"/>
        <v>1774.7400000000002</v>
      </c>
      <c r="AF235" s="127">
        <f t="shared" si="32"/>
        <v>1706.3400000000001</v>
      </c>
      <c r="AG235" s="127">
        <f t="shared" si="32"/>
        <v>1787.5399999999997</v>
      </c>
      <c r="AH235" s="127">
        <f t="shared" si="32"/>
        <v>1742.14</v>
      </c>
      <c r="AI235" s="127">
        <f t="shared" si="32"/>
        <v>1713.54</v>
      </c>
      <c r="AJ235" s="127">
        <f t="shared" si="32"/>
        <v>1752.24</v>
      </c>
      <c r="AK235" s="127">
        <f t="shared" si="32"/>
        <v>1798.7399999999998</v>
      </c>
      <c r="AL235" s="127">
        <f t="shared" si="32"/>
        <v>1772.34</v>
      </c>
      <c r="AM235" s="127">
        <f t="shared" si="32"/>
        <v>1806.54</v>
      </c>
      <c r="AN235" s="127">
        <f t="shared" si="32"/>
        <v>1825.6399999999999</v>
      </c>
      <c r="AO235" s="127">
        <f t="shared" si="32"/>
        <v>1837.44</v>
      </c>
      <c r="AP235" s="127">
        <f t="shared" si="32"/>
        <v>1834.24</v>
      </c>
      <c r="AQ235" s="127">
        <f t="shared" si="32"/>
        <v>1862.1399999999999</v>
      </c>
      <c r="AR235" s="127">
        <f t="shared" si="32"/>
        <v>1872.34</v>
      </c>
      <c r="AS235" s="127">
        <f t="shared" si="32"/>
        <v>1950.04</v>
      </c>
      <c r="AT235" s="127">
        <f t="shared" si="32"/>
        <v>1949.84</v>
      </c>
      <c r="AU235" s="127">
        <f t="shared" si="32"/>
        <v>1894.4399999999998</v>
      </c>
      <c r="AV235" s="127">
        <f t="shared" si="32"/>
        <v>1895.9399999999998</v>
      </c>
      <c r="AW235" s="127">
        <f t="shared" si="32"/>
        <v>1900.1399999999999</v>
      </c>
      <c r="AX235" s="127">
        <f t="shared" si="32"/>
        <v>1890.9399999999998</v>
      </c>
    </row>
    <row r="236" spans="1:50" x14ac:dyDescent="0.25">
      <c r="A236" s="119" t="s">
        <v>100</v>
      </c>
      <c r="B236" s="120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79"/>
      <c r="AE236" s="179"/>
      <c r="AF236" s="179"/>
      <c r="AG236" s="179"/>
      <c r="AH236" s="179"/>
    </row>
    <row r="237" spans="1:50" x14ac:dyDescent="0.25">
      <c r="A237" s="119" t="s">
        <v>101</v>
      </c>
      <c r="B237" s="120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  <c r="AE237" s="179"/>
      <c r="AF237" s="179"/>
      <c r="AG237" s="179"/>
      <c r="AH237" s="179"/>
    </row>
    <row r="238" spans="1:50" x14ac:dyDescent="0.25">
      <c r="A238" s="119" t="s">
        <v>102</v>
      </c>
      <c r="B238" s="120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  <c r="AE238" s="179"/>
      <c r="AF238" s="179"/>
      <c r="AG238" s="179"/>
      <c r="AH238" s="179"/>
    </row>
    <row r="239" spans="1:50" x14ac:dyDescent="0.25">
      <c r="A239" s="119" t="s">
        <v>103</v>
      </c>
      <c r="B239" s="128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</row>
    <row r="240" spans="1:50" x14ac:dyDescent="0.25">
      <c r="A240" s="119" t="s">
        <v>104</v>
      </c>
      <c r="B240" s="120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  <c r="AD240" s="179"/>
      <c r="AE240" s="179"/>
      <c r="AF240" s="179"/>
      <c r="AG240" s="179"/>
      <c r="AH240" s="179"/>
    </row>
    <row r="241" spans="1:36" x14ac:dyDescent="0.25"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  <c r="AC241" s="179"/>
      <c r="AD241" s="179"/>
      <c r="AE241" s="179"/>
      <c r="AF241" s="179"/>
      <c r="AG241" s="179"/>
      <c r="AH241" s="179"/>
    </row>
    <row r="242" spans="1:36" x14ac:dyDescent="0.25"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  <c r="AC242" s="179"/>
      <c r="AD242" s="179"/>
      <c r="AE242" s="179"/>
      <c r="AF242" s="179"/>
      <c r="AG242" s="179"/>
      <c r="AH242" s="179"/>
    </row>
    <row r="243" spans="1:36" x14ac:dyDescent="0.25"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  <c r="AC243" s="179"/>
      <c r="AD243" s="179"/>
      <c r="AE243" s="179"/>
      <c r="AF243" s="179"/>
      <c r="AG243" s="179"/>
      <c r="AH243" s="179"/>
    </row>
    <row r="244" spans="1:36" x14ac:dyDescent="0.25"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  <c r="AC244" s="179"/>
      <c r="AD244" s="179"/>
      <c r="AE244" s="179"/>
      <c r="AF244" s="179"/>
      <c r="AG244" s="179"/>
      <c r="AH244" s="179"/>
    </row>
    <row r="245" spans="1:36" x14ac:dyDescent="0.25"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  <c r="AG245" s="179"/>
      <c r="AH245" s="179"/>
    </row>
    <row r="246" spans="1:36" x14ac:dyDescent="0.25"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  <c r="AC246" s="179"/>
      <c r="AD246" s="179"/>
      <c r="AE246" s="179"/>
      <c r="AF246" s="179"/>
      <c r="AG246" s="179"/>
      <c r="AH246" s="179"/>
    </row>
    <row r="247" spans="1:36" x14ac:dyDescent="0.25"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  <c r="AC247" s="179"/>
      <c r="AD247" s="179"/>
      <c r="AE247" s="179"/>
      <c r="AF247" s="179"/>
      <c r="AG247" s="179"/>
      <c r="AH247" s="179"/>
      <c r="AJ247"/>
    </row>
    <row r="248" spans="1:36" x14ac:dyDescent="0.25"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  <c r="AC248" s="179"/>
      <c r="AD248" s="179"/>
      <c r="AE248" s="179"/>
      <c r="AF248" s="179"/>
      <c r="AG248" s="179"/>
      <c r="AH248" s="179"/>
      <c r="AJ248"/>
    </row>
    <row r="249" spans="1:36" x14ac:dyDescent="0.25"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  <c r="AC249" s="179"/>
      <c r="AD249" s="179"/>
      <c r="AE249" s="179"/>
      <c r="AF249" s="179"/>
      <c r="AG249" s="179"/>
      <c r="AH249" s="179"/>
      <c r="AJ249"/>
    </row>
    <row r="250" spans="1:36" x14ac:dyDescent="0.25"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  <c r="AC250" s="179"/>
      <c r="AD250" s="179"/>
      <c r="AE250" s="179"/>
      <c r="AF250" s="179"/>
      <c r="AG250" s="179"/>
      <c r="AH250" s="179"/>
      <c r="AJ250"/>
    </row>
    <row r="251" spans="1:36" x14ac:dyDescent="0.25"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  <c r="AE251" s="179"/>
      <c r="AF251" s="179"/>
      <c r="AG251" s="179"/>
      <c r="AH251" s="179"/>
      <c r="AJ251"/>
    </row>
    <row r="252" spans="1:36" x14ac:dyDescent="0.25"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  <c r="AC252" s="179"/>
      <c r="AD252" s="179"/>
      <c r="AE252" s="179"/>
      <c r="AF252" s="179"/>
      <c r="AG252" s="179"/>
      <c r="AH252" s="179"/>
      <c r="AJ252"/>
    </row>
    <row r="253" spans="1:36" x14ac:dyDescent="0.25"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J253"/>
    </row>
    <row r="254" spans="1:36" x14ac:dyDescent="0.25"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  <c r="AE254" s="179"/>
      <c r="AF254" s="179"/>
      <c r="AG254" s="179"/>
      <c r="AH254" s="179"/>
      <c r="AJ254"/>
    </row>
    <row r="255" spans="1:36" x14ac:dyDescent="0.25"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  <c r="AA255" s="179"/>
      <c r="AB255" s="179"/>
      <c r="AC255" s="179"/>
      <c r="AD255" s="179"/>
      <c r="AE255" s="179"/>
      <c r="AF255" s="179"/>
      <c r="AG255" s="179"/>
      <c r="AH255" s="179"/>
      <c r="AJ255"/>
    </row>
    <row r="256" spans="1:36" x14ac:dyDescent="0.25">
      <c r="A256" s="129" t="s">
        <v>89</v>
      </c>
      <c r="B256" s="130">
        <f t="shared" ref="B256:AE256" si="33">C220</f>
        <v>0.64</v>
      </c>
      <c r="C256" s="130">
        <f t="shared" si="33"/>
        <v>0.64</v>
      </c>
      <c r="D256" s="130">
        <f t="shared" si="33"/>
        <v>0.64</v>
      </c>
      <c r="E256" s="130">
        <f t="shared" si="33"/>
        <v>0.64</v>
      </c>
      <c r="F256" s="130">
        <f t="shared" si="33"/>
        <v>0.64</v>
      </c>
      <c r="G256" s="130">
        <f t="shared" si="33"/>
        <v>0.64</v>
      </c>
      <c r="H256" s="130">
        <f t="shared" si="33"/>
        <v>0.64</v>
      </c>
      <c r="I256" s="130">
        <f t="shared" si="33"/>
        <v>0.64</v>
      </c>
      <c r="J256" s="130">
        <f t="shared" si="33"/>
        <v>0.64</v>
      </c>
      <c r="K256" s="130">
        <f t="shared" si="33"/>
        <v>0.64</v>
      </c>
      <c r="L256" s="130">
        <f t="shared" si="33"/>
        <v>0.64</v>
      </c>
      <c r="M256" s="130">
        <f t="shared" si="33"/>
        <v>0.64</v>
      </c>
      <c r="N256" s="130">
        <f t="shared" si="33"/>
        <v>0.64</v>
      </c>
      <c r="O256" s="130">
        <f t="shared" si="33"/>
        <v>0.64</v>
      </c>
      <c r="P256" s="130">
        <f t="shared" si="33"/>
        <v>0</v>
      </c>
      <c r="Q256" s="130">
        <f t="shared" si="33"/>
        <v>0</v>
      </c>
      <c r="R256" s="130">
        <f t="shared" si="33"/>
        <v>0</v>
      </c>
      <c r="S256" s="130">
        <f t="shared" si="33"/>
        <v>0</v>
      </c>
      <c r="T256" s="130">
        <f t="shared" si="33"/>
        <v>0</v>
      </c>
      <c r="U256" s="130">
        <f t="shared" si="33"/>
        <v>0</v>
      </c>
      <c r="V256" s="130">
        <f t="shared" si="33"/>
        <v>0</v>
      </c>
      <c r="W256" s="130">
        <f t="shared" si="33"/>
        <v>0</v>
      </c>
      <c r="X256" s="130">
        <f t="shared" si="33"/>
        <v>0</v>
      </c>
      <c r="Y256" s="130">
        <f t="shared" si="33"/>
        <v>0</v>
      </c>
      <c r="Z256" s="130">
        <f t="shared" si="33"/>
        <v>0</v>
      </c>
      <c r="AA256" s="130">
        <f t="shared" si="33"/>
        <v>0</v>
      </c>
      <c r="AB256" s="130">
        <f t="shared" si="33"/>
        <v>0</v>
      </c>
      <c r="AC256" s="130">
        <f t="shared" si="33"/>
        <v>0</v>
      </c>
      <c r="AD256" s="130">
        <f t="shared" si="33"/>
        <v>0</v>
      </c>
      <c r="AE256" s="130">
        <f t="shared" si="33"/>
        <v>0</v>
      </c>
      <c r="AF256" s="130">
        <f>B220</f>
        <v>0</v>
      </c>
      <c r="AG256" s="179"/>
      <c r="AH256" s="179"/>
      <c r="AJ256"/>
    </row>
    <row r="257" spans="1:36" x14ac:dyDescent="0.25">
      <c r="A257" s="88" t="str">
        <f>A224</f>
        <v>KGA</v>
      </c>
      <c r="B257" s="88" t="str">
        <f>IF(B224&lt;100,"",B224-520)</f>
        <v/>
      </c>
      <c r="C257" s="88" t="str">
        <f t="shared" ref="C257:AF257" si="34">IF(C224&lt;100,"",C224-520)</f>
        <v/>
      </c>
      <c r="D257" s="88" t="str">
        <f t="shared" si="34"/>
        <v/>
      </c>
      <c r="E257" s="88" t="str">
        <f t="shared" si="34"/>
        <v/>
      </c>
      <c r="F257" s="88" t="str">
        <f t="shared" si="34"/>
        <v/>
      </c>
      <c r="G257" s="88" t="str">
        <f t="shared" si="34"/>
        <v/>
      </c>
      <c r="H257" s="88" t="str">
        <f t="shared" si="34"/>
        <v/>
      </c>
      <c r="I257" s="88" t="str">
        <f t="shared" si="34"/>
        <v/>
      </c>
      <c r="J257" s="88" t="str">
        <f t="shared" si="34"/>
        <v/>
      </c>
      <c r="K257" s="88" t="str">
        <f t="shared" si="34"/>
        <v/>
      </c>
      <c r="L257" s="88" t="str">
        <f t="shared" si="34"/>
        <v/>
      </c>
      <c r="M257" s="88" t="str">
        <f t="shared" si="34"/>
        <v/>
      </c>
      <c r="N257" s="88" t="str">
        <f t="shared" si="34"/>
        <v/>
      </c>
      <c r="O257" s="88" t="str">
        <f t="shared" si="34"/>
        <v/>
      </c>
      <c r="P257" s="88" t="str">
        <f t="shared" si="34"/>
        <v/>
      </c>
      <c r="Q257" s="88" t="str">
        <f t="shared" si="34"/>
        <v/>
      </c>
      <c r="R257" s="88" t="str">
        <f t="shared" si="34"/>
        <v/>
      </c>
      <c r="S257" s="88" t="str">
        <f t="shared" si="34"/>
        <v/>
      </c>
      <c r="T257" s="88" t="str">
        <f t="shared" si="34"/>
        <v/>
      </c>
      <c r="U257" s="88" t="str">
        <f t="shared" si="34"/>
        <v/>
      </c>
      <c r="V257" s="88" t="str">
        <f t="shared" si="34"/>
        <v/>
      </c>
      <c r="W257" s="88" t="str">
        <f t="shared" si="34"/>
        <v/>
      </c>
      <c r="X257" s="88" t="str">
        <f t="shared" si="34"/>
        <v/>
      </c>
      <c r="Y257" s="88" t="str">
        <f t="shared" si="34"/>
        <v/>
      </c>
      <c r="Z257" s="88" t="str">
        <f t="shared" si="34"/>
        <v/>
      </c>
      <c r="AA257" s="88" t="str">
        <f t="shared" si="34"/>
        <v/>
      </c>
      <c r="AB257" s="88" t="str">
        <f t="shared" si="34"/>
        <v/>
      </c>
      <c r="AC257" s="88" t="str">
        <f t="shared" si="34"/>
        <v/>
      </c>
      <c r="AD257" s="88" t="str">
        <f t="shared" si="34"/>
        <v/>
      </c>
      <c r="AE257" s="88" t="str">
        <f t="shared" si="34"/>
        <v/>
      </c>
      <c r="AF257" s="88" t="str">
        <f t="shared" si="34"/>
        <v/>
      </c>
      <c r="AG257" s="179"/>
      <c r="AH257" s="179"/>
      <c r="AJ257"/>
    </row>
    <row r="258" spans="1:36" x14ac:dyDescent="0.25">
      <c r="A258" s="88" t="str">
        <f>A225</f>
        <v>MMRS</v>
      </c>
      <c r="B258" s="88" t="str">
        <f t="shared" ref="B258:AF258" si="35">IF(B225&lt;100,"",B225-620)</f>
        <v/>
      </c>
      <c r="C258" s="88" t="str">
        <f t="shared" si="35"/>
        <v/>
      </c>
      <c r="D258" s="88" t="str">
        <f t="shared" si="35"/>
        <v/>
      </c>
      <c r="E258" s="88" t="str">
        <f t="shared" si="35"/>
        <v/>
      </c>
      <c r="F258" s="88" t="str">
        <f t="shared" si="35"/>
        <v/>
      </c>
      <c r="G258" s="88" t="str">
        <f t="shared" si="35"/>
        <v/>
      </c>
      <c r="H258" s="88" t="str">
        <f t="shared" si="35"/>
        <v/>
      </c>
      <c r="I258" s="88" t="str">
        <f t="shared" si="35"/>
        <v/>
      </c>
      <c r="J258" s="88" t="str">
        <f t="shared" si="35"/>
        <v/>
      </c>
      <c r="K258" s="88" t="str">
        <f t="shared" si="35"/>
        <v/>
      </c>
      <c r="L258" s="88" t="str">
        <f t="shared" si="35"/>
        <v/>
      </c>
      <c r="M258" s="88" t="str">
        <f t="shared" si="35"/>
        <v/>
      </c>
      <c r="N258" s="88" t="str">
        <f t="shared" si="35"/>
        <v/>
      </c>
      <c r="O258" s="88" t="str">
        <f t="shared" si="35"/>
        <v/>
      </c>
      <c r="P258" s="88" t="str">
        <f t="shared" si="35"/>
        <v/>
      </c>
      <c r="Q258" s="88" t="str">
        <f t="shared" si="35"/>
        <v/>
      </c>
      <c r="R258" s="88" t="str">
        <f t="shared" si="35"/>
        <v/>
      </c>
      <c r="S258" s="88" t="str">
        <f t="shared" si="35"/>
        <v/>
      </c>
      <c r="T258" s="88" t="str">
        <f t="shared" si="35"/>
        <v/>
      </c>
      <c r="U258" s="88" t="str">
        <f t="shared" si="35"/>
        <v/>
      </c>
      <c r="V258" s="88" t="str">
        <f t="shared" si="35"/>
        <v/>
      </c>
      <c r="W258" s="88" t="str">
        <f t="shared" si="35"/>
        <v/>
      </c>
      <c r="X258" s="88" t="str">
        <f t="shared" si="35"/>
        <v/>
      </c>
      <c r="Y258" s="88" t="str">
        <f t="shared" si="35"/>
        <v/>
      </c>
      <c r="Z258" s="88" t="str">
        <f t="shared" si="35"/>
        <v/>
      </c>
      <c r="AA258" s="88" t="str">
        <f t="shared" si="35"/>
        <v/>
      </c>
      <c r="AB258" s="88" t="str">
        <f t="shared" si="35"/>
        <v/>
      </c>
      <c r="AC258" s="88" t="str">
        <f t="shared" si="35"/>
        <v/>
      </c>
      <c r="AD258" s="88" t="str">
        <f t="shared" si="35"/>
        <v/>
      </c>
      <c r="AE258" s="88" t="str">
        <f t="shared" si="35"/>
        <v/>
      </c>
      <c r="AF258" s="88" t="str">
        <f t="shared" si="35"/>
        <v/>
      </c>
      <c r="AG258" s="179"/>
      <c r="AH258" s="179"/>
      <c r="AJ258"/>
    </row>
    <row r="259" spans="1:36" x14ac:dyDescent="0.25">
      <c r="A259" s="88" t="str">
        <f>A226</f>
        <v>MRS</v>
      </c>
      <c r="B259" s="88" t="str">
        <f t="shared" ref="B259:AF259" si="36">IF(B226&lt;100,"",B226-330)</f>
        <v/>
      </c>
      <c r="C259" s="88" t="str">
        <f t="shared" si="36"/>
        <v/>
      </c>
      <c r="D259" s="88" t="str">
        <f t="shared" si="36"/>
        <v/>
      </c>
      <c r="E259" s="88" t="str">
        <f t="shared" si="36"/>
        <v/>
      </c>
      <c r="F259" s="88" t="str">
        <f t="shared" si="36"/>
        <v/>
      </c>
      <c r="G259" s="88" t="str">
        <f t="shared" si="36"/>
        <v/>
      </c>
      <c r="H259" s="88" t="str">
        <f t="shared" si="36"/>
        <v/>
      </c>
      <c r="I259" s="88" t="str">
        <f t="shared" si="36"/>
        <v/>
      </c>
      <c r="J259" s="88" t="str">
        <f t="shared" si="36"/>
        <v/>
      </c>
      <c r="K259" s="88" t="str">
        <f t="shared" si="36"/>
        <v/>
      </c>
      <c r="L259" s="88" t="str">
        <f t="shared" si="36"/>
        <v/>
      </c>
      <c r="M259" s="88" t="str">
        <f t="shared" si="36"/>
        <v/>
      </c>
      <c r="N259" s="88" t="str">
        <f t="shared" si="36"/>
        <v/>
      </c>
      <c r="O259" s="88" t="str">
        <f t="shared" si="36"/>
        <v/>
      </c>
      <c r="P259" s="88" t="str">
        <f t="shared" si="36"/>
        <v/>
      </c>
      <c r="Q259" s="88" t="str">
        <f t="shared" si="36"/>
        <v/>
      </c>
      <c r="R259" s="88" t="str">
        <f t="shared" si="36"/>
        <v/>
      </c>
      <c r="S259" s="88" t="str">
        <f t="shared" si="36"/>
        <v/>
      </c>
      <c r="T259" s="88" t="str">
        <f t="shared" si="36"/>
        <v/>
      </c>
      <c r="U259" s="88" t="str">
        <f t="shared" si="36"/>
        <v/>
      </c>
      <c r="V259" s="88" t="str">
        <f t="shared" si="36"/>
        <v/>
      </c>
      <c r="W259" s="88" t="str">
        <f t="shared" si="36"/>
        <v/>
      </c>
      <c r="X259" s="88" t="str">
        <f t="shared" si="36"/>
        <v/>
      </c>
      <c r="Y259" s="88" t="str">
        <f t="shared" si="36"/>
        <v/>
      </c>
      <c r="Z259" s="88" t="str">
        <f t="shared" si="36"/>
        <v/>
      </c>
      <c r="AA259" s="88" t="str">
        <f t="shared" si="36"/>
        <v/>
      </c>
      <c r="AB259" s="88" t="str">
        <f t="shared" si="36"/>
        <v/>
      </c>
      <c r="AC259" s="88" t="str">
        <f t="shared" si="36"/>
        <v/>
      </c>
      <c r="AD259" s="88" t="str">
        <f t="shared" si="36"/>
        <v/>
      </c>
      <c r="AE259" s="88" t="str">
        <f t="shared" si="36"/>
        <v/>
      </c>
      <c r="AF259" s="88" t="str">
        <f t="shared" si="36"/>
        <v/>
      </c>
      <c r="AG259" s="179"/>
      <c r="AH259" s="179"/>
      <c r="AJ259"/>
    </row>
    <row r="260" spans="1:36" x14ac:dyDescent="0.25">
      <c r="A260" s="88" t="str">
        <f>A227</f>
        <v>KL 1</v>
      </c>
      <c r="B260" s="88" t="str">
        <f>IF(B227&lt;100,"",B227-1500)</f>
        <v/>
      </c>
      <c r="C260" s="88" t="str">
        <f t="shared" ref="C260:AF260" si="37">IF(C227&lt;100,"",C227-1500)</f>
        <v/>
      </c>
      <c r="D260" s="88" t="str">
        <f t="shared" si="37"/>
        <v/>
      </c>
      <c r="E260" s="88" t="str">
        <f t="shared" si="37"/>
        <v/>
      </c>
      <c r="F260" s="88" t="str">
        <f t="shared" si="37"/>
        <v/>
      </c>
      <c r="G260" s="88" t="str">
        <f t="shared" si="37"/>
        <v/>
      </c>
      <c r="H260" s="88" t="str">
        <f t="shared" si="37"/>
        <v/>
      </c>
      <c r="I260" s="88" t="str">
        <f t="shared" si="37"/>
        <v/>
      </c>
      <c r="J260" s="88" t="str">
        <f t="shared" si="37"/>
        <v/>
      </c>
      <c r="K260" s="88" t="str">
        <f t="shared" si="37"/>
        <v/>
      </c>
      <c r="L260" s="88" t="str">
        <f t="shared" si="37"/>
        <v/>
      </c>
      <c r="M260" s="88" t="str">
        <f t="shared" si="37"/>
        <v/>
      </c>
      <c r="N260" s="88" t="str">
        <f t="shared" si="37"/>
        <v/>
      </c>
      <c r="O260" s="88" t="str">
        <f t="shared" si="37"/>
        <v/>
      </c>
      <c r="P260" s="88" t="str">
        <f t="shared" si="37"/>
        <v/>
      </c>
      <c r="Q260" s="88" t="str">
        <f t="shared" si="37"/>
        <v/>
      </c>
      <c r="R260" s="88" t="str">
        <f t="shared" si="37"/>
        <v/>
      </c>
      <c r="S260" s="88" t="str">
        <f t="shared" si="37"/>
        <v/>
      </c>
      <c r="T260" s="88" t="str">
        <f t="shared" si="37"/>
        <v/>
      </c>
      <c r="U260" s="88" t="str">
        <f t="shared" si="37"/>
        <v/>
      </c>
      <c r="V260" s="88" t="str">
        <f t="shared" si="37"/>
        <v/>
      </c>
      <c r="W260" s="88" t="str">
        <f t="shared" si="37"/>
        <v/>
      </c>
      <c r="X260" s="88" t="str">
        <f t="shared" si="37"/>
        <v/>
      </c>
      <c r="Y260" s="88" t="str">
        <f t="shared" si="37"/>
        <v/>
      </c>
      <c r="Z260" s="88" t="str">
        <f t="shared" si="37"/>
        <v/>
      </c>
      <c r="AA260" s="88" t="str">
        <f t="shared" si="37"/>
        <v/>
      </c>
      <c r="AB260" s="88" t="str">
        <f t="shared" si="37"/>
        <v/>
      </c>
      <c r="AC260" s="88" t="str">
        <f t="shared" si="37"/>
        <v/>
      </c>
      <c r="AD260" s="88" t="str">
        <f t="shared" si="37"/>
        <v/>
      </c>
      <c r="AE260" s="88" t="str">
        <f t="shared" si="37"/>
        <v/>
      </c>
      <c r="AF260" s="88" t="str">
        <f t="shared" si="37"/>
        <v/>
      </c>
      <c r="AG260" s="179"/>
      <c r="AH260" s="179"/>
      <c r="AJ260"/>
    </row>
    <row r="261" spans="1:36" x14ac:dyDescent="0.25"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  <c r="AJ261"/>
    </row>
    <row r="262" spans="1:36" x14ac:dyDescent="0.25"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  <c r="AE262" s="179"/>
      <c r="AF262" s="179"/>
      <c r="AG262" s="179"/>
      <c r="AH262" s="179"/>
      <c r="AJ262"/>
    </row>
    <row r="263" spans="1:36" x14ac:dyDescent="0.25"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  <c r="AC263" s="179"/>
      <c r="AD263" s="179"/>
      <c r="AE263" s="179"/>
      <c r="AF263" s="179"/>
      <c r="AG263" s="179"/>
      <c r="AH263" s="179"/>
      <c r="AJ263"/>
    </row>
    <row r="264" spans="1:36" x14ac:dyDescent="0.25"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  <c r="AC264" s="179"/>
      <c r="AD264" s="179"/>
      <c r="AE264" s="179"/>
      <c r="AF264" s="179"/>
      <c r="AG264" s="179"/>
      <c r="AH264" s="179"/>
      <c r="AJ264"/>
    </row>
    <row r="265" spans="1:36" x14ac:dyDescent="0.25"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  <c r="AC265" s="179"/>
      <c r="AD265" s="179"/>
      <c r="AE265" s="179"/>
      <c r="AF265" s="179"/>
      <c r="AG265" s="179"/>
      <c r="AH265" s="179"/>
      <c r="AJ265"/>
    </row>
    <row r="266" spans="1:36" x14ac:dyDescent="0.25"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  <c r="AC266" s="179"/>
      <c r="AD266" s="179"/>
      <c r="AE266" s="179"/>
      <c r="AF266" s="179"/>
      <c r="AG266" s="179"/>
      <c r="AH266" s="179"/>
      <c r="AJ266"/>
    </row>
    <row r="267" spans="1:36" x14ac:dyDescent="0.25"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  <c r="AA267" s="179"/>
      <c r="AB267" s="179"/>
      <c r="AC267" s="179"/>
      <c r="AD267" s="179"/>
      <c r="AE267" s="179"/>
      <c r="AF267" s="179"/>
      <c r="AJ267"/>
    </row>
    <row r="491" spans="36:38" x14ac:dyDescent="0.25">
      <c r="AK491" s="1"/>
    </row>
    <row r="492" spans="36:38" x14ac:dyDescent="0.25">
      <c r="AK492" s="1"/>
      <c r="AL492" s="1"/>
    </row>
    <row r="493" spans="36:38" x14ac:dyDescent="0.25">
      <c r="AJ49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B9:AF10 C99:AF105">
    <cfRule type="expression" dxfId="737" priority="233">
      <formula>B$9&gt;=20/24</formula>
    </cfRule>
    <cfRule type="expression" dxfId="736" priority="234">
      <formula>AND(B$9&gt;=14/24,B$9&lt;20/24)</formula>
    </cfRule>
    <cfRule type="expression" dxfId="735" priority="235">
      <formula>AND(B$9&gt;=8/24,B$9&lt;14/24)</formula>
    </cfRule>
    <cfRule type="expression" dxfId="734" priority="236">
      <formula>B$9&lt;8/24</formula>
    </cfRule>
  </conditionalFormatting>
  <conditionalFormatting sqref="AL4:AL6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733" priority="228">
      <formula>S$9&gt;=20/24</formula>
    </cfRule>
    <cfRule type="expression" dxfId="732" priority="229">
      <formula>AND(S$9&gt;=14/24,S$9&lt;20/24)</formula>
    </cfRule>
    <cfRule type="expression" dxfId="731" priority="230">
      <formula>AND(S$9&gt;=8/24,S$9&lt;14/24)</formula>
    </cfRule>
    <cfRule type="expression" dxfId="730" priority="231">
      <formula>S$9&lt;8/24</formula>
    </cfRule>
  </conditionalFormatting>
  <conditionalFormatting sqref="AG55 S37:AF37 B12:J16 K12:L14 M11:N11 K16:N16 B35:AF35 O11:AF16">
    <cfRule type="expression" dxfId="729" priority="227">
      <formula>B11&gt;$AG11</formula>
    </cfRule>
  </conditionalFormatting>
  <conditionalFormatting sqref="A89:A102 A11:A14 A49:A76 A85:A87 A191:A221 A16:A30 A36:A47 A107:A178 A32:A33 A81:A83 A78:A79">
    <cfRule type="expression" dxfId="728" priority="226">
      <formula>$AH11=0</formula>
    </cfRule>
  </conditionalFormatting>
  <conditionalFormatting sqref="A103">
    <cfRule type="expression" dxfId="727" priority="225">
      <formula>$AH103=0</formula>
    </cfRule>
  </conditionalFormatting>
  <conditionalFormatting sqref="AL33">
    <cfRule type="iconSet" priority="224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726" priority="223">
      <formula>$AH35=0</formula>
    </cfRule>
  </conditionalFormatting>
  <conditionalFormatting sqref="A88">
    <cfRule type="expression" dxfId="725" priority="222">
      <formula>$AH88=0</formula>
    </cfRule>
  </conditionalFormatting>
  <conditionalFormatting sqref="A15">
    <cfRule type="expression" dxfId="724" priority="221">
      <formula>$AH15=0</formula>
    </cfRule>
  </conditionalFormatting>
  <conditionalFormatting sqref="A185:A190">
    <cfRule type="expression" dxfId="723" priority="220">
      <formula>$AH185=0</formula>
    </cfRule>
  </conditionalFormatting>
  <conditionalFormatting sqref="A179:A184">
    <cfRule type="expression" dxfId="722" priority="219">
      <formula>$AH179=0</formula>
    </cfRule>
  </conditionalFormatting>
  <conditionalFormatting sqref="A48">
    <cfRule type="expression" dxfId="721" priority="218">
      <formula>$AH48=0</formula>
    </cfRule>
  </conditionalFormatting>
  <conditionalFormatting sqref="A84">
    <cfRule type="expression" dxfId="720" priority="217">
      <formula>$AH84=0</formula>
    </cfRule>
  </conditionalFormatting>
  <conditionalFormatting sqref="C89:AF89">
    <cfRule type="expression" dxfId="719" priority="213">
      <formula>C$9&gt;=20/24</formula>
    </cfRule>
    <cfRule type="expression" dxfId="718" priority="214">
      <formula>AND(C$9&gt;=14/24,C$9&lt;20/24)</formula>
    </cfRule>
    <cfRule type="expression" dxfId="717" priority="215">
      <formula>AND(C$9&gt;=8/24,C$9&lt;14/24)</formula>
    </cfRule>
    <cfRule type="expression" dxfId="716" priority="216">
      <formula>C$9&lt;8/24</formula>
    </cfRule>
  </conditionalFormatting>
  <conditionalFormatting sqref="AL34">
    <cfRule type="iconSet" priority="21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15" priority="239">
      <formula>C$9&gt;=20/24</formula>
    </cfRule>
    <cfRule type="expression" dxfId="714" priority="240">
      <formula>AND(C$9&gt;=14/24,C$9&lt;20/24)</formula>
    </cfRule>
    <cfRule type="expression" dxfId="713" priority="241">
      <formula>AND(C$9&gt;=8/24,C$9&lt;14/24)</formula>
    </cfRule>
    <cfRule type="expression" dxfId="712" priority="242">
      <formula>C$9&lt;8/24</formula>
    </cfRule>
  </conditionalFormatting>
  <conditionalFormatting sqref="A222">
    <cfRule type="expression" dxfId="711" priority="243">
      <formula>$AH222=0</formula>
    </cfRule>
  </conditionalFormatting>
  <conditionalFormatting sqref="AG234">
    <cfRule type="expression" dxfId="710" priority="244">
      <formula>B$9&gt;=20/24</formula>
    </cfRule>
    <cfRule type="expression" dxfId="709" priority="245">
      <formula>AND(B$9&gt;=14/24,B$9&lt;20/24)</formula>
    </cfRule>
    <cfRule type="expression" dxfId="708" priority="246">
      <formula>AND(B$9&gt;=8/24,B$9&lt;14/24)</formula>
    </cfRule>
    <cfRule type="expression" dxfId="707" priority="247">
      <formula>B$9&lt;8/24</formula>
    </cfRule>
  </conditionalFormatting>
  <conditionalFormatting sqref="S8">
    <cfRule type="expression" dxfId="706" priority="208">
      <formula>U$9&gt;=20/24</formula>
    </cfRule>
    <cfRule type="expression" dxfId="705" priority="209">
      <formula>AND(U$9&gt;=14/24,U$9&lt;20/24)</formula>
    </cfRule>
    <cfRule type="expression" dxfId="704" priority="210">
      <formula>AND(U$9&gt;=8/24,U$9&lt;14/24)</formula>
    </cfRule>
    <cfRule type="expression" dxfId="703" priority="211">
      <formula>U$9&lt;8/24</formula>
    </cfRule>
  </conditionalFormatting>
  <conditionalFormatting sqref="AB8">
    <cfRule type="expression" dxfId="702" priority="204">
      <formula>AD$9&gt;=20/24</formula>
    </cfRule>
    <cfRule type="expression" dxfId="701" priority="205">
      <formula>AND(AD$9&gt;=14/24,AD$9&lt;20/24)</formula>
    </cfRule>
    <cfRule type="expression" dxfId="700" priority="206">
      <formula>AND(AD$9&gt;=8/24,AD$9&lt;14/24)</formula>
    </cfRule>
    <cfRule type="expression" dxfId="699" priority="207">
      <formula>AD$9&lt;8/24</formula>
    </cfRule>
  </conditionalFormatting>
  <conditionalFormatting sqref="AH234:AX234">
    <cfRule type="expression" dxfId="698" priority="248">
      <formula>AG$9&gt;=20/24</formula>
    </cfRule>
    <cfRule type="expression" dxfId="697" priority="249">
      <formula>AND(AG$9&gt;=14/24,AG$9&lt;20/24)</formula>
    </cfRule>
    <cfRule type="expression" dxfId="696" priority="250">
      <formula>AND(AG$9&gt;=8/24,AG$9&lt;14/24)</formula>
    </cfRule>
    <cfRule type="expression" dxfId="695" priority="251">
      <formula>AG$9&lt;8/24</formula>
    </cfRule>
  </conditionalFormatting>
  <conditionalFormatting sqref="T234">
    <cfRule type="expression" dxfId="694" priority="252">
      <formula>AX$9&gt;=20/24</formula>
    </cfRule>
    <cfRule type="expression" dxfId="693" priority="253">
      <formula>AND(AX$9&gt;=14/24,AX$9&lt;20/24)</formula>
    </cfRule>
    <cfRule type="expression" dxfId="692" priority="254">
      <formula>AND(AX$9&gt;=8/24,AX$9&lt;14/24)</formula>
    </cfRule>
    <cfRule type="expression" dxfId="691" priority="255">
      <formula>AX$9&lt;8/24</formula>
    </cfRule>
  </conditionalFormatting>
  <conditionalFormatting sqref="A104:A105">
    <cfRule type="expression" dxfId="690" priority="203">
      <formula>$AH104=0</formula>
    </cfRule>
  </conditionalFormatting>
  <conditionalFormatting sqref="F44:L45 E61:AF61 S44:AF45">
    <cfRule type="expression" dxfId="689" priority="199">
      <formula>E$9&gt;=20/24</formula>
    </cfRule>
    <cfRule type="expression" dxfId="688" priority="200">
      <formula>AND(E$9&gt;=14/24,E$9&lt;20/24)</formula>
    </cfRule>
    <cfRule type="expression" dxfId="687" priority="201">
      <formula>AND(E$9&gt;=8/24,E$9&lt;14/24)</formula>
    </cfRule>
    <cfRule type="expression" dxfId="686" priority="202">
      <formula>E$9&lt;8/24</formula>
    </cfRule>
  </conditionalFormatting>
  <conditionalFormatting sqref="F43:L43 S43:AF43">
    <cfRule type="expression" dxfId="685" priority="195">
      <formula>F$9&gt;=20/24</formula>
    </cfRule>
    <cfRule type="expression" dxfId="684" priority="196">
      <formula>AND(F$9&gt;=14/24,F$9&lt;20/24)</formula>
    </cfRule>
    <cfRule type="expression" dxfId="683" priority="197">
      <formula>AND(F$9&gt;=8/24,F$9&lt;14/24)</formula>
    </cfRule>
    <cfRule type="expression" dxfId="682" priority="198">
      <formula>F$9&lt;8/24</formula>
    </cfRule>
  </conditionalFormatting>
  <conditionalFormatting sqref="F43:L45 S43:AF45">
    <cfRule type="expression" dxfId="681" priority="194">
      <formula>F43&gt;$AG43</formula>
    </cfRule>
  </conditionalFormatting>
  <conditionalFormatting sqref="C86:AF86 M37:R37 H62:AA63 E62:G67 R64:AA64 H64:Q67 R65:R67 E71:R71 S65:AA71 C57:AF59 AB62:AF71 C73:AF76 C90:AF96 M36:AF36 AA25:AF25 M11:AF14 M16:AF16 M18:AF22">
    <cfRule type="expression" dxfId="680" priority="190">
      <formula>C$9&gt;=20/24</formula>
    </cfRule>
    <cfRule type="expression" dxfId="679" priority="191">
      <formula>AND(C$9&gt;=14/24,C$9&lt;20/24)</formula>
    </cfRule>
    <cfRule type="expression" dxfId="678" priority="192">
      <formula>AND(C$9&gt;=8/24,C$9&lt;14/24)</formula>
    </cfRule>
    <cfRule type="expression" dxfId="677" priority="193">
      <formula>C$9&lt;8/24</formula>
    </cfRule>
  </conditionalFormatting>
  <conditionalFormatting sqref="C55:AF55 C37:R37 E46:L46 K15:L15 M11:N15 C57:AF59 M36:AF36 AA25:AF25 O11:AF11 M18:AF22">
    <cfRule type="expression" dxfId="676" priority="185">
      <formula>C11&gt;$AG11</formula>
    </cfRule>
  </conditionalFormatting>
  <conditionalFormatting sqref="Q35:AF35">
    <cfRule type="expression" dxfId="675" priority="181">
      <formula>Q$9&gt;=20/24</formula>
    </cfRule>
    <cfRule type="expression" dxfId="674" priority="182">
      <formula>AND(Q$9&gt;=14/24,Q$9&lt;20/24)</formula>
    </cfRule>
    <cfRule type="expression" dxfId="673" priority="183">
      <formula>AND(Q$9&gt;=8/24,Q$9&lt;14/24)</formula>
    </cfRule>
    <cfRule type="expression" dxfId="672" priority="184">
      <formula>Q$9&lt;8/24</formula>
    </cfRule>
  </conditionalFormatting>
  <conditionalFormatting sqref="K15:AF15">
    <cfRule type="expression" dxfId="671" priority="177">
      <formula>K$9&gt;=20/24</formula>
    </cfRule>
    <cfRule type="expression" dxfId="670" priority="178">
      <formula>AND(K$9&gt;=14/24,K$9&lt;20/24)</formula>
    </cfRule>
    <cfRule type="expression" dxfId="669" priority="179">
      <formula>AND(K$9&gt;=8/24,K$9&lt;14/24)</formula>
    </cfRule>
    <cfRule type="expression" dxfId="668" priority="180">
      <formula>K$9&lt;8/24</formula>
    </cfRule>
  </conditionalFormatting>
  <conditionalFormatting sqref="M43:R52 S46:AF54">
    <cfRule type="expression" dxfId="667" priority="159">
      <formula>M$9&gt;=20/24</formula>
    </cfRule>
    <cfRule type="expression" dxfId="666" priority="160">
      <formula>AND(M$9&gt;=14/24,M$9&lt;20/24)</formula>
    </cfRule>
    <cfRule type="expression" dxfId="665" priority="161">
      <formula>AND(M$9&gt;=8/24,M$9&lt;14/24)</formula>
    </cfRule>
    <cfRule type="expression" dxfId="664" priority="162">
      <formula>M$9&lt;8/24</formula>
    </cfRule>
  </conditionalFormatting>
  <conditionalFormatting sqref="M43:R52 S46:AF54">
    <cfRule type="expression" dxfId="663" priority="158">
      <formula>M43&gt;$AG43</formula>
    </cfRule>
  </conditionalFormatting>
  <conditionalFormatting sqref="M17:AF17 M23:AF23">
    <cfRule type="expression" dxfId="662" priority="150">
      <formula>M$9&gt;=20/24</formula>
    </cfRule>
    <cfRule type="expression" dxfId="661" priority="151">
      <formula>AND(M$9&gt;=14/24,M$9&lt;20/24)</formula>
    </cfRule>
    <cfRule type="expression" dxfId="660" priority="152">
      <formula>AND(M$9&gt;=8/24,M$9&lt;14/24)</formula>
    </cfRule>
    <cfRule type="expression" dxfId="659" priority="153">
      <formula>M$9&lt;8/24</formula>
    </cfRule>
  </conditionalFormatting>
  <conditionalFormatting sqref="M17:AF17 M23:AF23">
    <cfRule type="expression" dxfId="658" priority="145">
      <formula>M17&gt;$AG17</formula>
    </cfRule>
  </conditionalFormatting>
  <conditionalFormatting sqref="E68:R70">
    <cfRule type="expression" dxfId="657" priority="119">
      <formula>E$9&gt;=20/24</formula>
    </cfRule>
    <cfRule type="expression" dxfId="656" priority="120">
      <formula>AND(E$9&gt;=14/24,E$9&lt;20/24)</formula>
    </cfRule>
    <cfRule type="expression" dxfId="655" priority="121">
      <formula>AND(E$9&gt;=8/24,E$9&lt;14/24)</formula>
    </cfRule>
    <cfRule type="expression" dxfId="654" priority="122">
      <formula>E$9&lt;8/24</formula>
    </cfRule>
  </conditionalFormatting>
  <conditionalFormatting sqref="B99:B105 B78:AF78 B87:AF87 B11:L11">
    <cfRule type="expression" dxfId="653" priority="100">
      <formula>B$9&gt;=20/24</formula>
    </cfRule>
    <cfRule type="expression" dxfId="652" priority="101">
      <formula>AND(B$9&gt;=14/24,B$9&lt;20/24)</formula>
    </cfRule>
    <cfRule type="expression" dxfId="651" priority="102">
      <formula>AND(B$9&gt;=8/24,B$9&lt;14/24)</formula>
    </cfRule>
    <cfRule type="expression" dxfId="650" priority="103">
      <formula>B$9&lt;8/24</formula>
    </cfRule>
  </conditionalFormatting>
  <conditionalFormatting sqref="B37">
    <cfRule type="expression" dxfId="649" priority="96">
      <formula>B$9&gt;=20/24</formula>
    </cfRule>
    <cfRule type="expression" dxfId="648" priority="97">
      <formula>AND(B$9&gt;=14/24,B$9&lt;20/24)</formula>
    </cfRule>
    <cfRule type="expression" dxfId="647" priority="98">
      <formula>AND(B$9&gt;=8/24,B$9&lt;14/24)</formula>
    </cfRule>
    <cfRule type="expression" dxfId="646" priority="99">
      <formula>B$9&lt;8/24</formula>
    </cfRule>
  </conditionalFormatting>
  <conditionalFormatting sqref="B37 B11:L11">
    <cfRule type="expression" dxfId="645" priority="95">
      <formula>B11&gt;$AG11</formula>
    </cfRule>
  </conditionalFormatting>
  <conditionalFormatting sqref="B89">
    <cfRule type="expression" dxfId="644" priority="91">
      <formula>B$9&gt;=20/24</formula>
    </cfRule>
    <cfRule type="expression" dxfId="643" priority="92">
      <formula>AND(B$9&gt;=14/24,B$9&lt;20/24)</formula>
    </cfRule>
    <cfRule type="expression" dxfId="642" priority="93">
      <formula>AND(B$9&gt;=8/24,B$9&lt;14/24)</formula>
    </cfRule>
    <cfRule type="expression" dxfId="641" priority="94">
      <formula>B$9&lt;8/24</formula>
    </cfRule>
  </conditionalFormatting>
  <conditionalFormatting sqref="B61:D61 B44:E45 B36:L36">
    <cfRule type="expression" dxfId="640" priority="87">
      <formula>B$9&gt;=20/24</formula>
    </cfRule>
    <cfRule type="expression" dxfId="639" priority="88">
      <formula>AND(B$9&gt;=14/24,B$9&lt;20/24)</formula>
    </cfRule>
    <cfRule type="expression" dxfId="638" priority="89">
      <formula>AND(B$9&gt;=8/24,B$9&lt;14/24)</formula>
    </cfRule>
    <cfRule type="expression" dxfId="637" priority="90">
      <formula>B$9&lt;8/24</formula>
    </cfRule>
  </conditionalFormatting>
  <conditionalFormatting sqref="B43:E43">
    <cfRule type="expression" dxfId="636" priority="83">
      <formula>B$9&gt;=20/24</formula>
    </cfRule>
    <cfRule type="expression" dxfId="635" priority="84">
      <formula>AND(B$9&gt;=14/24,B$9&lt;20/24)</formula>
    </cfRule>
    <cfRule type="expression" dxfId="634" priority="85">
      <formula>AND(B$9&gt;=8/24,B$9&lt;14/24)</formula>
    </cfRule>
    <cfRule type="expression" dxfId="633" priority="86">
      <formula>B$9&lt;8/24</formula>
    </cfRule>
  </conditionalFormatting>
  <conditionalFormatting sqref="B43:E45 B36:L36">
    <cfRule type="expression" dxfId="632" priority="82">
      <formula>B36&gt;$AG36</formula>
    </cfRule>
  </conditionalFormatting>
  <conditionalFormatting sqref="B90:B96 B57:B60 B73:B77 B79:AF79 B86 C60:AG60 C77:AG77 B88:AF88 B62:D71 B12:L14 B16:L16 B18:L22 B24:Z26 B28:AF30 AA26:AF26 B32:AF32 AA24:AF24">
    <cfRule type="expression" dxfId="631" priority="78">
      <formula>B$9&gt;=20/24</formula>
    </cfRule>
    <cfRule type="expression" dxfId="630" priority="79">
      <formula>AND(B$9&gt;=14/24,B$9&lt;20/24)</formula>
    </cfRule>
    <cfRule type="expression" dxfId="629" priority="80">
      <formula>AND(B$9&gt;=8/24,B$9&lt;14/24)</formula>
    </cfRule>
    <cfRule type="expression" dxfId="628" priority="81">
      <formula>B$9&lt;8/24</formula>
    </cfRule>
  </conditionalFormatting>
  <conditionalFormatting sqref="B33:AF33">
    <cfRule type="expression" dxfId="627" priority="74">
      <formula>B$9&gt;=20/24</formula>
    </cfRule>
    <cfRule type="expression" dxfId="626" priority="75">
      <formula>AND(B$9&gt;=14/24,B$9&lt;20/24)</formula>
    </cfRule>
    <cfRule type="expression" dxfId="625" priority="76">
      <formula>AND(B$9&gt;=8/24,B$9&lt;14/24)</formula>
    </cfRule>
    <cfRule type="expression" dxfId="624" priority="77">
      <formula>B$9&lt;8/24</formula>
    </cfRule>
  </conditionalFormatting>
  <conditionalFormatting sqref="B55:B60 B38:AG38 C56:AG56 C60:AG60 B46:D46 B18:L22 B47:L47 B24:Z30 AA26:AF30 B32:AF33 AA24:AF24">
    <cfRule type="expression" dxfId="623" priority="73">
      <formula>B18&gt;$AG18</formula>
    </cfRule>
  </conditionalFormatting>
  <conditionalFormatting sqref="B35:P35">
    <cfRule type="expression" dxfId="622" priority="69">
      <formula>B$9&gt;=20/24</formula>
    </cfRule>
    <cfRule type="expression" dxfId="621" priority="70">
      <formula>AND(B$9&gt;=14/24,B$9&lt;20/24)</formula>
    </cfRule>
    <cfRule type="expression" dxfId="620" priority="71">
      <formula>AND(B$9&gt;=8/24,B$9&lt;14/24)</formula>
    </cfRule>
    <cfRule type="expression" dxfId="619" priority="72">
      <formula>B$9&lt;8/24</formula>
    </cfRule>
  </conditionalFormatting>
  <conditionalFormatting sqref="B15:J15">
    <cfRule type="expression" dxfId="618" priority="65">
      <formula>B$9&gt;=20/24</formula>
    </cfRule>
    <cfRule type="expression" dxfId="617" priority="66">
      <formula>AND(B$9&gt;=14/24,B$9&lt;20/24)</formula>
    </cfRule>
    <cfRule type="expression" dxfId="616" priority="67">
      <formula>AND(B$9&gt;=8/24,B$9&lt;14/24)</formula>
    </cfRule>
    <cfRule type="expression" dxfId="615" priority="68">
      <formula>B$9&lt;8/24</formula>
    </cfRule>
  </conditionalFormatting>
  <conditionalFormatting sqref="B34:AF34">
    <cfRule type="expression" dxfId="614" priority="61">
      <formula>B$9&gt;=20/24</formula>
    </cfRule>
    <cfRule type="expression" dxfId="613" priority="62">
      <formula>AND(B$9&gt;=14/24,B$9&lt;20/24)</formula>
    </cfRule>
    <cfRule type="expression" dxfId="612" priority="63">
      <formula>AND(B$9&gt;=8/24,B$9&lt;14/24)</formula>
    </cfRule>
    <cfRule type="expression" dxfId="611" priority="64">
      <formula>B$9&lt;8/24</formula>
    </cfRule>
  </conditionalFormatting>
  <conditionalFormatting sqref="B34:AF34">
    <cfRule type="expression" dxfId="610" priority="60">
      <formula>B34&gt;$AG34</formula>
    </cfRule>
  </conditionalFormatting>
  <conditionalFormatting sqref="B48:L54 M53:R54">
    <cfRule type="expression" dxfId="609" priority="56">
      <formula>B$9&gt;=20/24</formula>
    </cfRule>
    <cfRule type="expression" dxfId="608" priority="57">
      <formula>AND(B$9&gt;=14/24,B$9&lt;20/24)</formula>
    </cfRule>
    <cfRule type="expression" dxfId="607" priority="58">
      <formula>AND(B$9&gt;=8/24,B$9&lt;14/24)</formula>
    </cfRule>
    <cfRule type="expression" dxfId="606" priority="59">
      <formula>B$9&lt;8/24</formula>
    </cfRule>
  </conditionalFormatting>
  <conditionalFormatting sqref="B48:L54 M53:R54">
    <cfRule type="expression" dxfId="605" priority="55">
      <formula>B48&gt;$AG48</formula>
    </cfRule>
  </conditionalFormatting>
  <conditionalFormatting sqref="B27:AF27">
    <cfRule type="expression" dxfId="604" priority="51">
      <formula>B$9&gt;=20/24</formula>
    </cfRule>
    <cfRule type="expression" dxfId="603" priority="52">
      <formula>AND(B$9&gt;=14/24,B$9&lt;20/24)</formula>
    </cfRule>
    <cfRule type="expression" dxfId="602" priority="53">
      <formula>AND(B$9&gt;=8/24,B$9&lt;14/24)</formula>
    </cfRule>
    <cfRule type="expression" dxfId="601" priority="54">
      <formula>B$9&lt;8/24</formula>
    </cfRule>
  </conditionalFormatting>
  <conditionalFormatting sqref="B17:L17 B23:L23">
    <cfRule type="expression" dxfId="600" priority="47">
      <formula>B$9&gt;=20/24</formula>
    </cfRule>
    <cfRule type="expression" dxfId="599" priority="48">
      <formula>AND(B$9&gt;=14/24,B$9&lt;20/24)</formula>
    </cfRule>
    <cfRule type="expression" dxfId="598" priority="49">
      <formula>AND(B$9&gt;=8/24,B$9&lt;14/24)</formula>
    </cfRule>
    <cfRule type="expression" dxfId="597" priority="50">
      <formula>B$9&lt;8/24</formula>
    </cfRule>
  </conditionalFormatting>
  <conditionalFormatting sqref="B17:L17 B23:L23">
    <cfRule type="expression" dxfId="596" priority="46">
      <formula>B17&gt;$AG17</formula>
    </cfRule>
  </conditionalFormatting>
  <conditionalFormatting sqref="A34">
    <cfRule type="expression" dxfId="595" priority="45">
      <formula>$AH34=0</formula>
    </cfRule>
  </conditionalFormatting>
  <conditionalFormatting sqref="B72:AF72">
    <cfRule type="expression" dxfId="594" priority="41">
      <formula>B$9&gt;=20/24</formula>
    </cfRule>
    <cfRule type="expression" dxfId="593" priority="42">
      <formula>AND(B$9&gt;=14/24,B$9&lt;20/24)</formula>
    </cfRule>
    <cfRule type="expression" dxfId="592" priority="43">
      <formula>AND(B$9&gt;=8/24,B$9&lt;14/24)</formula>
    </cfRule>
    <cfRule type="expression" dxfId="591" priority="44">
      <formula>B$9&lt;8/24</formula>
    </cfRule>
  </conditionalFormatting>
  <conditionalFormatting sqref="B81:AF85">
    <cfRule type="expression" dxfId="590" priority="37">
      <formula>B$9&gt;=20/24</formula>
    </cfRule>
    <cfRule type="expression" dxfId="589" priority="38">
      <formula>AND(B$9&gt;=14/24,B$9&lt;20/24)</formula>
    </cfRule>
    <cfRule type="expression" dxfId="588" priority="39">
      <formula>AND(B$9&gt;=8/24,B$9&lt;14/24)</formula>
    </cfRule>
    <cfRule type="expression" dxfId="587" priority="40">
      <formula>B$9&lt;8/24</formula>
    </cfRule>
  </conditionalFormatting>
  <conditionalFormatting sqref="AL35 AL7:AL30 AL32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M39:AF41">
    <cfRule type="expression" dxfId="586" priority="33">
      <formula>M$9&gt;=20/24</formula>
    </cfRule>
    <cfRule type="expression" dxfId="585" priority="34">
      <formula>AND(M$9&gt;=14/24,M$9&lt;20/24)</formula>
    </cfRule>
    <cfRule type="expression" dxfId="584" priority="35">
      <formula>AND(M$9&gt;=8/24,M$9&lt;14/24)</formula>
    </cfRule>
    <cfRule type="expression" dxfId="583" priority="36">
      <formula>M$9&lt;8/24</formula>
    </cfRule>
  </conditionalFormatting>
  <conditionalFormatting sqref="M39:AF41">
    <cfRule type="expression" dxfId="582" priority="32">
      <formula>M39&gt;$AG39</formula>
    </cfRule>
  </conditionalFormatting>
  <conditionalFormatting sqref="B39:B42 C42:AG42 C39:L41">
    <cfRule type="expression" dxfId="581" priority="28">
      <formula>B$9&gt;=20/24</formula>
    </cfRule>
    <cfRule type="expression" dxfId="580" priority="29">
      <formula>AND(B$9&gt;=14/24,B$9&lt;20/24)</formula>
    </cfRule>
    <cfRule type="expression" dxfId="579" priority="30">
      <formula>AND(B$9&gt;=8/24,B$9&lt;14/24)</formula>
    </cfRule>
    <cfRule type="expression" dxfId="578" priority="31">
      <formula>B$9&lt;8/24</formula>
    </cfRule>
  </conditionalFormatting>
  <conditionalFormatting sqref="B39:B42 C42:AG42 C39:L41">
    <cfRule type="expression" dxfId="577" priority="27">
      <formula>B39&gt;$AG39</formula>
    </cfRule>
  </conditionalFormatting>
  <conditionalFormatting sqref="C97:AF97">
    <cfRule type="expression" dxfId="576" priority="23">
      <formula>C$9&gt;=20/24</formula>
    </cfRule>
    <cfRule type="expression" dxfId="575" priority="24">
      <formula>AND(C$9&gt;=14/24,C$9&lt;20/24)</formula>
    </cfRule>
    <cfRule type="expression" dxfId="574" priority="25">
      <formula>AND(C$9&gt;=8/24,C$9&lt;14/24)</formula>
    </cfRule>
    <cfRule type="expression" dxfId="573" priority="26">
      <formula>C$9&lt;8/24</formula>
    </cfRule>
  </conditionalFormatting>
  <conditionalFormatting sqref="B97">
    <cfRule type="expression" dxfId="572" priority="19">
      <formula>B$9&gt;=20/24</formula>
    </cfRule>
    <cfRule type="expression" dxfId="571" priority="20">
      <formula>AND(B$9&gt;=14/24,B$9&lt;20/24)</formula>
    </cfRule>
    <cfRule type="expression" dxfId="570" priority="21">
      <formula>AND(B$9&gt;=8/24,B$9&lt;14/24)</formula>
    </cfRule>
    <cfRule type="expression" dxfId="569" priority="22">
      <formula>B$9&lt;8/24</formula>
    </cfRule>
  </conditionalFormatting>
  <conditionalFormatting sqref="AL31">
    <cfRule type="iconSet" priority="18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568" priority="12">
      <formula>$AH31=0</formula>
    </cfRule>
  </conditionalFormatting>
  <conditionalFormatting sqref="A80">
    <cfRule type="expression" dxfId="567" priority="10">
      <formula>$AH80=0</formula>
    </cfRule>
  </conditionalFormatting>
  <conditionalFormatting sqref="A77">
    <cfRule type="expression" dxfId="566" priority="11">
      <formula>$AH77=0</formula>
    </cfRule>
  </conditionalFormatting>
  <conditionalFormatting sqref="A106">
    <cfRule type="expression" dxfId="565" priority="1">
      <formula>$AH106=0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EF8E9AD8-AABC-47D1-A763-2388FC8C738F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5" id="{39361296-6A71-4F43-8F7B-060253219E1F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" id="{D8994946-3731-468A-A868-1FE7B4D8EB1B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7" id="{42FF9B55-7D5A-450D-8C41-4E69DB63F20B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13" id="{C911E634-C054-41CA-87D6-7BAD7594E4D9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  <x14:conditionalFormatting xmlns:xm="http://schemas.microsoft.com/office/excel/2006/main">
          <x14:cfRule type="expression" priority="6" id="{626B69B0-2FA0-4321-9D7D-AD6AA2B287B4}">
            <xm:f>'28'!C$9&gt;=20/24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" id="{01DEF4C6-72B6-4A85-BA14-A54456AFA3BE}">
            <xm:f>AND('28'!C$9&gt;=14/24,'28'!C$9&lt;20/24)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id="{4BC6603F-9C28-4406-93CE-F99B81C5C246}">
            <xm:f>AND('28'!C$9&gt;=8/24,'28'!C$9&lt;14/24)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" id="{41C49215-626E-4593-AC69-A5A49202355D}">
            <xm:f>'28'!C$9&lt;8/24</xm:f>
            <x14:dxf>
              <fill>
                <patternFill>
                  <bgColor rgb="FFFFFF66"/>
                </patternFill>
              </fill>
            </x14:dxf>
          </x14:cfRule>
          <xm:sqref>C106:AF106</xm:sqref>
        </x14:conditionalFormatting>
        <x14:conditionalFormatting xmlns:xm="http://schemas.microsoft.com/office/excel/2006/main">
          <x14:cfRule type="expression" priority="2" id="{F35DF3D3-1C2B-4FF7-AEB4-E1784E933A91}">
            <xm:f>'28'!B$9&gt;=20/24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" id="{4B2E8606-8BA4-49A9-823F-2830F9BFCF4A}">
            <xm:f>AND('28'!B$9&gt;=14/24,'28'!B$9&lt;20/24)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" id="{45030EA2-946E-4C41-B403-EA6172C43D29}">
            <xm:f>AND('28'!B$9&gt;=8/24,'28'!B$9&lt;14/24)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" id="{48549ACD-0D1A-473B-B5B9-622529C96CAF}">
            <xm:f>'28'!B$9&lt;8/24</xm:f>
            <x14:dxf>
              <fill>
                <patternFill>
                  <bgColor rgb="FFFFFF66"/>
                </patternFill>
              </fill>
            </x14:dxf>
          </x14:cfRule>
          <xm:sqref>B106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3"/>
  <sheetViews>
    <sheetView zoomScaleNormal="100" workbookViewId="0">
      <pane xSplit="1" ySplit="10" topLeftCell="B89" activePane="bottomRight" state="frozen"/>
      <selection activeCell="AF88" sqref="AF88"/>
      <selection pane="topRight" activeCell="AF88" sqref="AF88"/>
      <selection pane="bottomLeft" activeCell="AF88" sqref="AF88"/>
      <selection pane="bottomRight" activeCell="A103" sqref="A103:XFD103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5" width="6.42578125" bestFit="1" customWidth="1"/>
    <col min="6" max="6" width="7.5703125" customWidth="1"/>
    <col min="7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1" t="str">
        <f ca="1">"2079/"&amp;"02/"&amp;INT(MID(CELL("filename",D6),FIND("]",CELL("filename",D6))+1,200))</f>
        <v>2079/02/31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39.5</v>
      </c>
      <c r="C5" s="32">
        <f t="shared" si="0"/>
        <v>38</v>
      </c>
      <c r="D5" s="32">
        <f t="shared" si="0"/>
        <v>29.5</v>
      </c>
      <c r="E5" s="32">
        <f t="shared" si="0"/>
        <v>0</v>
      </c>
      <c r="F5" s="32">
        <f t="shared" si="0"/>
        <v>29.5</v>
      </c>
      <c r="G5" s="32">
        <f t="shared" si="0"/>
        <v>22.7</v>
      </c>
      <c r="H5" s="32">
        <f t="shared" si="0"/>
        <v>13.4</v>
      </c>
      <c r="I5" s="32">
        <f t="shared" si="0"/>
        <v>12.6</v>
      </c>
      <c r="J5" s="32">
        <f t="shared" si="0"/>
        <v>12.6</v>
      </c>
      <c r="K5" s="32">
        <f t="shared" si="0"/>
        <v>12.6</v>
      </c>
      <c r="L5" s="32">
        <f t="shared" si="0"/>
        <v>53.5</v>
      </c>
      <c r="M5" s="32">
        <f t="shared" si="0"/>
        <v>60</v>
      </c>
      <c r="N5" s="32">
        <f t="shared" si="0"/>
        <v>51</v>
      </c>
      <c r="O5" s="32">
        <f t="shared" si="0"/>
        <v>54</v>
      </c>
      <c r="P5" s="32">
        <f t="shared" si="0"/>
        <v>60</v>
      </c>
      <c r="Q5" s="32">
        <f t="shared" si="0"/>
        <v>68.099999999999994</v>
      </c>
      <c r="R5" s="32">
        <f t="shared" si="0"/>
        <v>45</v>
      </c>
      <c r="S5" s="32">
        <f t="shared" si="0"/>
        <v>63</v>
      </c>
      <c r="T5" s="32">
        <f t="shared" si="0"/>
        <v>64</v>
      </c>
      <c r="U5" s="32">
        <f t="shared" si="0"/>
        <v>51</v>
      </c>
      <c r="V5" s="32">
        <f t="shared" si="0"/>
        <v>51</v>
      </c>
      <c r="W5" s="32">
        <f t="shared" si="0"/>
        <v>51</v>
      </c>
      <c r="X5" s="32">
        <f t="shared" si="0"/>
        <v>57</v>
      </c>
      <c r="Y5" s="32">
        <f t="shared" si="0"/>
        <v>64</v>
      </c>
      <c r="Z5" s="32">
        <f t="shared" si="0"/>
        <v>74</v>
      </c>
      <c r="AA5" s="32">
        <f t="shared" si="0"/>
        <v>79.599999999999994</v>
      </c>
      <c r="AB5" s="32">
        <f t="shared" si="0"/>
        <v>81.099999999999994</v>
      </c>
      <c r="AC5" s="32">
        <f t="shared" si="0"/>
        <v>81.099999999999994</v>
      </c>
      <c r="AD5" s="32">
        <f t="shared" si="0"/>
        <v>82.6</v>
      </c>
      <c r="AE5" s="32">
        <f t="shared" si="0"/>
        <v>79.3</v>
      </c>
      <c r="AF5" s="32">
        <f>B72</f>
        <v>40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1876MW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B79</f>
        <v>1847.74</v>
      </c>
      <c r="C7" s="37">
        <f t="shared" ref="C7:AF7" si="1">C79</f>
        <v>1856.24</v>
      </c>
      <c r="D7" s="37">
        <f t="shared" si="1"/>
        <v>1843.74</v>
      </c>
      <c r="E7" s="37">
        <f t="shared" si="1"/>
        <v>1812.24</v>
      </c>
      <c r="F7" s="37">
        <f t="shared" si="1"/>
        <v>3.54</v>
      </c>
      <c r="G7" s="37">
        <f t="shared" si="1"/>
        <v>1811.1399999999999</v>
      </c>
      <c r="H7" s="37">
        <f t="shared" si="1"/>
        <v>1769.44</v>
      </c>
      <c r="I7" s="37">
        <f t="shared" si="1"/>
        <v>1760.2400000000002</v>
      </c>
      <c r="J7" s="37">
        <f t="shared" si="1"/>
        <v>1759.44</v>
      </c>
      <c r="K7" s="37">
        <f t="shared" si="1"/>
        <v>1759.44</v>
      </c>
      <c r="L7" s="37">
        <f t="shared" si="1"/>
        <v>1759.44</v>
      </c>
      <c r="M7" s="37">
        <f t="shared" si="1"/>
        <v>1869.84</v>
      </c>
      <c r="N7" s="37">
        <f t="shared" si="1"/>
        <v>1876.44</v>
      </c>
      <c r="O7" s="37">
        <f t="shared" si="1"/>
        <v>1902.8400000000001</v>
      </c>
      <c r="P7" s="37">
        <f t="shared" si="1"/>
        <v>1889.14</v>
      </c>
      <c r="Q7" s="37">
        <f t="shared" si="1"/>
        <v>1907.3400000000001</v>
      </c>
      <c r="R7" s="37">
        <f t="shared" si="1"/>
        <v>1875.54</v>
      </c>
      <c r="S7" s="37">
        <f t="shared" si="1"/>
        <v>1850.1399999999999</v>
      </c>
      <c r="T7" s="37">
        <f t="shared" si="1"/>
        <v>1974.44</v>
      </c>
      <c r="U7" s="37">
        <f t="shared" si="1"/>
        <v>1956.44</v>
      </c>
      <c r="V7" s="37">
        <f t="shared" si="1"/>
        <v>1909.94</v>
      </c>
      <c r="W7" s="37">
        <f t="shared" si="1"/>
        <v>1911.44</v>
      </c>
      <c r="X7" s="37">
        <f t="shared" si="1"/>
        <v>1894.04</v>
      </c>
      <c r="Y7" s="37">
        <f t="shared" si="1"/>
        <v>1881.54</v>
      </c>
      <c r="Z7" s="37">
        <f t="shared" si="1"/>
        <v>1939.04</v>
      </c>
      <c r="AA7" s="37">
        <f t="shared" si="1"/>
        <v>1962.1399999999999</v>
      </c>
      <c r="AB7" s="37">
        <f t="shared" si="1"/>
        <v>1986.94</v>
      </c>
      <c r="AC7" s="37">
        <f t="shared" si="1"/>
        <v>1957.54</v>
      </c>
      <c r="AD7" s="37">
        <f t="shared" si="1"/>
        <v>1951.8399999999997</v>
      </c>
      <c r="AE7" s="37">
        <f t="shared" si="1"/>
        <v>1910.44</v>
      </c>
      <c r="AF7" s="37">
        <f t="shared" si="1"/>
        <v>1884.84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179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57" t="s">
        <v>107</v>
      </c>
      <c r="B11" s="50">
        <v>53.2</v>
      </c>
      <c r="C11" s="50">
        <v>53.2</v>
      </c>
      <c r="D11" s="50">
        <v>53.2</v>
      </c>
      <c r="E11" s="50">
        <v>53.2</v>
      </c>
      <c r="F11" s="209" t="s">
        <v>282</v>
      </c>
      <c r="G11" s="50">
        <v>53.2</v>
      </c>
      <c r="H11" s="50">
        <v>53.2</v>
      </c>
      <c r="I11" s="50">
        <v>53.2</v>
      </c>
      <c r="J11" s="50">
        <v>53.2</v>
      </c>
      <c r="K11" s="50">
        <v>53.2</v>
      </c>
      <c r="L11" s="50">
        <v>53.2</v>
      </c>
      <c r="M11" s="50">
        <v>53.1</v>
      </c>
      <c r="N11" s="50">
        <v>53.1</v>
      </c>
      <c r="O11" s="50">
        <v>53.1</v>
      </c>
      <c r="P11" s="50">
        <v>53.1</v>
      </c>
      <c r="Q11" s="50">
        <v>53.2</v>
      </c>
      <c r="R11" s="50">
        <v>53.2</v>
      </c>
      <c r="S11" s="50">
        <v>53.2</v>
      </c>
      <c r="T11" s="50">
        <v>53.2</v>
      </c>
      <c r="U11" s="50">
        <v>53.2</v>
      </c>
      <c r="V11" s="50">
        <v>53.2</v>
      </c>
      <c r="W11" s="50">
        <v>53.2</v>
      </c>
      <c r="X11" s="50">
        <v>53.2</v>
      </c>
      <c r="Y11" s="50">
        <v>53.2</v>
      </c>
      <c r="Z11" s="50">
        <v>53.2</v>
      </c>
      <c r="AA11" s="52">
        <v>53.2</v>
      </c>
      <c r="AB11" s="52">
        <v>53.2</v>
      </c>
      <c r="AC11" s="52">
        <v>53.2</v>
      </c>
      <c r="AD11" s="52">
        <v>53.1</v>
      </c>
      <c r="AE11" s="52">
        <v>53.2</v>
      </c>
      <c r="AF11" s="52">
        <v>53.2</v>
      </c>
      <c r="AG11" s="133">
        <v>52.4</v>
      </c>
      <c r="AH11" s="54">
        <f>MAX(B11:AF11)</f>
        <v>53.2</v>
      </c>
      <c r="AI11" s="55">
        <f>MIN(B11:AF11)</f>
        <v>53.1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108</v>
      </c>
      <c r="B12" s="50">
        <v>50.5</v>
      </c>
      <c r="C12" s="50">
        <v>50.5</v>
      </c>
      <c r="D12" s="50">
        <v>50.5</v>
      </c>
      <c r="E12" s="50">
        <v>50.5</v>
      </c>
      <c r="F12" s="210"/>
      <c r="G12" s="50">
        <v>50.5</v>
      </c>
      <c r="H12" s="50">
        <v>50.5</v>
      </c>
      <c r="I12" s="50">
        <v>50.5</v>
      </c>
      <c r="J12" s="50">
        <v>50.5</v>
      </c>
      <c r="K12" s="50">
        <v>50.5</v>
      </c>
      <c r="L12" s="50">
        <v>50.5</v>
      </c>
      <c r="M12" s="50">
        <v>50.2</v>
      </c>
      <c r="N12" s="50">
        <v>50.5</v>
      </c>
      <c r="O12" s="50">
        <v>50.5</v>
      </c>
      <c r="P12" s="50">
        <v>50.4</v>
      </c>
      <c r="Q12" s="50">
        <v>50.3</v>
      </c>
      <c r="R12" s="50">
        <v>50.4</v>
      </c>
      <c r="S12" s="50">
        <v>50.4</v>
      </c>
      <c r="T12" s="50">
        <v>50.4</v>
      </c>
      <c r="U12" s="50">
        <v>50.4</v>
      </c>
      <c r="V12" s="50">
        <v>50.4</v>
      </c>
      <c r="W12" s="50">
        <v>50.4</v>
      </c>
      <c r="X12" s="50">
        <v>50.4</v>
      </c>
      <c r="Y12" s="50">
        <v>50.4</v>
      </c>
      <c r="Z12" s="50">
        <v>50.4</v>
      </c>
      <c r="AA12" s="50">
        <v>50.4</v>
      </c>
      <c r="AB12" s="50">
        <v>50.5</v>
      </c>
      <c r="AC12" s="50">
        <v>50.5</v>
      </c>
      <c r="AD12" s="50">
        <v>50.4</v>
      </c>
      <c r="AE12" s="50">
        <v>50.7</v>
      </c>
      <c r="AF12" s="50">
        <v>50.7</v>
      </c>
      <c r="AG12" s="134">
        <v>50</v>
      </c>
      <c r="AH12" s="54">
        <f t="shared" ref="AH12:AH79" si="2">MAX(B12:AF12)</f>
        <v>50.7</v>
      </c>
      <c r="AI12" s="55">
        <f t="shared" ref="AI12:AI79" si="3">MIN(B12:AF12)</f>
        <v>50.2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109</v>
      </c>
      <c r="B13" s="50">
        <v>46</v>
      </c>
      <c r="C13" s="50">
        <v>46</v>
      </c>
      <c r="D13" s="50">
        <v>46</v>
      </c>
      <c r="E13" s="50">
        <v>46</v>
      </c>
      <c r="F13" s="210"/>
      <c r="G13" s="50">
        <v>46</v>
      </c>
      <c r="H13" s="50">
        <v>46</v>
      </c>
      <c r="I13" s="50">
        <v>46</v>
      </c>
      <c r="J13" s="50">
        <v>46</v>
      </c>
      <c r="K13" s="50">
        <v>46</v>
      </c>
      <c r="L13" s="50">
        <v>46</v>
      </c>
      <c r="M13" s="50">
        <v>45.8</v>
      </c>
      <c r="N13" s="50">
        <v>45.8</v>
      </c>
      <c r="O13" s="50">
        <v>45.8</v>
      </c>
      <c r="P13" s="50">
        <v>45.8</v>
      </c>
      <c r="Q13" s="50">
        <v>45.9</v>
      </c>
      <c r="R13" s="50">
        <v>45.8</v>
      </c>
      <c r="S13" s="50">
        <v>45.8</v>
      </c>
      <c r="T13" s="50">
        <v>45.8</v>
      </c>
      <c r="U13" s="50">
        <v>45.8</v>
      </c>
      <c r="V13" s="50">
        <v>45.8</v>
      </c>
      <c r="W13" s="50">
        <v>45.8</v>
      </c>
      <c r="X13" s="50">
        <v>45.8</v>
      </c>
      <c r="Y13" s="50">
        <v>45.8</v>
      </c>
      <c r="Z13" s="50">
        <v>45.8</v>
      </c>
      <c r="AA13" s="50">
        <v>45.8</v>
      </c>
      <c r="AB13" s="50">
        <v>45.9</v>
      </c>
      <c r="AC13" s="50">
        <v>45.9</v>
      </c>
      <c r="AD13" s="50">
        <v>45.8</v>
      </c>
      <c r="AE13" s="50">
        <v>46</v>
      </c>
      <c r="AF13" s="50">
        <v>46</v>
      </c>
      <c r="AG13" s="134">
        <v>45</v>
      </c>
      <c r="AH13" s="54">
        <f t="shared" si="2"/>
        <v>46</v>
      </c>
      <c r="AI13" s="55">
        <f t="shared" si="3"/>
        <v>45.8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110</v>
      </c>
      <c r="B14" s="50">
        <v>28</v>
      </c>
      <c r="C14" s="50">
        <v>28</v>
      </c>
      <c r="D14" s="50">
        <v>26</v>
      </c>
      <c r="E14" s="50">
        <v>26</v>
      </c>
      <c r="F14" s="210"/>
      <c r="G14" s="50">
        <v>26</v>
      </c>
      <c r="H14" s="50">
        <v>26</v>
      </c>
      <c r="I14" s="50">
        <v>26</v>
      </c>
      <c r="J14" s="50">
        <v>26</v>
      </c>
      <c r="K14" s="50">
        <v>26</v>
      </c>
      <c r="L14" s="50">
        <v>26</v>
      </c>
      <c r="M14" s="50">
        <v>28</v>
      </c>
      <c r="N14" s="50">
        <v>28</v>
      </c>
      <c r="O14" s="50">
        <v>28</v>
      </c>
      <c r="P14" s="50">
        <v>28</v>
      </c>
      <c r="Q14" s="50">
        <v>28</v>
      </c>
      <c r="R14" s="50">
        <v>28</v>
      </c>
      <c r="S14" s="50">
        <v>28</v>
      </c>
      <c r="T14" s="50">
        <v>28</v>
      </c>
      <c r="U14" s="50">
        <v>28</v>
      </c>
      <c r="V14" s="50">
        <v>28</v>
      </c>
      <c r="W14" s="50">
        <v>28</v>
      </c>
      <c r="X14" s="50">
        <v>28</v>
      </c>
      <c r="Y14" s="50">
        <v>28</v>
      </c>
      <c r="Z14" s="50">
        <v>28</v>
      </c>
      <c r="AA14" s="50">
        <v>28</v>
      </c>
      <c r="AB14" s="50">
        <v>28</v>
      </c>
      <c r="AC14" s="50">
        <v>28</v>
      </c>
      <c r="AD14" s="50">
        <v>28</v>
      </c>
      <c r="AE14" s="50">
        <v>28</v>
      </c>
      <c r="AF14" s="50">
        <v>28</v>
      </c>
      <c r="AG14" s="134">
        <v>42</v>
      </c>
      <c r="AH14" s="54">
        <f t="shared" si="2"/>
        <v>28</v>
      </c>
      <c r="AI14" s="55">
        <f t="shared" si="3"/>
        <v>26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111</v>
      </c>
      <c r="B15" s="50">
        <v>20</v>
      </c>
      <c r="C15" s="50">
        <v>29</v>
      </c>
      <c r="D15" s="50">
        <v>29</v>
      </c>
      <c r="E15" s="50">
        <v>6</v>
      </c>
      <c r="F15" s="210"/>
      <c r="G15" s="50">
        <v>6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30</v>
      </c>
      <c r="N15" s="50">
        <v>30</v>
      </c>
      <c r="O15" s="50">
        <v>30</v>
      </c>
      <c r="P15" s="50">
        <v>30</v>
      </c>
      <c r="Q15" s="50">
        <v>30</v>
      </c>
      <c r="R15" s="50">
        <v>30</v>
      </c>
      <c r="S15" s="50">
        <v>30</v>
      </c>
      <c r="T15" s="50">
        <v>30</v>
      </c>
      <c r="U15" s="50">
        <v>30</v>
      </c>
      <c r="V15" s="50">
        <v>30</v>
      </c>
      <c r="W15" s="50">
        <v>30</v>
      </c>
      <c r="X15" s="50">
        <v>30</v>
      </c>
      <c r="Y15" s="50">
        <v>30</v>
      </c>
      <c r="Z15" s="50">
        <v>30</v>
      </c>
      <c r="AA15" s="50">
        <v>30</v>
      </c>
      <c r="AB15" s="50">
        <v>30</v>
      </c>
      <c r="AC15" s="50">
        <v>30</v>
      </c>
      <c r="AD15" s="50">
        <v>30</v>
      </c>
      <c r="AE15" s="50">
        <v>30</v>
      </c>
      <c r="AF15" s="50">
        <v>30</v>
      </c>
      <c r="AG15" s="135">
        <v>30</v>
      </c>
      <c r="AH15" s="54">
        <f t="shared" si="2"/>
        <v>30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112</v>
      </c>
      <c r="B16" s="50">
        <v>25</v>
      </c>
      <c r="C16" s="50">
        <v>25</v>
      </c>
      <c r="D16" s="50">
        <v>25</v>
      </c>
      <c r="E16" s="50">
        <v>25</v>
      </c>
      <c r="F16" s="210"/>
      <c r="G16" s="50">
        <v>25</v>
      </c>
      <c r="H16" s="50">
        <v>25</v>
      </c>
      <c r="I16" s="50">
        <v>25</v>
      </c>
      <c r="J16" s="50">
        <v>25</v>
      </c>
      <c r="K16" s="50">
        <v>25</v>
      </c>
      <c r="L16" s="50">
        <v>25</v>
      </c>
      <c r="M16" s="50">
        <v>24.3</v>
      </c>
      <c r="N16" s="50">
        <v>13</v>
      </c>
      <c r="O16" s="50">
        <v>13</v>
      </c>
      <c r="P16" s="50">
        <v>13</v>
      </c>
      <c r="Q16" s="50">
        <v>13</v>
      </c>
      <c r="R16" s="50">
        <v>13</v>
      </c>
      <c r="S16" s="50">
        <v>13</v>
      </c>
      <c r="T16" s="50">
        <v>13</v>
      </c>
      <c r="U16" s="50">
        <v>13</v>
      </c>
      <c r="V16" s="50">
        <v>13</v>
      </c>
      <c r="W16" s="50">
        <v>13</v>
      </c>
      <c r="X16" s="50">
        <v>13</v>
      </c>
      <c r="Y16" s="50">
        <v>13</v>
      </c>
      <c r="Z16" s="50">
        <v>13</v>
      </c>
      <c r="AA16" s="50">
        <v>13</v>
      </c>
      <c r="AB16" s="50">
        <v>13</v>
      </c>
      <c r="AC16" s="50">
        <v>13</v>
      </c>
      <c r="AD16" s="50">
        <v>13</v>
      </c>
      <c r="AE16" s="50">
        <v>13</v>
      </c>
      <c r="AF16" s="50">
        <v>13</v>
      </c>
      <c r="AG16" s="134">
        <v>25</v>
      </c>
      <c r="AH16" s="54">
        <f t="shared" si="2"/>
        <v>25</v>
      </c>
      <c r="AI16" s="55">
        <f t="shared" si="3"/>
        <v>13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113</v>
      </c>
      <c r="B17" s="50">
        <v>25</v>
      </c>
      <c r="C17" s="50">
        <v>25</v>
      </c>
      <c r="D17" s="50">
        <v>25</v>
      </c>
      <c r="E17" s="50">
        <v>25</v>
      </c>
      <c r="F17" s="210"/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134">
        <v>25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114</v>
      </c>
      <c r="B18" s="50">
        <v>25</v>
      </c>
      <c r="C18" s="50">
        <v>25</v>
      </c>
      <c r="D18" s="50">
        <v>25</v>
      </c>
      <c r="E18" s="50">
        <v>25</v>
      </c>
      <c r="F18" s="210"/>
      <c r="G18" s="50">
        <v>25</v>
      </c>
      <c r="H18" s="50">
        <v>25</v>
      </c>
      <c r="I18" s="50">
        <v>25</v>
      </c>
      <c r="J18" s="50">
        <v>25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134">
        <v>25</v>
      </c>
      <c r="AH18" s="54">
        <f t="shared" si="2"/>
        <v>25</v>
      </c>
      <c r="AI18" s="55">
        <f t="shared" si="3"/>
        <v>25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115</v>
      </c>
      <c r="B19" s="50">
        <v>33.1</v>
      </c>
      <c r="C19" s="50">
        <v>33.1</v>
      </c>
      <c r="D19" s="50">
        <v>33.1</v>
      </c>
      <c r="E19" s="50">
        <v>33.1</v>
      </c>
      <c r="F19" s="210"/>
      <c r="G19" s="50">
        <v>33</v>
      </c>
      <c r="H19" s="50">
        <v>25</v>
      </c>
      <c r="I19" s="50">
        <v>25.3</v>
      </c>
      <c r="J19" s="50">
        <v>25.3</v>
      </c>
      <c r="K19" s="50">
        <v>25.3</v>
      </c>
      <c r="L19" s="50">
        <v>25.3</v>
      </c>
      <c r="M19" s="50">
        <v>25.3</v>
      </c>
      <c r="N19" s="50">
        <v>33.1</v>
      </c>
      <c r="O19" s="50">
        <v>33.1</v>
      </c>
      <c r="P19" s="50">
        <v>33.200000000000003</v>
      </c>
      <c r="Q19" s="50">
        <v>33.200000000000003</v>
      </c>
      <c r="R19" s="50">
        <v>33.200000000000003</v>
      </c>
      <c r="S19" s="50">
        <v>33.200000000000003</v>
      </c>
      <c r="T19" s="50">
        <v>33.200000000000003</v>
      </c>
      <c r="U19" s="50">
        <v>33.200000000000003</v>
      </c>
      <c r="V19" s="50">
        <v>33.200000000000003</v>
      </c>
      <c r="W19" s="50">
        <v>33.200000000000003</v>
      </c>
      <c r="X19" s="50">
        <v>33.200000000000003</v>
      </c>
      <c r="Y19" s="50">
        <v>33.200000000000003</v>
      </c>
      <c r="Z19" s="50">
        <v>33.200000000000003</v>
      </c>
      <c r="AA19" s="50">
        <v>33.200000000000003</v>
      </c>
      <c r="AB19" s="50">
        <v>33.200000000000003</v>
      </c>
      <c r="AC19" s="50">
        <v>33.200000000000003</v>
      </c>
      <c r="AD19" s="50">
        <v>33.200000000000003</v>
      </c>
      <c r="AE19" s="50">
        <v>33.200000000000003</v>
      </c>
      <c r="AF19" s="50">
        <v>33.200000000000003</v>
      </c>
      <c r="AG19" s="134">
        <v>24.2</v>
      </c>
      <c r="AH19" s="54">
        <f t="shared" si="2"/>
        <v>33.200000000000003</v>
      </c>
      <c r="AI19" s="55">
        <f t="shared" si="3"/>
        <v>25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116</v>
      </c>
      <c r="B20" s="50">
        <v>23.5</v>
      </c>
      <c r="C20" s="50">
        <v>23.5</v>
      </c>
      <c r="D20" s="50">
        <v>23.5</v>
      </c>
      <c r="E20" s="50">
        <v>23.5</v>
      </c>
      <c r="F20" s="210"/>
      <c r="G20" s="50">
        <v>23.5</v>
      </c>
      <c r="H20" s="50">
        <v>23.5</v>
      </c>
      <c r="I20" s="50">
        <v>23.5</v>
      </c>
      <c r="J20" s="50">
        <v>23.5</v>
      </c>
      <c r="K20" s="50">
        <v>23.5</v>
      </c>
      <c r="L20" s="50">
        <v>23.5</v>
      </c>
      <c r="M20" s="50">
        <v>23.5</v>
      </c>
      <c r="N20" s="50">
        <v>23.5</v>
      </c>
      <c r="O20" s="50">
        <v>23.5</v>
      </c>
      <c r="P20" s="50">
        <v>23.5</v>
      </c>
      <c r="Q20" s="50">
        <v>23.5</v>
      </c>
      <c r="R20" s="50">
        <v>23.5</v>
      </c>
      <c r="S20" s="50">
        <v>23.5</v>
      </c>
      <c r="T20" s="50">
        <v>23.5</v>
      </c>
      <c r="U20" s="50">
        <v>23.5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22</v>
      </c>
      <c r="AC20" s="50">
        <v>22</v>
      </c>
      <c r="AD20" s="50">
        <v>22</v>
      </c>
      <c r="AE20" s="50">
        <v>22</v>
      </c>
      <c r="AF20" s="50">
        <v>22</v>
      </c>
      <c r="AG20" s="134">
        <v>23.5</v>
      </c>
      <c r="AH20" s="54">
        <f t="shared" si="2"/>
        <v>23.5</v>
      </c>
      <c r="AI20" s="55">
        <f t="shared" si="3"/>
        <v>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117</v>
      </c>
      <c r="B21" s="50">
        <v>19</v>
      </c>
      <c r="C21" s="50">
        <v>19</v>
      </c>
      <c r="D21" s="50">
        <v>19</v>
      </c>
      <c r="E21" s="50">
        <v>19</v>
      </c>
      <c r="F21" s="210"/>
      <c r="G21" s="50">
        <v>19</v>
      </c>
      <c r="H21" s="50">
        <v>19</v>
      </c>
      <c r="I21" s="50">
        <v>19</v>
      </c>
      <c r="J21" s="50">
        <v>19</v>
      </c>
      <c r="K21" s="50">
        <v>19</v>
      </c>
      <c r="L21" s="50">
        <v>19</v>
      </c>
      <c r="M21" s="50">
        <v>19</v>
      </c>
      <c r="N21" s="50">
        <v>19</v>
      </c>
      <c r="O21" s="50">
        <v>19</v>
      </c>
      <c r="P21" s="50">
        <v>19</v>
      </c>
      <c r="Q21" s="50">
        <v>19</v>
      </c>
      <c r="R21" s="50">
        <v>19</v>
      </c>
      <c r="S21" s="50">
        <v>19</v>
      </c>
      <c r="T21" s="50">
        <v>19</v>
      </c>
      <c r="U21" s="50">
        <v>19</v>
      </c>
      <c r="V21" s="50">
        <v>19</v>
      </c>
      <c r="W21" s="50">
        <v>19</v>
      </c>
      <c r="X21" s="50">
        <v>19</v>
      </c>
      <c r="Y21" s="50">
        <v>19</v>
      </c>
      <c r="Z21" s="50">
        <v>19</v>
      </c>
      <c r="AA21" s="50">
        <v>19</v>
      </c>
      <c r="AB21" s="50">
        <v>19</v>
      </c>
      <c r="AC21" s="50">
        <v>19</v>
      </c>
      <c r="AD21" s="50">
        <v>19</v>
      </c>
      <c r="AE21" s="50">
        <v>19</v>
      </c>
      <c r="AF21" s="50">
        <v>19</v>
      </c>
      <c r="AG21" s="134">
        <v>22.2</v>
      </c>
      <c r="AH21" s="54">
        <f t="shared" si="2"/>
        <v>19</v>
      </c>
      <c r="AI21" s="55">
        <f t="shared" si="3"/>
        <v>19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118</v>
      </c>
      <c r="B22" s="50">
        <v>22</v>
      </c>
      <c r="C22" s="50">
        <v>22</v>
      </c>
      <c r="D22" s="50">
        <v>22</v>
      </c>
      <c r="E22" s="50">
        <v>22</v>
      </c>
      <c r="F22" s="210"/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134">
        <v>22.1</v>
      </c>
      <c r="AH22" s="54">
        <f t="shared" si="2"/>
        <v>22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240</v>
      </c>
      <c r="B23" s="50">
        <v>22</v>
      </c>
      <c r="C23" s="50">
        <v>22</v>
      </c>
      <c r="D23" s="50">
        <v>22</v>
      </c>
      <c r="E23" s="50">
        <v>22</v>
      </c>
      <c r="F23" s="210"/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134">
        <v>22</v>
      </c>
      <c r="AH23" s="54">
        <f t="shared" si="2"/>
        <v>22</v>
      </c>
      <c r="AI23" s="55">
        <f t="shared" si="3"/>
        <v>22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119</v>
      </c>
      <c r="B24" s="50">
        <v>22</v>
      </c>
      <c r="C24" s="50">
        <v>22</v>
      </c>
      <c r="D24" s="50">
        <v>22</v>
      </c>
      <c r="E24" s="50">
        <v>22</v>
      </c>
      <c r="F24" s="210"/>
      <c r="G24" s="50">
        <v>22</v>
      </c>
      <c r="H24" s="50">
        <v>22</v>
      </c>
      <c r="I24" s="50">
        <v>22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10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20</v>
      </c>
      <c r="AC24" s="50">
        <v>20</v>
      </c>
      <c r="AD24" s="50">
        <v>20</v>
      </c>
      <c r="AE24" s="50">
        <v>20</v>
      </c>
      <c r="AF24" s="50">
        <v>20</v>
      </c>
      <c r="AG24" s="134">
        <v>22</v>
      </c>
      <c r="AH24" s="54">
        <f t="shared" si="2"/>
        <v>22</v>
      </c>
      <c r="AI24" s="55">
        <f t="shared" si="3"/>
        <v>10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19</v>
      </c>
      <c r="B25" s="50">
        <v>15</v>
      </c>
      <c r="C25" s="50">
        <v>15</v>
      </c>
      <c r="D25" s="50">
        <v>6</v>
      </c>
      <c r="E25" s="50">
        <v>6</v>
      </c>
      <c r="F25" s="210"/>
      <c r="G25" s="50">
        <v>5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20</v>
      </c>
      <c r="N25" s="50">
        <v>20</v>
      </c>
      <c r="O25" s="50">
        <v>20</v>
      </c>
      <c r="P25" s="50">
        <v>20</v>
      </c>
      <c r="Q25" s="50">
        <v>20</v>
      </c>
      <c r="R25" s="50">
        <v>20</v>
      </c>
      <c r="S25" s="50">
        <v>20</v>
      </c>
      <c r="T25" s="50">
        <v>20</v>
      </c>
      <c r="U25" s="50">
        <v>20</v>
      </c>
      <c r="V25" s="50">
        <v>20</v>
      </c>
      <c r="W25" s="50">
        <v>20</v>
      </c>
      <c r="X25" s="50">
        <v>20</v>
      </c>
      <c r="Y25" s="50">
        <v>20</v>
      </c>
      <c r="Z25" s="50">
        <v>20</v>
      </c>
      <c r="AA25" s="50">
        <v>20</v>
      </c>
      <c r="AB25" s="50">
        <v>20</v>
      </c>
      <c r="AC25" s="50">
        <v>20</v>
      </c>
      <c r="AD25" s="50">
        <v>20</v>
      </c>
      <c r="AE25" s="50">
        <v>20</v>
      </c>
      <c r="AF25" s="50">
        <v>20</v>
      </c>
      <c r="AG25" s="134">
        <v>20</v>
      </c>
      <c r="AH25" s="54">
        <f t="shared" si="2"/>
        <v>20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120</v>
      </c>
      <c r="B26" s="50">
        <v>14.9</v>
      </c>
      <c r="C26" s="50">
        <v>14.9</v>
      </c>
      <c r="D26" s="50">
        <v>14.9</v>
      </c>
      <c r="E26" s="50">
        <v>14.9</v>
      </c>
      <c r="F26" s="210"/>
      <c r="G26" s="50">
        <v>14.9</v>
      </c>
      <c r="H26" s="50">
        <v>14.9</v>
      </c>
      <c r="I26" s="50">
        <v>14.9</v>
      </c>
      <c r="J26" s="50">
        <v>14.9</v>
      </c>
      <c r="K26" s="50">
        <v>14.9</v>
      </c>
      <c r="L26" s="50">
        <v>14.9</v>
      </c>
      <c r="M26" s="50">
        <v>14.9</v>
      </c>
      <c r="N26" s="50">
        <v>14.9</v>
      </c>
      <c r="O26" s="50">
        <v>14.9</v>
      </c>
      <c r="P26" s="50">
        <v>14.9</v>
      </c>
      <c r="Q26" s="50">
        <v>14.9</v>
      </c>
      <c r="R26" s="50">
        <v>14.9</v>
      </c>
      <c r="S26" s="50">
        <v>14.9</v>
      </c>
      <c r="T26" s="50">
        <v>14.9</v>
      </c>
      <c r="U26" s="50">
        <v>14.9</v>
      </c>
      <c r="V26" s="50">
        <v>14.9</v>
      </c>
      <c r="W26" s="50">
        <v>14.9</v>
      </c>
      <c r="X26" s="50">
        <v>14.9</v>
      </c>
      <c r="Y26" s="50">
        <v>14.9</v>
      </c>
      <c r="Z26" s="50">
        <v>14.9</v>
      </c>
      <c r="AA26" s="50">
        <v>14.9</v>
      </c>
      <c r="AB26" s="50">
        <v>14.9</v>
      </c>
      <c r="AC26" s="50">
        <v>14.9</v>
      </c>
      <c r="AD26" s="50">
        <v>14.9</v>
      </c>
      <c r="AE26" s="50">
        <v>14.9</v>
      </c>
      <c r="AF26" s="50">
        <v>14.9</v>
      </c>
      <c r="AG26" s="134">
        <v>14.9</v>
      </c>
      <c r="AH26" s="54">
        <f t="shared" si="2"/>
        <v>14.9</v>
      </c>
      <c r="AI26" s="55">
        <f t="shared" si="3"/>
        <v>14.9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121</v>
      </c>
      <c r="B27" s="50">
        <v>12</v>
      </c>
      <c r="C27" s="50">
        <v>12</v>
      </c>
      <c r="D27" s="50">
        <v>12</v>
      </c>
      <c r="E27" s="50">
        <v>12</v>
      </c>
      <c r="F27" s="210"/>
      <c r="G27" s="50">
        <v>12</v>
      </c>
      <c r="H27" s="50">
        <v>12</v>
      </c>
      <c r="I27" s="50">
        <v>12</v>
      </c>
      <c r="J27" s="50">
        <v>12</v>
      </c>
      <c r="K27" s="50">
        <v>12</v>
      </c>
      <c r="L27" s="50">
        <v>12</v>
      </c>
      <c r="M27" s="50">
        <v>12</v>
      </c>
      <c r="N27" s="50">
        <v>12</v>
      </c>
      <c r="O27" s="50">
        <v>12</v>
      </c>
      <c r="P27" s="50">
        <v>12</v>
      </c>
      <c r="Q27" s="50">
        <v>12</v>
      </c>
      <c r="R27" s="50">
        <v>12</v>
      </c>
      <c r="S27" s="50">
        <v>12</v>
      </c>
      <c r="T27" s="50">
        <v>12</v>
      </c>
      <c r="U27" s="50">
        <v>12</v>
      </c>
      <c r="V27" s="50">
        <v>12</v>
      </c>
      <c r="W27" s="50">
        <v>12</v>
      </c>
      <c r="X27" s="50">
        <v>12</v>
      </c>
      <c r="Y27" s="50">
        <v>12</v>
      </c>
      <c r="Z27" s="50">
        <v>12</v>
      </c>
      <c r="AA27" s="50">
        <v>12</v>
      </c>
      <c r="AB27" s="50">
        <v>12</v>
      </c>
      <c r="AC27" s="50">
        <v>12</v>
      </c>
      <c r="AD27" s="50">
        <v>12</v>
      </c>
      <c r="AE27" s="50">
        <v>12</v>
      </c>
      <c r="AF27" s="50">
        <v>12</v>
      </c>
      <c r="AG27" s="134">
        <v>13.6</v>
      </c>
      <c r="AH27" s="54">
        <f t="shared" si="2"/>
        <v>12</v>
      </c>
      <c r="AI27" s="55">
        <f t="shared" si="3"/>
        <v>12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122</v>
      </c>
      <c r="B28" s="50">
        <v>13</v>
      </c>
      <c r="C28" s="50">
        <v>13</v>
      </c>
      <c r="D28" s="50">
        <v>13</v>
      </c>
      <c r="E28" s="50">
        <v>13</v>
      </c>
      <c r="F28" s="210"/>
      <c r="G28" s="50">
        <v>13</v>
      </c>
      <c r="H28" s="50">
        <v>13</v>
      </c>
      <c r="I28" s="50">
        <v>13</v>
      </c>
      <c r="J28" s="50">
        <v>13</v>
      </c>
      <c r="K28" s="50">
        <v>13</v>
      </c>
      <c r="L28" s="50">
        <v>13</v>
      </c>
      <c r="M28" s="50">
        <v>13</v>
      </c>
      <c r="N28" s="50">
        <v>13</v>
      </c>
      <c r="O28" s="50">
        <v>13</v>
      </c>
      <c r="P28" s="50">
        <v>13</v>
      </c>
      <c r="Q28" s="50">
        <v>13</v>
      </c>
      <c r="R28" s="50">
        <v>13</v>
      </c>
      <c r="S28" s="50">
        <v>13</v>
      </c>
      <c r="T28" s="50">
        <v>13</v>
      </c>
      <c r="U28" s="50">
        <v>13</v>
      </c>
      <c r="V28" s="50">
        <v>13</v>
      </c>
      <c r="W28" s="50">
        <v>13</v>
      </c>
      <c r="X28" s="50">
        <v>13</v>
      </c>
      <c r="Y28" s="50">
        <v>13</v>
      </c>
      <c r="Z28" s="50">
        <v>13</v>
      </c>
      <c r="AA28" s="50">
        <v>13</v>
      </c>
      <c r="AB28" s="50">
        <v>13</v>
      </c>
      <c r="AC28" s="50">
        <v>13</v>
      </c>
      <c r="AD28" s="50">
        <v>13</v>
      </c>
      <c r="AE28" s="50">
        <v>13</v>
      </c>
      <c r="AF28" s="50">
        <v>13</v>
      </c>
      <c r="AG28" s="134">
        <v>13</v>
      </c>
      <c r="AH28" s="54">
        <f t="shared" si="2"/>
        <v>13</v>
      </c>
      <c r="AI28" s="55">
        <f t="shared" si="3"/>
        <v>13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>
        <v>8</v>
      </c>
      <c r="C29" s="50">
        <v>8</v>
      </c>
      <c r="D29" s="50">
        <v>8</v>
      </c>
      <c r="E29" s="50">
        <v>8</v>
      </c>
      <c r="F29" s="210"/>
      <c r="G29" s="50">
        <v>8</v>
      </c>
      <c r="H29" s="50">
        <v>8</v>
      </c>
      <c r="I29" s="50">
        <v>8</v>
      </c>
      <c r="J29" s="50">
        <v>8</v>
      </c>
      <c r="K29" s="50">
        <v>8</v>
      </c>
      <c r="L29" s="50">
        <v>8</v>
      </c>
      <c r="M29" s="50">
        <v>8</v>
      </c>
      <c r="N29" s="50">
        <v>8</v>
      </c>
      <c r="O29" s="50">
        <v>8</v>
      </c>
      <c r="P29" s="50">
        <v>8</v>
      </c>
      <c r="Q29" s="50">
        <v>8</v>
      </c>
      <c r="R29" s="50">
        <v>8</v>
      </c>
      <c r="S29" s="50">
        <v>0</v>
      </c>
      <c r="T29" s="50">
        <v>0</v>
      </c>
      <c r="U29" s="50">
        <v>0</v>
      </c>
      <c r="V29" s="50">
        <v>8</v>
      </c>
      <c r="W29" s="50">
        <v>8</v>
      </c>
      <c r="X29" s="50">
        <v>8</v>
      </c>
      <c r="Y29" s="50">
        <v>8</v>
      </c>
      <c r="Z29" s="50">
        <v>8</v>
      </c>
      <c r="AA29" s="50">
        <v>8</v>
      </c>
      <c r="AB29" s="50">
        <v>8</v>
      </c>
      <c r="AC29" s="50">
        <v>8</v>
      </c>
      <c r="AD29" s="50">
        <v>8</v>
      </c>
      <c r="AE29" s="50">
        <v>8</v>
      </c>
      <c r="AF29" s="50">
        <v>8</v>
      </c>
      <c r="AG29" s="134">
        <v>12</v>
      </c>
      <c r="AH29" s="54">
        <f t="shared" si="2"/>
        <v>8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>
        <v>2</v>
      </c>
      <c r="C30" s="50">
        <v>2</v>
      </c>
      <c r="D30" s="50">
        <v>2</v>
      </c>
      <c r="E30" s="50">
        <v>2</v>
      </c>
      <c r="F30" s="210"/>
      <c r="G30" s="50">
        <v>2</v>
      </c>
      <c r="H30" s="50">
        <v>2</v>
      </c>
      <c r="I30" s="50">
        <v>2</v>
      </c>
      <c r="J30" s="50">
        <v>2</v>
      </c>
      <c r="K30" s="50">
        <v>2</v>
      </c>
      <c r="L30" s="50">
        <v>2</v>
      </c>
      <c r="M30" s="50">
        <v>2</v>
      </c>
      <c r="N30" s="50">
        <v>2</v>
      </c>
      <c r="O30" s="50">
        <v>2</v>
      </c>
      <c r="P30" s="50">
        <v>2</v>
      </c>
      <c r="Q30" s="50">
        <v>2</v>
      </c>
      <c r="R30" s="50">
        <v>2</v>
      </c>
      <c r="S30" s="50">
        <v>2</v>
      </c>
      <c r="T30" s="50">
        <v>2</v>
      </c>
      <c r="U30" s="50">
        <v>2</v>
      </c>
      <c r="V30" s="50">
        <v>2</v>
      </c>
      <c r="W30" s="50">
        <v>2</v>
      </c>
      <c r="X30" s="50">
        <v>2</v>
      </c>
      <c r="Y30" s="50">
        <v>2</v>
      </c>
      <c r="Z30" s="50">
        <v>2</v>
      </c>
      <c r="AA30" s="50">
        <v>2</v>
      </c>
      <c r="AB30" s="50">
        <v>2</v>
      </c>
      <c r="AC30" s="50">
        <v>2</v>
      </c>
      <c r="AD30" s="50">
        <v>2</v>
      </c>
      <c r="AE30" s="50">
        <v>2</v>
      </c>
      <c r="AF30" s="50">
        <v>2</v>
      </c>
      <c r="AG30" s="134">
        <v>12</v>
      </c>
      <c r="AH30" s="54">
        <f t="shared" si="2"/>
        <v>2</v>
      </c>
      <c r="AI30" s="55">
        <f t="shared" si="3"/>
        <v>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>
        <v>12</v>
      </c>
      <c r="C31" s="50">
        <v>12</v>
      </c>
      <c r="D31" s="50">
        <v>12</v>
      </c>
      <c r="E31" s="50">
        <v>12</v>
      </c>
      <c r="F31" s="210"/>
      <c r="G31" s="50">
        <v>12</v>
      </c>
      <c r="H31" s="50">
        <v>12</v>
      </c>
      <c r="I31" s="50">
        <v>12</v>
      </c>
      <c r="J31" s="50">
        <v>12</v>
      </c>
      <c r="K31" s="50">
        <v>12</v>
      </c>
      <c r="L31" s="50">
        <v>12</v>
      </c>
      <c r="M31" s="50">
        <v>12</v>
      </c>
      <c r="N31" s="50">
        <v>12</v>
      </c>
      <c r="O31" s="50">
        <v>12</v>
      </c>
      <c r="P31" s="50">
        <v>12</v>
      </c>
      <c r="Q31" s="50">
        <v>12</v>
      </c>
      <c r="R31" s="50">
        <v>12</v>
      </c>
      <c r="S31" s="50">
        <v>12</v>
      </c>
      <c r="T31" s="50">
        <v>12</v>
      </c>
      <c r="U31" s="50">
        <v>12</v>
      </c>
      <c r="V31" s="50">
        <v>12</v>
      </c>
      <c r="W31" s="50">
        <v>12</v>
      </c>
      <c r="X31" s="50">
        <v>12</v>
      </c>
      <c r="Y31" s="50">
        <v>12</v>
      </c>
      <c r="Z31" s="50">
        <v>12</v>
      </c>
      <c r="AA31" s="50">
        <v>12</v>
      </c>
      <c r="AB31" s="50">
        <v>12</v>
      </c>
      <c r="AC31" s="50">
        <v>12</v>
      </c>
      <c r="AD31" s="50">
        <v>12</v>
      </c>
      <c r="AE31" s="50">
        <v>12</v>
      </c>
      <c r="AF31" s="50">
        <v>12</v>
      </c>
      <c r="AG31" s="178">
        <v>22</v>
      </c>
      <c r="AH31" s="54">
        <f>MAX(B31:AF31)</f>
        <v>12</v>
      </c>
      <c r="AI31" s="55">
        <f>MIN(B31:AF31)</f>
        <v>12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>
        <v>11</v>
      </c>
      <c r="C32" s="50">
        <v>11</v>
      </c>
      <c r="D32" s="50">
        <v>11</v>
      </c>
      <c r="E32" s="50">
        <v>11</v>
      </c>
      <c r="F32" s="210"/>
      <c r="G32" s="50">
        <v>11</v>
      </c>
      <c r="H32" s="50">
        <v>11</v>
      </c>
      <c r="I32" s="50">
        <v>11</v>
      </c>
      <c r="J32" s="50">
        <v>11</v>
      </c>
      <c r="K32" s="50">
        <v>11</v>
      </c>
      <c r="L32" s="50">
        <v>11</v>
      </c>
      <c r="M32" s="50">
        <v>11</v>
      </c>
      <c r="N32" s="50">
        <v>11</v>
      </c>
      <c r="O32" s="50">
        <v>11</v>
      </c>
      <c r="P32" s="50">
        <v>11</v>
      </c>
      <c r="Q32" s="50">
        <v>11</v>
      </c>
      <c r="R32" s="50">
        <v>11</v>
      </c>
      <c r="S32" s="50">
        <v>11</v>
      </c>
      <c r="T32" s="50">
        <v>11</v>
      </c>
      <c r="U32" s="50">
        <v>11</v>
      </c>
      <c r="V32" s="50">
        <v>11</v>
      </c>
      <c r="W32" s="50">
        <v>11</v>
      </c>
      <c r="X32" s="50">
        <v>11</v>
      </c>
      <c r="Y32" s="50">
        <v>11</v>
      </c>
      <c r="Z32" s="50">
        <v>11</v>
      </c>
      <c r="AA32" s="50">
        <v>11</v>
      </c>
      <c r="AB32" s="50">
        <v>11</v>
      </c>
      <c r="AC32" s="50">
        <v>11</v>
      </c>
      <c r="AD32" s="50">
        <v>11</v>
      </c>
      <c r="AE32" s="50">
        <v>11</v>
      </c>
      <c r="AF32" s="50">
        <v>11</v>
      </c>
      <c r="AG32" s="135">
        <v>11.88</v>
      </c>
      <c r="AH32" s="54">
        <f t="shared" si="2"/>
        <v>11</v>
      </c>
      <c r="AI32" s="55">
        <f t="shared" si="3"/>
        <v>11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>
        <v>11</v>
      </c>
      <c r="C33" s="50">
        <v>11</v>
      </c>
      <c r="D33" s="50">
        <v>11</v>
      </c>
      <c r="E33" s="50">
        <v>11</v>
      </c>
      <c r="F33" s="210"/>
      <c r="G33" s="50">
        <v>11</v>
      </c>
      <c r="H33" s="50">
        <v>11</v>
      </c>
      <c r="I33" s="50">
        <v>11</v>
      </c>
      <c r="J33" s="50">
        <v>11</v>
      </c>
      <c r="K33" s="50">
        <v>11</v>
      </c>
      <c r="L33" s="50">
        <v>11</v>
      </c>
      <c r="M33" s="50">
        <v>11</v>
      </c>
      <c r="N33" s="50">
        <v>11</v>
      </c>
      <c r="O33" s="50">
        <v>11</v>
      </c>
      <c r="P33" s="50">
        <v>11</v>
      </c>
      <c r="Q33" s="50">
        <v>11</v>
      </c>
      <c r="R33" s="50">
        <v>11</v>
      </c>
      <c r="S33" s="50">
        <v>11</v>
      </c>
      <c r="T33" s="50">
        <v>11</v>
      </c>
      <c r="U33" s="50">
        <v>11</v>
      </c>
      <c r="V33" s="50">
        <v>11</v>
      </c>
      <c r="W33" s="50">
        <v>11</v>
      </c>
      <c r="X33" s="50">
        <v>11</v>
      </c>
      <c r="Y33" s="50">
        <v>11</v>
      </c>
      <c r="Z33" s="50">
        <v>11</v>
      </c>
      <c r="AA33" s="50">
        <v>11</v>
      </c>
      <c r="AB33" s="50">
        <v>11</v>
      </c>
      <c r="AC33" s="50">
        <v>11</v>
      </c>
      <c r="AD33" s="50">
        <v>11</v>
      </c>
      <c r="AE33" s="50">
        <v>11</v>
      </c>
      <c r="AF33" s="50">
        <v>11</v>
      </c>
      <c r="AG33" s="136">
        <v>11</v>
      </c>
      <c r="AH33" s="54">
        <f t="shared" si="2"/>
        <v>11</v>
      </c>
      <c r="AI33" s="55">
        <f t="shared" si="3"/>
        <v>11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>
        <v>4.5</v>
      </c>
      <c r="C34" s="50">
        <v>4.5</v>
      </c>
      <c r="D34" s="50">
        <v>4.5</v>
      </c>
      <c r="E34" s="50">
        <v>4.5</v>
      </c>
      <c r="F34" s="210"/>
      <c r="G34" s="50">
        <v>4.5</v>
      </c>
      <c r="H34" s="50">
        <v>4.5</v>
      </c>
      <c r="I34" s="50">
        <v>4.5</v>
      </c>
      <c r="J34" s="50">
        <v>4.5</v>
      </c>
      <c r="K34" s="50">
        <v>4.5</v>
      </c>
      <c r="L34" s="50">
        <v>4.5</v>
      </c>
      <c r="M34" s="50">
        <v>4.5</v>
      </c>
      <c r="N34" s="50">
        <v>4.5</v>
      </c>
      <c r="O34" s="50">
        <v>4.5</v>
      </c>
      <c r="P34" s="50">
        <v>4.5</v>
      </c>
      <c r="Q34" s="50">
        <v>4.5</v>
      </c>
      <c r="R34" s="50">
        <v>4.5</v>
      </c>
      <c r="S34" s="50">
        <v>9.3000000000000007</v>
      </c>
      <c r="T34" s="50">
        <v>9.3000000000000007</v>
      </c>
      <c r="U34" s="50">
        <v>9.3000000000000007</v>
      </c>
      <c r="V34" s="50">
        <v>9.3000000000000007</v>
      </c>
      <c r="W34" s="50">
        <v>9.3000000000000007</v>
      </c>
      <c r="X34" s="50">
        <v>9.3000000000000007</v>
      </c>
      <c r="Y34" s="50">
        <v>9.3000000000000007</v>
      </c>
      <c r="Z34" s="50">
        <v>9.3000000000000007</v>
      </c>
      <c r="AA34" s="50">
        <v>9.3000000000000007</v>
      </c>
      <c r="AB34" s="50">
        <v>9.3000000000000007</v>
      </c>
      <c r="AC34" s="50">
        <v>9.3000000000000007</v>
      </c>
      <c r="AD34" s="50">
        <v>9.3000000000000007</v>
      </c>
      <c r="AE34" s="50">
        <v>9.3000000000000007</v>
      </c>
      <c r="AF34" s="50">
        <v>9.3000000000000007</v>
      </c>
      <c r="AG34" s="136">
        <v>10</v>
      </c>
      <c r="AH34" s="54">
        <f t="shared" si="2"/>
        <v>9.3000000000000007</v>
      </c>
      <c r="AI34" s="55">
        <f t="shared" si="3"/>
        <v>4.5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>
        <v>0</v>
      </c>
      <c r="C35" s="50">
        <v>0</v>
      </c>
      <c r="D35" s="50">
        <v>0</v>
      </c>
      <c r="E35" s="50">
        <v>0</v>
      </c>
      <c r="F35" s="210"/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136">
        <v>10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>
        <v>327</v>
      </c>
      <c r="C36" s="62">
        <v>327</v>
      </c>
      <c r="D36" s="62">
        <v>327</v>
      </c>
      <c r="E36" s="62">
        <v>327</v>
      </c>
      <c r="F36" s="211"/>
      <c r="G36" s="62">
        <v>327</v>
      </c>
      <c r="H36" s="62">
        <v>327</v>
      </c>
      <c r="I36" s="62">
        <v>327</v>
      </c>
      <c r="J36" s="62">
        <v>327</v>
      </c>
      <c r="K36" s="62">
        <v>327</v>
      </c>
      <c r="L36" s="62">
        <v>327</v>
      </c>
      <c r="M36" s="62">
        <v>327</v>
      </c>
      <c r="N36" s="62">
        <v>327</v>
      </c>
      <c r="O36" s="62">
        <v>327</v>
      </c>
      <c r="P36" s="62">
        <v>327</v>
      </c>
      <c r="Q36" s="62">
        <v>327</v>
      </c>
      <c r="R36" s="62">
        <v>327</v>
      </c>
      <c r="S36" s="62">
        <v>327</v>
      </c>
      <c r="T36" s="62">
        <v>327</v>
      </c>
      <c r="U36" s="62">
        <v>327</v>
      </c>
      <c r="V36" s="62">
        <v>327</v>
      </c>
      <c r="W36" s="62">
        <v>327</v>
      </c>
      <c r="X36" s="62">
        <v>327</v>
      </c>
      <c r="Y36" s="62">
        <v>327</v>
      </c>
      <c r="Z36" s="62">
        <v>327</v>
      </c>
      <c r="AA36" s="62">
        <v>327</v>
      </c>
      <c r="AB36" s="62">
        <v>327</v>
      </c>
      <c r="AC36" s="62">
        <v>327</v>
      </c>
      <c r="AD36" s="62">
        <v>327</v>
      </c>
      <c r="AE36" s="62">
        <v>327</v>
      </c>
      <c r="AF36" s="62">
        <v>327</v>
      </c>
      <c r="AG36" s="136">
        <v>85</v>
      </c>
      <c r="AH36" s="54">
        <f t="shared" si="2"/>
        <v>327</v>
      </c>
      <c r="AI36" s="55">
        <f t="shared" si="3"/>
        <v>327</v>
      </c>
      <c r="AK36" s="56"/>
    </row>
    <row r="37" spans="1:88" ht="15.75" thickBot="1" x14ac:dyDescent="0.3">
      <c r="A37" s="63" t="s">
        <v>21</v>
      </c>
      <c r="B37" s="64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4"/>
      <c r="T37" s="64">
        <v>152</v>
      </c>
      <c r="U37" s="64">
        <v>152</v>
      </c>
      <c r="V37" s="64">
        <v>152</v>
      </c>
      <c r="W37" s="64">
        <v>152</v>
      </c>
      <c r="X37" s="64">
        <v>152</v>
      </c>
      <c r="Y37" s="64">
        <v>152</v>
      </c>
      <c r="Z37" s="64">
        <v>152</v>
      </c>
      <c r="AA37" s="64"/>
      <c r="AB37" s="64">
        <v>160</v>
      </c>
      <c r="AC37" s="64"/>
      <c r="AD37" s="64"/>
      <c r="AE37" s="64"/>
      <c r="AF37" s="64"/>
      <c r="AG37" s="136">
        <v>240</v>
      </c>
      <c r="AH37" s="54">
        <f t="shared" si="2"/>
        <v>160</v>
      </c>
      <c r="AI37" s="55">
        <f t="shared" si="3"/>
        <v>152</v>
      </c>
      <c r="AK37" s="56"/>
    </row>
    <row r="38" spans="1:88" ht="15.75" thickBot="1" x14ac:dyDescent="0.3">
      <c r="A38" s="131" t="s">
        <v>22</v>
      </c>
      <c r="B38" s="66">
        <f t="shared" ref="B38:AG38" si="4">SUM(B11:B36)</f>
        <v>844.7</v>
      </c>
      <c r="C38" s="66">
        <f t="shared" si="4"/>
        <v>853.7</v>
      </c>
      <c r="D38" s="66">
        <f t="shared" si="4"/>
        <v>842.7</v>
      </c>
      <c r="E38" s="66">
        <f t="shared" si="4"/>
        <v>819.7</v>
      </c>
      <c r="F38" s="66">
        <f t="shared" si="4"/>
        <v>0</v>
      </c>
      <c r="G38" s="66">
        <f t="shared" ref="G38" si="5">SUM(G11:G36)</f>
        <v>818.59999999999991</v>
      </c>
      <c r="H38" s="66">
        <f t="shared" si="4"/>
        <v>799.59999999999991</v>
      </c>
      <c r="I38" s="66">
        <f t="shared" si="4"/>
        <v>799.9</v>
      </c>
      <c r="J38" s="66">
        <f t="shared" si="4"/>
        <v>799.9</v>
      </c>
      <c r="K38" s="66">
        <f t="shared" si="4"/>
        <v>799.9</v>
      </c>
      <c r="L38" s="66">
        <f t="shared" si="4"/>
        <v>799.9</v>
      </c>
      <c r="M38" s="66">
        <f t="shared" si="4"/>
        <v>850.6</v>
      </c>
      <c r="N38" s="66">
        <f t="shared" si="4"/>
        <v>847.4</v>
      </c>
      <c r="O38" s="66">
        <f t="shared" si="4"/>
        <v>847.4</v>
      </c>
      <c r="P38" s="66">
        <f t="shared" si="4"/>
        <v>847.4</v>
      </c>
      <c r="Q38" s="66">
        <f t="shared" si="4"/>
        <v>847.5</v>
      </c>
      <c r="R38" s="66">
        <f t="shared" si="4"/>
        <v>835.5</v>
      </c>
      <c r="S38" s="66">
        <f t="shared" si="4"/>
        <v>844.3</v>
      </c>
      <c r="T38" s="66">
        <f t="shared" si="4"/>
        <v>844.3</v>
      </c>
      <c r="U38" s="66">
        <f t="shared" si="4"/>
        <v>844.3</v>
      </c>
      <c r="V38" s="66">
        <f t="shared" si="4"/>
        <v>828.8</v>
      </c>
      <c r="W38" s="66">
        <f t="shared" si="4"/>
        <v>828.8</v>
      </c>
      <c r="X38" s="66">
        <f t="shared" si="4"/>
        <v>828.8</v>
      </c>
      <c r="Y38" s="66">
        <f t="shared" si="4"/>
        <v>828.8</v>
      </c>
      <c r="Z38" s="66">
        <f t="shared" si="4"/>
        <v>828.8</v>
      </c>
      <c r="AA38" s="66">
        <f t="shared" si="4"/>
        <v>828.8</v>
      </c>
      <c r="AB38" s="66">
        <f t="shared" si="4"/>
        <v>849</v>
      </c>
      <c r="AC38" s="66">
        <f t="shared" si="4"/>
        <v>849</v>
      </c>
      <c r="AD38" s="66">
        <f t="shared" si="4"/>
        <v>848.69999999999993</v>
      </c>
      <c r="AE38" s="66">
        <f t="shared" si="4"/>
        <v>849.3</v>
      </c>
      <c r="AF38" s="66">
        <f t="shared" si="4"/>
        <v>849.3</v>
      </c>
      <c r="AG38" s="143">
        <f t="shared" si="4"/>
        <v>665.78</v>
      </c>
      <c r="AH38" s="54">
        <f t="shared" si="2"/>
        <v>853.7</v>
      </c>
      <c r="AI38" s="55">
        <f t="shared" si="3"/>
        <v>0</v>
      </c>
      <c r="AK38" s="56"/>
    </row>
    <row r="39" spans="1:88" x14ac:dyDescent="0.25">
      <c r="A39" s="159" t="s">
        <v>130</v>
      </c>
      <c r="B39" s="50">
        <v>456</v>
      </c>
      <c r="C39" s="50">
        <v>456</v>
      </c>
      <c r="D39" s="50">
        <v>456</v>
      </c>
      <c r="E39" s="50">
        <v>456</v>
      </c>
      <c r="F39" s="50"/>
      <c r="G39" s="50">
        <v>456</v>
      </c>
      <c r="H39" s="50">
        <v>456</v>
      </c>
      <c r="I39" s="50">
        <v>456</v>
      </c>
      <c r="J39" s="50">
        <v>456</v>
      </c>
      <c r="K39" s="50">
        <v>456</v>
      </c>
      <c r="L39" s="50">
        <v>456</v>
      </c>
      <c r="M39" s="50">
        <v>456</v>
      </c>
      <c r="N39" s="50">
        <v>456</v>
      </c>
      <c r="O39" s="50">
        <v>456</v>
      </c>
      <c r="P39" s="50">
        <v>456</v>
      </c>
      <c r="Q39" s="50">
        <v>456</v>
      </c>
      <c r="R39" s="50">
        <v>456</v>
      </c>
      <c r="S39" s="50">
        <v>456</v>
      </c>
      <c r="T39" s="50">
        <v>456</v>
      </c>
      <c r="U39" s="50">
        <v>456</v>
      </c>
      <c r="V39" s="50">
        <v>456</v>
      </c>
      <c r="W39" s="50">
        <v>456</v>
      </c>
      <c r="X39" s="50">
        <v>456</v>
      </c>
      <c r="Y39" s="50">
        <v>456</v>
      </c>
      <c r="Z39" s="50">
        <v>456</v>
      </c>
      <c r="AA39" s="50">
        <v>456</v>
      </c>
      <c r="AB39" s="50">
        <v>456</v>
      </c>
      <c r="AC39" s="50">
        <v>456</v>
      </c>
      <c r="AD39" s="50">
        <v>456</v>
      </c>
      <c r="AE39" s="50">
        <v>456</v>
      </c>
      <c r="AF39" s="50">
        <v>456</v>
      </c>
      <c r="AG39" s="135">
        <v>456</v>
      </c>
      <c r="AH39" s="54">
        <f t="shared" si="2"/>
        <v>456</v>
      </c>
      <c r="AI39" s="55">
        <f t="shared" si="3"/>
        <v>456</v>
      </c>
      <c r="AK39" s="56"/>
    </row>
    <row r="40" spans="1:88" x14ac:dyDescent="0.25">
      <c r="A40" s="160" t="s">
        <v>131</v>
      </c>
      <c r="B40" s="48">
        <v>60</v>
      </c>
      <c r="C40" s="48">
        <v>60</v>
      </c>
      <c r="D40" s="48">
        <v>60</v>
      </c>
      <c r="E40" s="48">
        <v>60</v>
      </c>
      <c r="F40" s="48"/>
      <c r="G40" s="48">
        <v>60</v>
      </c>
      <c r="H40" s="48">
        <v>60</v>
      </c>
      <c r="I40" s="48">
        <v>60</v>
      </c>
      <c r="J40" s="48">
        <v>60</v>
      </c>
      <c r="K40" s="48">
        <v>60</v>
      </c>
      <c r="L40" s="48">
        <v>60</v>
      </c>
      <c r="M40" s="48">
        <v>60</v>
      </c>
      <c r="N40" s="48">
        <v>60</v>
      </c>
      <c r="O40" s="48">
        <v>60</v>
      </c>
      <c r="P40" s="48">
        <v>60</v>
      </c>
      <c r="Q40" s="48">
        <v>60</v>
      </c>
      <c r="R40" s="48">
        <v>60</v>
      </c>
      <c r="S40" s="48">
        <v>60</v>
      </c>
      <c r="T40" s="48">
        <v>60</v>
      </c>
      <c r="U40" s="48">
        <v>60</v>
      </c>
      <c r="V40" s="48">
        <v>60</v>
      </c>
      <c r="W40" s="48">
        <v>60</v>
      </c>
      <c r="X40" s="48">
        <v>60</v>
      </c>
      <c r="Y40" s="48">
        <v>60</v>
      </c>
      <c r="Z40" s="48">
        <v>60</v>
      </c>
      <c r="AA40" s="48">
        <v>60</v>
      </c>
      <c r="AB40" s="48">
        <v>60</v>
      </c>
      <c r="AC40" s="48">
        <v>60</v>
      </c>
      <c r="AD40" s="48">
        <v>60</v>
      </c>
      <c r="AE40" s="48">
        <v>60</v>
      </c>
      <c r="AF40" s="48">
        <v>60</v>
      </c>
      <c r="AG40" s="136">
        <v>60</v>
      </c>
      <c r="AH40" s="54">
        <f t="shared" si="2"/>
        <v>60</v>
      </c>
      <c r="AI40" s="55">
        <f t="shared" si="3"/>
        <v>60</v>
      </c>
      <c r="AK40" s="56"/>
    </row>
    <row r="41" spans="1:88" ht="15.75" thickBot="1" x14ac:dyDescent="0.3">
      <c r="A41" s="161" t="s">
        <v>132</v>
      </c>
      <c r="B41" s="70">
        <v>22</v>
      </c>
      <c r="C41" s="70">
        <v>22</v>
      </c>
      <c r="D41" s="70">
        <v>22</v>
      </c>
      <c r="E41" s="70">
        <v>22</v>
      </c>
      <c r="F41" s="70"/>
      <c r="G41" s="70">
        <v>22</v>
      </c>
      <c r="H41" s="70">
        <v>22</v>
      </c>
      <c r="I41" s="70">
        <v>22</v>
      </c>
      <c r="J41" s="70">
        <v>22</v>
      </c>
      <c r="K41" s="70">
        <v>22</v>
      </c>
      <c r="L41" s="70">
        <v>22</v>
      </c>
      <c r="M41" s="70">
        <v>22</v>
      </c>
      <c r="N41" s="70">
        <v>22</v>
      </c>
      <c r="O41" s="70">
        <v>22</v>
      </c>
      <c r="P41" s="70">
        <v>22</v>
      </c>
      <c r="Q41" s="70">
        <v>22</v>
      </c>
      <c r="R41" s="70">
        <v>22</v>
      </c>
      <c r="S41" s="70">
        <v>22</v>
      </c>
      <c r="T41" s="70">
        <v>22</v>
      </c>
      <c r="U41" s="70">
        <v>22</v>
      </c>
      <c r="V41" s="70">
        <v>22</v>
      </c>
      <c r="W41" s="70">
        <v>22</v>
      </c>
      <c r="X41" s="70">
        <v>22</v>
      </c>
      <c r="Y41" s="70">
        <v>22</v>
      </c>
      <c r="Z41" s="70">
        <v>22</v>
      </c>
      <c r="AA41" s="70">
        <v>22</v>
      </c>
      <c r="AB41" s="70">
        <v>22</v>
      </c>
      <c r="AC41" s="70">
        <v>22</v>
      </c>
      <c r="AD41" s="70">
        <v>22</v>
      </c>
      <c r="AE41" s="70">
        <v>22</v>
      </c>
      <c r="AF41" s="70">
        <v>22</v>
      </c>
      <c r="AG41" s="137">
        <v>22.1</v>
      </c>
      <c r="AH41" s="54">
        <f t="shared" si="2"/>
        <v>22</v>
      </c>
      <c r="AI41" s="55">
        <f t="shared" si="3"/>
        <v>22</v>
      </c>
      <c r="AK41" s="56"/>
    </row>
    <row r="42" spans="1:88" ht="15.75" thickBot="1" x14ac:dyDescent="0.3">
      <c r="A42" s="132" t="s">
        <v>129</v>
      </c>
      <c r="B42" s="66">
        <f>SUM(B39:B41)</f>
        <v>538</v>
      </c>
      <c r="C42" s="66">
        <f t="shared" ref="C42:AG42" si="6">SUM(C39:C41)</f>
        <v>538</v>
      </c>
      <c r="D42" s="66">
        <f t="shared" si="6"/>
        <v>538</v>
      </c>
      <c r="E42" s="66">
        <f t="shared" si="6"/>
        <v>538</v>
      </c>
      <c r="F42" s="66">
        <f t="shared" si="6"/>
        <v>0</v>
      </c>
      <c r="G42" s="66">
        <f t="shared" ref="G42" si="7">SUM(G39:G41)</f>
        <v>538</v>
      </c>
      <c r="H42" s="66">
        <f t="shared" si="6"/>
        <v>538</v>
      </c>
      <c r="I42" s="66">
        <f t="shared" si="6"/>
        <v>538</v>
      </c>
      <c r="J42" s="66">
        <f t="shared" si="6"/>
        <v>538</v>
      </c>
      <c r="K42" s="66">
        <f t="shared" si="6"/>
        <v>538</v>
      </c>
      <c r="L42" s="66">
        <f t="shared" si="6"/>
        <v>538</v>
      </c>
      <c r="M42" s="66">
        <f t="shared" si="6"/>
        <v>538</v>
      </c>
      <c r="N42" s="66">
        <f t="shared" si="6"/>
        <v>538</v>
      </c>
      <c r="O42" s="66">
        <f t="shared" si="6"/>
        <v>538</v>
      </c>
      <c r="P42" s="66">
        <f t="shared" si="6"/>
        <v>538</v>
      </c>
      <c r="Q42" s="66">
        <f t="shared" si="6"/>
        <v>538</v>
      </c>
      <c r="R42" s="66">
        <f t="shared" si="6"/>
        <v>538</v>
      </c>
      <c r="S42" s="66">
        <f t="shared" si="6"/>
        <v>538</v>
      </c>
      <c r="T42" s="66">
        <f t="shared" si="6"/>
        <v>538</v>
      </c>
      <c r="U42" s="66">
        <f t="shared" si="6"/>
        <v>538</v>
      </c>
      <c r="V42" s="66">
        <f t="shared" si="6"/>
        <v>538</v>
      </c>
      <c r="W42" s="66">
        <f t="shared" si="6"/>
        <v>538</v>
      </c>
      <c r="X42" s="66">
        <f t="shared" si="6"/>
        <v>538</v>
      </c>
      <c r="Y42" s="66">
        <f t="shared" si="6"/>
        <v>538</v>
      </c>
      <c r="Z42" s="66">
        <f t="shared" si="6"/>
        <v>538</v>
      </c>
      <c r="AA42" s="66">
        <f t="shared" si="6"/>
        <v>538</v>
      </c>
      <c r="AB42" s="66">
        <f t="shared" si="6"/>
        <v>538</v>
      </c>
      <c r="AC42" s="66">
        <f t="shared" si="6"/>
        <v>538</v>
      </c>
      <c r="AD42" s="66">
        <f t="shared" si="6"/>
        <v>538</v>
      </c>
      <c r="AE42" s="66">
        <f t="shared" si="6"/>
        <v>538</v>
      </c>
      <c r="AF42" s="66">
        <f t="shared" si="6"/>
        <v>538</v>
      </c>
      <c r="AG42" s="143">
        <f t="shared" si="6"/>
        <v>538.1</v>
      </c>
      <c r="AH42" s="54">
        <f t="shared" si="2"/>
        <v>538</v>
      </c>
      <c r="AI42" s="55">
        <f t="shared" si="3"/>
        <v>0</v>
      </c>
      <c r="AK42" s="56"/>
    </row>
    <row r="43" spans="1:88" x14ac:dyDescent="0.25">
      <c r="A43" s="57" t="s">
        <v>23</v>
      </c>
      <c r="B43" s="50">
        <v>141.5</v>
      </c>
      <c r="C43" s="50">
        <v>141.5</v>
      </c>
      <c r="D43" s="50">
        <v>141.5</v>
      </c>
      <c r="E43" s="50">
        <v>141.5</v>
      </c>
      <c r="F43" s="50"/>
      <c r="G43" s="50">
        <v>141.5</v>
      </c>
      <c r="H43" s="50">
        <v>142.19999999999999</v>
      </c>
      <c r="I43" s="50">
        <v>141.69999999999999</v>
      </c>
      <c r="J43" s="50">
        <v>141.69999999999999</v>
      </c>
      <c r="K43" s="50">
        <v>141.69999999999999</v>
      </c>
      <c r="L43" s="50">
        <v>141.69999999999999</v>
      </c>
      <c r="M43" s="50">
        <v>142.19999999999999</v>
      </c>
      <c r="N43" s="50">
        <v>142.5</v>
      </c>
      <c r="O43" s="50">
        <v>142.9</v>
      </c>
      <c r="P43" s="50">
        <v>143.19999999999999</v>
      </c>
      <c r="Q43" s="50">
        <v>143.19999999999999</v>
      </c>
      <c r="R43" s="50">
        <v>142.30000000000001</v>
      </c>
      <c r="S43" s="50">
        <v>142.30000000000001</v>
      </c>
      <c r="T43" s="50">
        <v>142.30000000000001</v>
      </c>
      <c r="U43" s="50">
        <v>142.30000000000001</v>
      </c>
      <c r="V43" s="50">
        <v>142.30000000000001</v>
      </c>
      <c r="W43" s="50">
        <v>142.30000000000001</v>
      </c>
      <c r="X43" s="50">
        <v>143.5</v>
      </c>
      <c r="Y43" s="50">
        <v>143.5</v>
      </c>
      <c r="Z43" s="50">
        <v>143.5</v>
      </c>
      <c r="AA43" s="50">
        <v>143.5</v>
      </c>
      <c r="AB43" s="50">
        <v>143.30000000000001</v>
      </c>
      <c r="AC43" s="50">
        <v>143.4</v>
      </c>
      <c r="AD43" s="50">
        <v>143.4</v>
      </c>
      <c r="AE43" s="50">
        <v>143.19999999999999</v>
      </c>
      <c r="AF43" s="50">
        <v>143.1</v>
      </c>
      <c r="AG43" s="135">
        <v>144</v>
      </c>
      <c r="AH43" s="54">
        <f t="shared" si="2"/>
        <v>143.5</v>
      </c>
      <c r="AI43" s="55">
        <f t="shared" si="3"/>
        <v>141.5</v>
      </c>
      <c r="AK43" s="56"/>
    </row>
    <row r="44" spans="1:88" x14ac:dyDescent="0.25">
      <c r="A44" s="60" t="s">
        <v>24</v>
      </c>
      <c r="B44" s="48">
        <v>72.599999999999994</v>
      </c>
      <c r="C44" s="48">
        <v>72.599999999999994</v>
      </c>
      <c r="D44" s="48">
        <v>72.599999999999994</v>
      </c>
      <c r="E44" s="48">
        <v>72.599999999999994</v>
      </c>
      <c r="F44" s="48"/>
      <c r="G44" s="48">
        <v>72.599999999999994</v>
      </c>
      <c r="H44" s="48">
        <v>70.8</v>
      </c>
      <c r="I44" s="48">
        <v>70.599999999999994</v>
      </c>
      <c r="J44" s="48">
        <v>70.599999999999994</v>
      </c>
      <c r="K44" s="48">
        <v>70.599999999999994</v>
      </c>
      <c r="L44" s="48">
        <v>70.599999999999994</v>
      </c>
      <c r="M44" s="50">
        <v>70.900000000000006</v>
      </c>
      <c r="N44" s="50">
        <v>71.599999999999994</v>
      </c>
      <c r="O44" s="50">
        <v>70.599999999999994</v>
      </c>
      <c r="P44" s="50">
        <v>71.2</v>
      </c>
      <c r="Q44" s="50">
        <v>72.099999999999994</v>
      </c>
      <c r="R44" s="50">
        <v>73</v>
      </c>
      <c r="S44" s="50">
        <v>73</v>
      </c>
      <c r="T44" s="50">
        <v>73</v>
      </c>
      <c r="U44" s="50">
        <v>73</v>
      </c>
      <c r="V44" s="50">
        <v>73</v>
      </c>
      <c r="W44" s="50">
        <v>73</v>
      </c>
      <c r="X44" s="50">
        <v>73</v>
      </c>
      <c r="Y44" s="50">
        <v>73</v>
      </c>
      <c r="Z44" s="50">
        <v>73</v>
      </c>
      <c r="AA44" s="50">
        <v>73</v>
      </c>
      <c r="AB44" s="48">
        <v>72.099999999999994</v>
      </c>
      <c r="AC44" s="48">
        <v>70.400000000000006</v>
      </c>
      <c r="AD44" s="48">
        <v>70.8</v>
      </c>
      <c r="AE44" s="48">
        <v>71.099999999999994</v>
      </c>
      <c r="AF44" s="48">
        <v>70.8</v>
      </c>
      <c r="AG44" s="136">
        <v>70</v>
      </c>
      <c r="AH44" s="54">
        <f t="shared" si="2"/>
        <v>73</v>
      </c>
      <c r="AI44" s="55">
        <f t="shared" si="3"/>
        <v>70.400000000000006</v>
      </c>
      <c r="AK44" s="56"/>
    </row>
    <row r="45" spans="1:88" x14ac:dyDescent="0.25">
      <c r="A45" s="60" t="s">
        <v>25</v>
      </c>
      <c r="B45" s="48">
        <v>64.099999999999994</v>
      </c>
      <c r="C45" s="48">
        <v>64.099999999999994</v>
      </c>
      <c r="D45" s="48">
        <v>64.099999999999994</v>
      </c>
      <c r="E45" s="48">
        <v>64.099999999999994</v>
      </c>
      <c r="F45" s="48"/>
      <c r="G45" s="48">
        <v>64.099999999999994</v>
      </c>
      <c r="H45" s="48">
        <v>49.3</v>
      </c>
      <c r="I45" s="48">
        <v>49.8</v>
      </c>
      <c r="J45" s="48">
        <v>49.8</v>
      </c>
      <c r="K45" s="48">
        <v>49.8</v>
      </c>
      <c r="L45" s="48">
        <v>49.8</v>
      </c>
      <c r="M45" s="50">
        <v>65</v>
      </c>
      <c r="N45" s="50">
        <v>63.8</v>
      </c>
      <c r="O45" s="50">
        <v>64.2</v>
      </c>
      <c r="P45" s="50">
        <v>64.3</v>
      </c>
      <c r="Q45" s="50">
        <v>64.2</v>
      </c>
      <c r="R45" s="50">
        <v>64.599999999999994</v>
      </c>
      <c r="S45" s="50">
        <v>64.599999999999994</v>
      </c>
      <c r="T45" s="50">
        <v>64.599999999999994</v>
      </c>
      <c r="U45" s="50">
        <v>64.599999999999994</v>
      </c>
      <c r="V45" s="50">
        <v>64.599999999999994</v>
      </c>
      <c r="W45" s="50">
        <v>64.599999999999994</v>
      </c>
      <c r="X45" s="50">
        <v>64.599999999999994</v>
      </c>
      <c r="Y45" s="50">
        <v>64.599999999999994</v>
      </c>
      <c r="Z45" s="50">
        <v>64.599999999999994</v>
      </c>
      <c r="AA45" s="50">
        <v>64.599999999999994</v>
      </c>
      <c r="AB45" s="48">
        <v>64.3</v>
      </c>
      <c r="AC45" s="48">
        <v>64.5</v>
      </c>
      <c r="AD45" s="48">
        <v>64.7</v>
      </c>
      <c r="AE45" s="48">
        <v>64.5</v>
      </c>
      <c r="AF45" s="48">
        <v>64.3</v>
      </c>
      <c r="AG45" s="136">
        <v>69</v>
      </c>
      <c r="AH45" s="54">
        <f t="shared" si="2"/>
        <v>65</v>
      </c>
      <c r="AI45" s="55">
        <f t="shared" si="3"/>
        <v>49.3</v>
      </c>
      <c r="AK45" s="56"/>
    </row>
    <row r="46" spans="1:88" x14ac:dyDescent="0.25">
      <c r="A46" s="60" t="s">
        <v>26</v>
      </c>
      <c r="B46" s="62">
        <v>60.2</v>
      </c>
      <c r="C46" s="62">
        <v>60.2</v>
      </c>
      <c r="D46" s="62">
        <v>60.2</v>
      </c>
      <c r="E46" s="62">
        <v>60.2</v>
      </c>
      <c r="F46" s="62"/>
      <c r="G46" s="62">
        <v>60.2</v>
      </c>
      <c r="H46" s="62">
        <v>60.2</v>
      </c>
      <c r="I46" s="62">
        <v>60.2</v>
      </c>
      <c r="J46" s="62">
        <v>60.2</v>
      </c>
      <c r="K46" s="62">
        <v>60.2</v>
      </c>
      <c r="L46" s="62">
        <v>60.2</v>
      </c>
      <c r="M46" s="50">
        <v>59.5</v>
      </c>
      <c r="N46" s="50">
        <v>59.5</v>
      </c>
      <c r="O46" s="50">
        <v>60</v>
      </c>
      <c r="P46" s="50">
        <v>60</v>
      </c>
      <c r="Q46" s="50">
        <v>59.5</v>
      </c>
      <c r="R46" s="50">
        <v>60.2</v>
      </c>
      <c r="S46" s="50">
        <v>60.2</v>
      </c>
      <c r="T46" s="50">
        <v>60.2</v>
      </c>
      <c r="U46" s="50">
        <v>60.2</v>
      </c>
      <c r="V46" s="50">
        <v>60.2</v>
      </c>
      <c r="W46" s="50">
        <v>60.2</v>
      </c>
      <c r="X46" s="50">
        <v>60.2</v>
      </c>
      <c r="Y46" s="50">
        <v>60.2</v>
      </c>
      <c r="Z46" s="50">
        <v>60.2</v>
      </c>
      <c r="AA46" s="50">
        <v>60.2</v>
      </c>
      <c r="AB46" s="62">
        <v>60.4</v>
      </c>
      <c r="AC46" s="62">
        <v>60.4</v>
      </c>
      <c r="AD46" s="62">
        <v>60.7</v>
      </c>
      <c r="AE46" s="62">
        <v>60.4</v>
      </c>
      <c r="AF46" s="62">
        <v>60.2</v>
      </c>
      <c r="AG46" s="136">
        <v>60</v>
      </c>
      <c r="AH46" s="54">
        <f t="shared" si="2"/>
        <v>60.7</v>
      </c>
      <c r="AI46" s="55">
        <f t="shared" si="3"/>
        <v>59.5</v>
      </c>
      <c r="AK46" s="56"/>
    </row>
    <row r="47" spans="1:88" x14ac:dyDescent="0.25">
      <c r="A47" s="60" t="s">
        <v>27</v>
      </c>
      <c r="B47" s="62">
        <v>28.6</v>
      </c>
      <c r="C47" s="62">
        <v>28.6</v>
      </c>
      <c r="D47" s="62">
        <v>28.6</v>
      </c>
      <c r="E47" s="62">
        <v>28.6</v>
      </c>
      <c r="F47" s="62"/>
      <c r="G47" s="62">
        <v>28.6</v>
      </c>
      <c r="H47" s="62">
        <v>28.6</v>
      </c>
      <c r="I47" s="62">
        <v>28.6</v>
      </c>
      <c r="J47" s="62">
        <v>28.6</v>
      </c>
      <c r="K47" s="62">
        <v>28.6</v>
      </c>
      <c r="L47" s="62">
        <v>28.6</v>
      </c>
      <c r="M47" s="50">
        <v>28.4</v>
      </c>
      <c r="N47" s="50">
        <v>28.6</v>
      </c>
      <c r="O47" s="50">
        <v>28.7</v>
      </c>
      <c r="P47" s="50">
        <v>28.7</v>
      </c>
      <c r="Q47" s="50">
        <v>28.8</v>
      </c>
      <c r="R47" s="50">
        <v>28.7</v>
      </c>
      <c r="S47" s="50">
        <v>28.7</v>
      </c>
      <c r="T47" s="50">
        <v>28.7</v>
      </c>
      <c r="U47" s="50">
        <v>28.7</v>
      </c>
      <c r="V47" s="50">
        <v>28.7</v>
      </c>
      <c r="W47" s="50">
        <v>28.7</v>
      </c>
      <c r="X47" s="50">
        <v>28.7</v>
      </c>
      <c r="Y47" s="50">
        <v>28.7</v>
      </c>
      <c r="Z47" s="50">
        <v>28.7</v>
      </c>
      <c r="AA47" s="50">
        <v>28.7</v>
      </c>
      <c r="AB47" s="62">
        <v>28.7</v>
      </c>
      <c r="AC47" s="62">
        <v>28.7</v>
      </c>
      <c r="AD47" s="62">
        <v>28.7</v>
      </c>
      <c r="AE47" s="62">
        <v>28.6</v>
      </c>
      <c r="AF47" s="62">
        <v>28.9</v>
      </c>
      <c r="AG47" s="136">
        <v>30</v>
      </c>
      <c r="AH47" s="54">
        <f t="shared" si="2"/>
        <v>28.9</v>
      </c>
      <c r="AI47" s="55">
        <f t="shared" si="3"/>
        <v>28.4</v>
      </c>
      <c r="AK47" s="56"/>
    </row>
    <row r="48" spans="1:88" x14ac:dyDescent="0.25">
      <c r="A48" s="60" t="s">
        <v>28</v>
      </c>
      <c r="B48" s="48">
        <v>0</v>
      </c>
      <c r="C48" s="48">
        <v>0</v>
      </c>
      <c r="D48" s="48">
        <v>0</v>
      </c>
      <c r="E48" s="48">
        <v>0</v>
      </c>
      <c r="F48" s="62"/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48">
        <v>0</v>
      </c>
      <c r="M48" s="50">
        <v>4</v>
      </c>
      <c r="N48" s="50">
        <v>8</v>
      </c>
      <c r="O48" s="50">
        <v>8</v>
      </c>
      <c r="P48" s="50">
        <v>8</v>
      </c>
      <c r="Q48" s="50">
        <v>8</v>
      </c>
      <c r="R48" s="50">
        <v>8</v>
      </c>
      <c r="S48" s="50">
        <v>8</v>
      </c>
      <c r="T48" s="50">
        <v>8</v>
      </c>
      <c r="U48" s="50">
        <v>8</v>
      </c>
      <c r="V48" s="50">
        <v>8</v>
      </c>
      <c r="W48" s="50">
        <v>8</v>
      </c>
      <c r="X48" s="50">
        <v>0</v>
      </c>
      <c r="Y48" s="50">
        <v>0</v>
      </c>
      <c r="Z48" s="50">
        <v>0</v>
      </c>
      <c r="AA48" s="50">
        <v>0</v>
      </c>
      <c r="AB48" s="48">
        <v>0</v>
      </c>
      <c r="AC48" s="48">
        <v>0</v>
      </c>
      <c r="AD48" s="48">
        <v>0</v>
      </c>
      <c r="AE48" s="48">
        <v>0</v>
      </c>
      <c r="AF48" s="48">
        <v>0</v>
      </c>
      <c r="AG48" s="136">
        <v>25</v>
      </c>
      <c r="AH48" s="54">
        <f t="shared" si="2"/>
        <v>8</v>
      </c>
      <c r="AI48" s="55">
        <f t="shared" si="3"/>
        <v>0</v>
      </c>
      <c r="AK48" s="56"/>
    </row>
    <row r="49" spans="1:41" x14ac:dyDescent="0.25">
      <c r="A49" s="60" t="s">
        <v>29</v>
      </c>
      <c r="B49" s="48">
        <v>14.9</v>
      </c>
      <c r="C49" s="48">
        <v>14.9</v>
      </c>
      <c r="D49" s="48">
        <v>14.9</v>
      </c>
      <c r="E49" s="48">
        <v>14.9</v>
      </c>
      <c r="F49" s="48"/>
      <c r="G49" s="48">
        <v>14.9</v>
      </c>
      <c r="H49" s="48">
        <v>14.9</v>
      </c>
      <c r="I49" s="48">
        <v>14.9</v>
      </c>
      <c r="J49" s="48">
        <v>14.9</v>
      </c>
      <c r="K49" s="48">
        <v>14.9</v>
      </c>
      <c r="L49" s="48">
        <v>14.9</v>
      </c>
      <c r="M49" s="50">
        <v>14.6</v>
      </c>
      <c r="N49" s="50">
        <v>14.6</v>
      </c>
      <c r="O49" s="50">
        <v>14.6</v>
      </c>
      <c r="P49" s="50">
        <v>14.6</v>
      </c>
      <c r="Q49" s="50">
        <v>13.6</v>
      </c>
      <c r="R49" s="50">
        <v>14.3</v>
      </c>
      <c r="S49" s="50">
        <v>10</v>
      </c>
      <c r="T49" s="50">
        <v>14.3</v>
      </c>
      <c r="U49" s="50">
        <v>14.3</v>
      </c>
      <c r="V49" s="50">
        <v>14.3</v>
      </c>
      <c r="W49" s="50">
        <v>14.3</v>
      </c>
      <c r="X49" s="50">
        <v>14.3</v>
      </c>
      <c r="Y49" s="50">
        <v>14.3</v>
      </c>
      <c r="Z49" s="50">
        <v>14.3</v>
      </c>
      <c r="AA49" s="50">
        <v>14.3</v>
      </c>
      <c r="AB49" s="48">
        <v>14.8</v>
      </c>
      <c r="AC49" s="48">
        <v>14.8</v>
      </c>
      <c r="AD49" s="48">
        <v>14.8</v>
      </c>
      <c r="AE49" s="48">
        <v>14.8</v>
      </c>
      <c r="AF49" s="48">
        <v>14.9</v>
      </c>
      <c r="AG49" s="136">
        <v>24</v>
      </c>
      <c r="AH49" s="54">
        <f t="shared" si="2"/>
        <v>14.9</v>
      </c>
      <c r="AI49" s="55">
        <f t="shared" si="3"/>
        <v>10</v>
      </c>
      <c r="AK49" s="56"/>
    </row>
    <row r="50" spans="1:41" x14ac:dyDescent="0.25">
      <c r="A50" s="60" t="s">
        <v>30</v>
      </c>
      <c r="B50" s="48">
        <v>3</v>
      </c>
      <c r="C50" s="48">
        <v>3</v>
      </c>
      <c r="D50" s="48">
        <v>3</v>
      </c>
      <c r="E50" s="48">
        <v>3</v>
      </c>
      <c r="F50" s="48"/>
      <c r="G50" s="48">
        <v>3</v>
      </c>
      <c r="H50" s="48">
        <v>3</v>
      </c>
      <c r="I50" s="48">
        <v>3</v>
      </c>
      <c r="J50" s="48">
        <v>3</v>
      </c>
      <c r="K50" s="48">
        <v>3</v>
      </c>
      <c r="L50" s="48">
        <v>3</v>
      </c>
      <c r="M50" s="50">
        <v>3</v>
      </c>
      <c r="N50" s="50">
        <v>3</v>
      </c>
      <c r="O50" s="50">
        <v>3</v>
      </c>
      <c r="P50" s="50">
        <v>3</v>
      </c>
      <c r="Q50" s="50">
        <v>3</v>
      </c>
      <c r="R50" s="50">
        <v>3</v>
      </c>
      <c r="S50" s="50">
        <v>3</v>
      </c>
      <c r="T50" s="50">
        <v>3</v>
      </c>
      <c r="U50" s="50">
        <v>3</v>
      </c>
      <c r="V50" s="50">
        <v>3</v>
      </c>
      <c r="W50" s="50">
        <v>3</v>
      </c>
      <c r="X50" s="50">
        <v>3</v>
      </c>
      <c r="Y50" s="50">
        <v>3</v>
      </c>
      <c r="Z50" s="50">
        <v>3</v>
      </c>
      <c r="AA50" s="50">
        <v>3</v>
      </c>
      <c r="AB50" s="50">
        <v>3</v>
      </c>
      <c r="AC50" s="50">
        <v>3</v>
      </c>
      <c r="AD50" s="50">
        <v>3</v>
      </c>
      <c r="AE50" s="50">
        <v>3</v>
      </c>
      <c r="AF50" s="50">
        <v>3</v>
      </c>
      <c r="AG50" s="136">
        <v>15</v>
      </c>
      <c r="AH50" s="54">
        <f t="shared" si="2"/>
        <v>3</v>
      </c>
      <c r="AI50" s="55">
        <f t="shared" si="3"/>
        <v>3</v>
      </c>
      <c r="AK50" s="56"/>
      <c r="AL50" s="67"/>
      <c r="AO50" s="67"/>
    </row>
    <row r="51" spans="1:41" s="67" customFormat="1" x14ac:dyDescent="0.25">
      <c r="A51" s="60" t="s">
        <v>31</v>
      </c>
      <c r="B51" s="48">
        <v>10.3</v>
      </c>
      <c r="C51" s="48">
        <v>10.3</v>
      </c>
      <c r="D51" s="48">
        <v>10.3</v>
      </c>
      <c r="E51" s="48">
        <v>10.3</v>
      </c>
      <c r="F51" s="48"/>
      <c r="G51" s="48">
        <v>10.3</v>
      </c>
      <c r="H51" s="48">
        <v>10.3</v>
      </c>
      <c r="I51" s="48">
        <v>10.3</v>
      </c>
      <c r="J51" s="48">
        <v>10.3</v>
      </c>
      <c r="K51" s="48">
        <v>10.3</v>
      </c>
      <c r="L51" s="48">
        <v>10.3</v>
      </c>
      <c r="M51" s="50">
        <v>10.3</v>
      </c>
      <c r="N51" s="50">
        <v>10.3</v>
      </c>
      <c r="O51" s="50">
        <v>10.3</v>
      </c>
      <c r="P51" s="50">
        <v>10.3</v>
      </c>
      <c r="Q51" s="50">
        <v>10.3</v>
      </c>
      <c r="R51" s="50">
        <v>10.3</v>
      </c>
      <c r="S51" s="50">
        <v>10.3</v>
      </c>
      <c r="T51" s="50">
        <v>10.3</v>
      </c>
      <c r="U51" s="50">
        <v>10.3</v>
      </c>
      <c r="V51" s="50">
        <v>10.3</v>
      </c>
      <c r="W51" s="50">
        <v>10.3</v>
      </c>
      <c r="X51" s="50">
        <v>10.3</v>
      </c>
      <c r="Y51" s="50">
        <v>10.3</v>
      </c>
      <c r="Z51" s="50">
        <v>10.3</v>
      </c>
      <c r="AA51" s="50">
        <v>10.3</v>
      </c>
      <c r="AB51" s="50">
        <v>10.3</v>
      </c>
      <c r="AC51" s="50">
        <v>10.3</v>
      </c>
      <c r="AD51" s="50">
        <v>10.3</v>
      </c>
      <c r="AE51" s="50">
        <v>10.3</v>
      </c>
      <c r="AF51" s="50">
        <v>10.3</v>
      </c>
      <c r="AG51" s="136">
        <v>14.1</v>
      </c>
      <c r="AH51" s="54">
        <f t="shared" si="2"/>
        <v>10.3</v>
      </c>
      <c r="AI51" s="55">
        <f t="shared" si="3"/>
        <v>10.3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>
        <v>14.1</v>
      </c>
      <c r="C52" s="48">
        <v>14.1</v>
      </c>
      <c r="D52" s="48">
        <v>14.1</v>
      </c>
      <c r="E52" s="48">
        <v>14.1</v>
      </c>
      <c r="F52" s="48"/>
      <c r="G52" s="48">
        <v>14.1</v>
      </c>
      <c r="H52" s="48">
        <v>14.1</v>
      </c>
      <c r="I52" s="48">
        <v>14.1</v>
      </c>
      <c r="J52" s="48">
        <v>14.1</v>
      </c>
      <c r="K52" s="48">
        <v>14.1</v>
      </c>
      <c r="L52" s="48">
        <v>14.1</v>
      </c>
      <c r="M52" s="48">
        <v>14.1</v>
      </c>
      <c r="N52" s="48">
        <v>13.4</v>
      </c>
      <c r="O52" s="48">
        <v>7</v>
      </c>
      <c r="P52" s="48">
        <v>7</v>
      </c>
      <c r="Q52" s="48">
        <v>7</v>
      </c>
      <c r="R52" s="48">
        <v>7</v>
      </c>
      <c r="S52" s="48">
        <v>7</v>
      </c>
      <c r="T52" s="48">
        <v>7</v>
      </c>
      <c r="U52" s="48">
        <v>7</v>
      </c>
      <c r="V52" s="48">
        <v>7</v>
      </c>
      <c r="W52" s="48">
        <v>7</v>
      </c>
      <c r="X52" s="48">
        <v>7</v>
      </c>
      <c r="Y52" s="48">
        <v>7</v>
      </c>
      <c r="Z52" s="48">
        <v>7</v>
      </c>
      <c r="AA52" s="48">
        <v>7</v>
      </c>
      <c r="AB52" s="48">
        <v>7</v>
      </c>
      <c r="AC52" s="48">
        <v>7</v>
      </c>
      <c r="AD52" s="48">
        <v>7</v>
      </c>
      <c r="AE52" s="48">
        <v>7</v>
      </c>
      <c r="AF52" s="48">
        <v>7</v>
      </c>
      <c r="AG52" s="136">
        <v>14</v>
      </c>
      <c r="AH52" s="54">
        <f t="shared" si="2"/>
        <v>14.1</v>
      </c>
      <c r="AI52" s="55">
        <f t="shared" si="3"/>
        <v>7</v>
      </c>
      <c r="AK52" s="56"/>
    </row>
    <row r="53" spans="1:41" x14ac:dyDescent="0.25">
      <c r="A53" s="60" t="s">
        <v>33</v>
      </c>
      <c r="B53" s="48">
        <v>6</v>
      </c>
      <c r="C53" s="48">
        <v>6</v>
      </c>
      <c r="D53" s="48">
        <v>6</v>
      </c>
      <c r="E53" s="48">
        <v>6</v>
      </c>
      <c r="F53" s="48"/>
      <c r="G53" s="48">
        <v>6</v>
      </c>
      <c r="H53" s="48">
        <v>6</v>
      </c>
      <c r="I53" s="48">
        <v>6</v>
      </c>
      <c r="J53" s="48">
        <v>6</v>
      </c>
      <c r="K53" s="48">
        <v>6</v>
      </c>
      <c r="L53" s="48">
        <v>6</v>
      </c>
      <c r="M53" s="48">
        <v>6</v>
      </c>
      <c r="N53" s="48">
        <v>6</v>
      </c>
      <c r="O53" s="48">
        <v>6</v>
      </c>
      <c r="P53" s="48">
        <v>6</v>
      </c>
      <c r="Q53" s="48">
        <v>6</v>
      </c>
      <c r="R53" s="48">
        <v>6</v>
      </c>
      <c r="S53" s="48">
        <v>6</v>
      </c>
      <c r="T53" s="48">
        <v>6</v>
      </c>
      <c r="U53" s="48">
        <v>6</v>
      </c>
      <c r="V53" s="48">
        <v>6</v>
      </c>
      <c r="W53" s="48">
        <v>6</v>
      </c>
      <c r="X53" s="48">
        <v>6</v>
      </c>
      <c r="Y53" s="48">
        <v>6</v>
      </c>
      <c r="Z53" s="48">
        <v>6</v>
      </c>
      <c r="AA53" s="48">
        <v>6</v>
      </c>
      <c r="AB53" s="48">
        <v>6</v>
      </c>
      <c r="AC53" s="48">
        <v>6</v>
      </c>
      <c r="AD53" s="48">
        <v>6</v>
      </c>
      <c r="AE53" s="48">
        <v>6</v>
      </c>
      <c r="AF53" s="48">
        <v>6</v>
      </c>
      <c r="AG53" s="136">
        <v>10.050000000000001</v>
      </c>
      <c r="AH53" s="54">
        <f t="shared" si="2"/>
        <v>6</v>
      </c>
      <c r="AI53" s="55">
        <f t="shared" si="3"/>
        <v>6</v>
      </c>
      <c r="AK53" s="56"/>
    </row>
    <row r="54" spans="1:41" x14ac:dyDescent="0.25">
      <c r="A54" s="60" t="s">
        <v>34</v>
      </c>
      <c r="B54" s="48">
        <v>6.2</v>
      </c>
      <c r="C54" s="48">
        <v>6.2</v>
      </c>
      <c r="D54" s="48">
        <v>6.2</v>
      </c>
      <c r="E54" s="48">
        <v>6.2</v>
      </c>
      <c r="F54" s="48"/>
      <c r="G54" s="48">
        <v>6.2</v>
      </c>
      <c r="H54" s="48">
        <v>6.2</v>
      </c>
      <c r="I54" s="48">
        <v>6.2</v>
      </c>
      <c r="J54" s="48">
        <v>6.2</v>
      </c>
      <c r="K54" s="48">
        <v>6.2</v>
      </c>
      <c r="L54" s="48">
        <v>6.2</v>
      </c>
      <c r="M54" s="48">
        <v>6.2</v>
      </c>
      <c r="N54" s="48">
        <v>6.2</v>
      </c>
      <c r="O54" s="48">
        <v>6.2</v>
      </c>
      <c r="P54" s="48">
        <v>6.2</v>
      </c>
      <c r="Q54" s="48">
        <v>6.2</v>
      </c>
      <c r="R54" s="48">
        <v>6.2</v>
      </c>
      <c r="S54" s="48">
        <v>6.2</v>
      </c>
      <c r="T54" s="48">
        <v>6.2</v>
      </c>
      <c r="U54" s="48">
        <v>6.2</v>
      </c>
      <c r="V54" s="48">
        <v>6.2</v>
      </c>
      <c r="W54" s="48">
        <v>6.2</v>
      </c>
      <c r="X54" s="48">
        <v>6.2</v>
      </c>
      <c r="Y54" s="48">
        <v>6.2</v>
      </c>
      <c r="Z54" s="48">
        <v>6.2</v>
      </c>
      <c r="AA54" s="48">
        <v>6.2</v>
      </c>
      <c r="AB54" s="48">
        <v>6.2</v>
      </c>
      <c r="AC54" s="48">
        <v>6.2</v>
      </c>
      <c r="AD54" s="48">
        <v>6.2</v>
      </c>
      <c r="AE54" s="48">
        <v>6.2</v>
      </c>
      <c r="AF54" s="48">
        <v>6.2</v>
      </c>
      <c r="AG54" s="136">
        <v>6.2</v>
      </c>
      <c r="AH54" s="54">
        <f t="shared" si="2"/>
        <v>6.2</v>
      </c>
      <c r="AI54" s="55">
        <f t="shared" si="3"/>
        <v>6.2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8">AG221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>SUM(B43:B55)</f>
        <v>425.04</v>
      </c>
      <c r="C56" s="66">
        <f t="shared" ref="C56:AG56" si="9">SUM(C43:C55)</f>
        <v>425.04</v>
      </c>
      <c r="D56" s="66">
        <f t="shared" si="9"/>
        <v>425.04</v>
      </c>
      <c r="E56" s="66">
        <f t="shared" si="9"/>
        <v>425.04</v>
      </c>
      <c r="F56" s="66">
        <f t="shared" si="9"/>
        <v>3.54</v>
      </c>
      <c r="G56" s="66">
        <f t="shared" ref="G56" si="10">SUM(G43:G55)</f>
        <v>425.04</v>
      </c>
      <c r="H56" s="66">
        <f t="shared" si="9"/>
        <v>409.14000000000004</v>
      </c>
      <c r="I56" s="66">
        <f t="shared" si="9"/>
        <v>408.94</v>
      </c>
      <c r="J56" s="66">
        <f t="shared" si="9"/>
        <v>408.94</v>
      </c>
      <c r="K56" s="66">
        <f t="shared" si="9"/>
        <v>408.94</v>
      </c>
      <c r="L56" s="66">
        <f t="shared" si="9"/>
        <v>408.94</v>
      </c>
      <c r="M56" s="66">
        <f t="shared" si="9"/>
        <v>427.74000000000007</v>
      </c>
      <c r="N56" s="66">
        <f t="shared" si="9"/>
        <v>431.04</v>
      </c>
      <c r="O56" s="66">
        <f t="shared" si="9"/>
        <v>425.04</v>
      </c>
      <c r="P56" s="66">
        <f t="shared" si="9"/>
        <v>426.04</v>
      </c>
      <c r="Q56" s="66">
        <f t="shared" si="9"/>
        <v>425.44000000000005</v>
      </c>
      <c r="R56" s="66">
        <f t="shared" si="9"/>
        <v>427.14</v>
      </c>
      <c r="S56" s="66">
        <f t="shared" si="9"/>
        <v>422.84</v>
      </c>
      <c r="T56" s="66">
        <f t="shared" si="9"/>
        <v>427.14</v>
      </c>
      <c r="U56" s="66">
        <f t="shared" si="9"/>
        <v>427.14</v>
      </c>
      <c r="V56" s="66">
        <f t="shared" si="9"/>
        <v>427.14</v>
      </c>
      <c r="W56" s="66">
        <f t="shared" si="9"/>
        <v>427.14</v>
      </c>
      <c r="X56" s="66">
        <f t="shared" si="9"/>
        <v>420.34000000000003</v>
      </c>
      <c r="Y56" s="66">
        <f t="shared" si="9"/>
        <v>420.34000000000003</v>
      </c>
      <c r="Z56" s="66">
        <f t="shared" si="9"/>
        <v>420.34000000000003</v>
      </c>
      <c r="AA56" s="66">
        <f t="shared" si="9"/>
        <v>420.34000000000003</v>
      </c>
      <c r="AB56" s="66">
        <f t="shared" si="9"/>
        <v>419.64</v>
      </c>
      <c r="AC56" s="66">
        <f t="shared" si="9"/>
        <v>418.24</v>
      </c>
      <c r="AD56" s="66">
        <f t="shared" si="9"/>
        <v>419.14</v>
      </c>
      <c r="AE56" s="66">
        <f t="shared" si="9"/>
        <v>418.64</v>
      </c>
      <c r="AF56" s="66">
        <f t="shared" si="9"/>
        <v>418.23999999999995</v>
      </c>
      <c r="AG56" s="143">
        <f t="shared" si="9"/>
        <v>489.91</v>
      </c>
      <c r="AH56" s="54">
        <f t="shared" si="2"/>
        <v>431.04</v>
      </c>
      <c r="AI56" s="55">
        <f t="shared" si="3"/>
        <v>3.54</v>
      </c>
      <c r="AK56" s="56"/>
    </row>
    <row r="57" spans="1:41" x14ac:dyDescent="0.25">
      <c r="A57" s="57" t="s">
        <v>37</v>
      </c>
      <c r="B57" s="50">
        <v>0</v>
      </c>
      <c r="C57" s="50">
        <v>0</v>
      </c>
      <c r="D57" s="50">
        <v>0</v>
      </c>
      <c r="E57" s="50">
        <v>0</v>
      </c>
      <c r="F57" s="50"/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50">
        <v>20</v>
      </c>
      <c r="P57" s="50">
        <v>14</v>
      </c>
      <c r="Q57" s="50">
        <v>25.6</v>
      </c>
      <c r="R57" s="50">
        <v>0</v>
      </c>
      <c r="S57" s="50">
        <v>0</v>
      </c>
      <c r="T57" s="50">
        <v>60</v>
      </c>
      <c r="U57" s="50">
        <v>50</v>
      </c>
      <c r="V57" s="50">
        <v>35</v>
      </c>
      <c r="W57" s="50">
        <v>39</v>
      </c>
      <c r="X57" s="50">
        <v>34</v>
      </c>
      <c r="Y57" s="50">
        <v>29.9</v>
      </c>
      <c r="Z57" s="50">
        <v>60</v>
      </c>
      <c r="AA57" s="50">
        <v>59.5</v>
      </c>
      <c r="AB57" s="50">
        <v>59.4</v>
      </c>
      <c r="AC57" s="50">
        <v>50</v>
      </c>
      <c r="AD57" s="50">
        <v>38.5</v>
      </c>
      <c r="AE57" s="50">
        <v>14</v>
      </c>
      <c r="AF57" s="50">
        <v>0</v>
      </c>
      <c r="AG57" s="135">
        <v>60</v>
      </c>
      <c r="AH57" s="54">
        <f t="shared" si="2"/>
        <v>60</v>
      </c>
      <c r="AI57" s="55">
        <f t="shared" si="3"/>
        <v>0</v>
      </c>
      <c r="AK57" s="56"/>
    </row>
    <row r="58" spans="1:41" x14ac:dyDescent="0.25">
      <c r="A58" s="60" t="s">
        <v>38</v>
      </c>
      <c r="B58" s="48">
        <v>0</v>
      </c>
      <c r="C58" s="48">
        <v>0</v>
      </c>
      <c r="D58" s="48">
        <v>0</v>
      </c>
      <c r="E58" s="48">
        <v>0</v>
      </c>
      <c r="F58" s="48"/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15.7</v>
      </c>
      <c r="P58" s="48">
        <v>7.1</v>
      </c>
      <c r="Q58" s="48">
        <v>7.9</v>
      </c>
      <c r="R58" s="48">
        <v>5</v>
      </c>
      <c r="S58" s="48">
        <v>0</v>
      </c>
      <c r="T58" s="48">
        <v>31</v>
      </c>
      <c r="U58" s="48">
        <v>24</v>
      </c>
      <c r="V58" s="48">
        <v>22</v>
      </c>
      <c r="W58" s="48">
        <v>20</v>
      </c>
      <c r="X58" s="48">
        <v>16</v>
      </c>
      <c r="Y58" s="48">
        <v>5.5</v>
      </c>
      <c r="Z58" s="48">
        <v>20.399999999999999</v>
      </c>
      <c r="AA58" s="48">
        <v>30.4</v>
      </c>
      <c r="AB58" s="48">
        <v>30.3</v>
      </c>
      <c r="AC58" s="48">
        <v>15.5</v>
      </c>
      <c r="AD58" s="48">
        <v>19.3</v>
      </c>
      <c r="AE58" s="48">
        <v>5.8</v>
      </c>
      <c r="AF58" s="48">
        <v>0</v>
      </c>
      <c r="AG58" s="136">
        <v>32</v>
      </c>
      <c r="AH58" s="54">
        <f t="shared" si="2"/>
        <v>31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>
        <v>0</v>
      </c>
      <c r="C59" s="70">
        <v>0</v>
      </c>
      <c r="D59" s="70">
        <v>0</v>
      </c>
      <c r="E59" s="70">
        <v>0</v>
      </c>
      <c r="F59" s="70"/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70">
        <v>5.7</v>
      </c>
      <c r="P59" s="70">
        <v>2.6</v>
      </c>
      <c r="Q59" s="70">
        <v>2.9</v>
      </c>
      <c r="R59" s="70">
        <v>1.8</v>
      </c>
      <c r="S59" s="70">
        <v>0</v>
      </c>
      <c r="T59" s="70">
        <v>11</v>
      </c>
      <c r="U59" s="70">
        <v>9</v>
      </c>
      <c r="V59" s="70">
        <v>8</v>
      </c>
      <c r="W59" s="70">
        <v>7.5</v>
      </c>
      <c r="X59" s="70">
        <v>5.9</v>
      </c>
      <c r="Y59" s="70">
        <v>2</v>
      </c>
      <c r="Z59" s="70">
        <v>7.5</v>
      </c>
      <c r="AA59" s="70">
        <v>11.1</v>
      </c>
      <c r="AB59" s="70">
        <v>11</v>
      </c>
      <c r="AC59" s="70">
        <v>5.7</v>
      </c>
      <c r="AD59" s="70">
        <v>7.1</v>
      </c>
      <c r="AE59" s="70">
        <v>2.1</v>
      </c>
      <c r="AF59" s="70">
        <v>0</v>
      </c>
      <c r="AG59" s="137">
        <v>14</v>
      </c>
      <c r="AH59" s="54">
        <f t="shared" si="2"/>
        <v>11.1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>SUM(B57:B59)</f>
        <v>0</v>
      </c>
      <c r="C60" s="66">
        <f t="shared" ref="C60:AG60" si="11">SUM(C57:C59)</f>
        <v>0</v>
      </c>
      <c r="D60" s="66">
        <f t="shared" si="11"/>
        <v>0</v>
      </c>
      <c r="E60" s="66">
        <f t="shared" si="11"/>
        <v>0</v>
      </c>
      <c r="F60" s="66">
        <f t="shared" si="11"/>
        <v>0</v>
      </c>
      <c r="G60" s="66">
        <f t="shared" ref="G60" si="12">SUM(G57:G59)</f>
        <v>0</v>
      </c>
      <c r="H60" s="66">
        <f t="shared" si="11"/>
        <v>0</v>
      </c>
      <c r="I60" s="66">
        <f t="shared" si="11"/>
        <v>0</v>
      </c>
      <c r="J60" s="66">
        <f t="shared" si="11"/>
        <v>0</v>
      </c>
      <c r="K60" s="66">
        <f t="shared" si="11"/>
        <v>0</v>
      </c>
      <c r="L60" s="66">
        <f t="shared" si="11"/>
        <v>0</v>
      </c>
      <c r="M60" s="66">
        <f t="shared" si="11"/>
        <v>0</v>
      </c>
      <c r="N60" s="66">
        <f t="shared" si="11"/>
        <v>0</v>
      </c>
      <c r="O60" s="66">
        <f t="shared" si="11"/>
        <v>41.400000000000006</v>
      </c>
      <c r="P60" s="66">
        <f t="shared" si="11"/>
        <v>23.700000000000003</v>
      </c>
      <c r="Q60" s="66">
        <f t="shared" si="11"/>
        <v>36.4</v>
      </c>
      <c r="R60" s="66">
        <f t="shared" si="11"/>
        <v>6.8</v>
      </c>
      <c r="S60" s="66">
        <f t="shared" si="11"/>
        <v>0</v>
      </c>
      <c r="T60" s="66">
        <f t="shared" si="11"/>
        <v>102</v>
      </c>
      <c r="U60" s="66">
        <f t="shared" si="11"/>
        <v>83</v>
      </c>
      <c r="V60" s="66">
        <f t="shared" si="11"/>
        <v>65</v>
      </c>
      <c r="W60" s="66">
        <f t="shared" si="11"/>
        <v>66.5</v>
      </c>
      <c r="X60" s="66">
        <f t="shared" si="11"/>
        <v>55.9</v>
      </c>
      <c r="Y60" s="66">
        <f t="shared" si="11"/>
        <v>37.4</v>
      </c>
      <c r="Z60" s="66">
        <f t="shared" si="11"/>
        <v>87.9</v>
      </c>
      <c r="AA60" s="66">
        <f t="shared" si="11"/>
        <v>101</v>
      </c>
      <c r="AB60" s="66">
        <f t="shared" si="11"/>
        <v>100.7</v>
      </c>
      <c r="AC60" s="66">
        <f t="shared" si="11"/>
        <v>71.2</v>
      </c>
      <c r="AD60" s="66">
        <f t="shared" si="11"/>
        <v>64.899999999999991</v>
      </c>
      <c r="AE60" s="66">
        <f t="shared" si="11"/>
        <v>21.900000000000002</v>
      </c>
      <c r="AF60" s="66">
        <f t="shared" si="11"/>
        <v>0</v>
      </c>
      <c r="AG60" s="143">
        <f t="shared" si="11"/>
        <v>106</v>
      </c>
      <c r="AH60" s="54">
        <f t="shared" si="2"/>
        <v>102</v>
      </c>
      <c r="AI60" s="55">
        <f t="shared" si="3"/>
        <v>0</v>
      </c>
      <c r="AK60" s="56"/>
    </row>
    <row r="61" spans="1:41" x14ac:dyDescent="0.25">
      <c r="A61" s="57" t="s">
        <v>41</v>
      </c>
      <c r="B61" s="50">
        <v>35</v>
      </c>
      <c r="C61" s="50">
        <v>34.5</v>
      </c>
      <c r="D61" s="50">
        <v>33</v>
      </c>
      <c r="E61" s="50">
        <v>24.5</v>
      </c>
      <c r="F61" s="50"/>
      <c r="G61" s="50">
        <v>24.5</v>
      </c>
      <c r="H61" s="50">
        <v>17.7</v>
      </c>
      <c r="I61" s="50">
        <v>8.4</v>
      </c>
      <c r="J61" s="50">
        <v>7.6</v>
      </c>
      <c r="K61" s="50">
        <v>7.6</v>
      </c>
      <c r="L61" s="50">
        <v>7.6</v>
      </c>
      <c r="M61" s="50">
        <v>48.5</v>
      </c>
      <c r="N61" s="50">
        <v>55</v>
      </c>
      <c r="O61" s="50">
        <v>46</v>
      </c>
      <c r="P61" s="50">
        <v>49</v>
      </c>
      <c r="Q61" s="50">
        <v>55</v>
      </c>
      <c r="R61" s="50">
        <v>63.1</v>
      </c>
      <c r="S61" s="50">
        <v>40</v>
      </c>
      <c r="T61" s="50">
        <v>58</v>
      </c>
      <c r="U61" s="50">
        <v>59</v>
      </c>
      <c r="V61" s="50">
        <v>46</v>
      </c>
      <c r="W61" s="50">
        <v>46</v>
      </c>
      <c r="X61" s="50">
        <v>46</v>
      </c>
      <c r="Y61" s="50">
        <v>52</v>
      </c>
      <c r="Z61" s="50">
        <v>59</v>
      </c>
      <c r="AA61" s="50">
        <v>67</v>
      </c>
      <c r="AB61" s="50">
        <v>72.599999999999994</v>
      </c>
      <c r="AC61" s="50">
        <v>74.099999999999994</v>
      </c>
      <c r="AD61" s="50">
        <v>74.099999999999994</v>
      </c>
      <c r="AE61" s="50">
        <v>75.599999999999994</v>
      </c>
      <c r="AF61" s="50">
        <v>72.3</v>
      </c>
      <c r="AG61" s="135"/>
      <c r="AH61" s="54">
        <f t="shared" si="2"/>
        <v>75.599999999999994</v>
      </c>
      <c r="AI61" s="55">
        <f t="shared" si="3"/>
        <v>7.6</v>
      </c>
      <c r="AK61" s="56"/>
    </row>
    <row r="62" spans="1:41" x14ac:dyDescent="0.25">
      <c r="A62" s="60" t="s">
        <v>42</v>
      </c>
      <c r="B62" s="48">
        <v>0</v>
      </c>
      <c r="C62" s="48">
        <v>0</v>
      </c>
      <c r="D62" s="48">
        <v>0</v>
      </c>
      <c r="E62" s="48">
        <v>0</v>
      </c>
      <c r="F62" s="48"/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>
        <v>-342</v>
      </c>
      <c r="C63" s="48">
        <v>-365</v>
      </c>
      <c r="D63" s="48">
        <v>-377</v>
      </c>
      <c r="E63" s="48">
        <v>-402</v>
      </c>
      <c r="F63" s="48"/>
      <c r="G63" s="48">
        <v>-402</v>
      </c>
      <c r="H63" s="48">
        <v>-412</v>
      </c>
      <c r="I63" s="48">
        <v>-400</v>
      </c>
      <c r="J63" s="48">
        <v>-368</v>
      </c>
      <c r="K63" s="48">
        <v>-365</v>
      </c>
      <c r="L63" s="48">
        <v>-300</v>
      </c>
      <c r="M63" s="48">
        <v>-319</v>
      </c>
      <c r="N63" s="48">
        <v>-305.2</v>
      </c>
      <c r="O63" s="48">
        <v>-295.8</v>
      </c>
      <c r="P63" s="48">
        <v>-276.60000000000002</v>
      </c>
      <c r="Q63" s="48">
        <v>-282.3</v>
      </c>
      <c r="R63" s="48">
        <v>-330.2</v>
      </c>
      <c r="S63" s="48">
        <v>-290</v>
      </c>
      <c r="T63" s="48">
        <v>-233</v>
      </c>
      <c r="U63" s="48">
        <v>-338</v>
      </c>
      <c r="V63" s="48">
        <v>-335</v>
      </c>
      <c r="W63" s="48">
        <v>-335</v>
      </c>
      <c r="X63" s="48">
        <v>-374</v>
      </c>
      <c r="Y63" s="48">
        <v>-323</v>
      </c>
      <c r="Z63" s="48">
        <v>-268</v>
      </c>
      <c r="AA63" s="48">
        <v>-191</v>
      </c>
      <c r="AB63" s="48">
        <v>-263.89999999999998</v>
      </c>
      <c r="AC63" s="48">
        <v>-275.60000000000002</v>
      </c>
      <c r="AD63" s="48">
        <v>-280.7</v>
      </c>
      <c r="AE63" s="48">
        <v>-326.3</v>
      </c>
      <c r="AF63" s="48">
        <v>-355</v>
      </c>
      <c r="AG63" s="140"/>
      <c r="AH63" s="54">
        <f t="shared" si="2"/>
        <v>-191</v>
      </c>
      <c r="AI63" s="55">
        <f t="shared" si="3"/>
        <v>-412</v>
      </c>
      <c r="AK63" s="56"/>
    </row>
    <row r="64" spans="1:41" x14ac:dyDescent="0.25">
      <c r="A64" s="60" t="s">
        <v>44</v>
      </c>
      <c r="B64" s="71">
        <v>0</v>
      </c>
      <c r="C64" s="71">
        <v>0</v>
      </c>
      <c r="D64" s="71">
        <v>0</v>
      </c>
      <c r="E64" s="71">
        <v>0</v>
      </c>
      <c r="F64" s="71"/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140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0" t="s">
        <v>45</v>
      </c>
      <c r="B65" s="50">
        <v>0</v>
      </c>
      <c r="C65" s="50">
        <v>0</v>
      </c>
      <c r="D65" s="50">
        <v>0</v>
      </c>
      <c r="E65" s="50">
        <v>0</v>
      </c>
      <c r="F65" s="50"/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>
        <v>5</v>
      </c>
      <c r="C66" s="72">
        <v>5</v>
      </c>
      <c r="D66" s="72">
        <v>5</v>
      </c>
      <c r="E66" s="72">
        <v>5</v>
      </c>
      <c r="F66" s="72"/>
      <c r="G66" s="72">
        <v>5</v>
      </c>
      <c r="H66" s="72">
        <v>5</v>
      </c>
      <c r="I66" s="72">
        <v>5</v>
      </c>
      <c r="J66" s="72">
        <v>5</v>
      </c>
      <c r="K66" s="72">
        <v>5</v>
      </c>
      <c r="L66" s="72">
        <v>5</v>
      </c>
      <c r="M66" s="72">
        <v>5</v>
      </c>
      <c r="N66" s="72">
        <v>5</v>
      </c>
      <c r="O66" s="72">
        <v>5</v>
      </c>
      <c r="P66" s="72">
        <v>5</v>
      </c>
      <c r="Q66" s="72">
        <v>5</v>
      </c>
      <c r="R66" s="72">
        <v>5</v>
      </c>
      <c r="S66" s="72">
        <v>5</v>
      </c>
      <c r="T66" s="72">
        <v>5</v>
      </c>
      <c r="U66" s="72">
        <v>5</v>
      </c>
      <c r="V66" s="72">
        <v>5</v>
      </c>
      <c r="W66" s="72">
        <v>5</v>
      </c>
      <c r="X66" s="72">
        <v>5</v>
      </c>
      <c r="Y66" s="72">
        <v>5</v>
      </c>
      <c r="Z66" s="72">
        <v>5</v>
      </c>
      <c r="AA66" s="72">
        <v>7</v>
      </c>
      <c r="AB66" s="72">
        <v>7</v>
      </c>
      <c r="AC66" s="72">
        <v>7</v>
      </c>
      <c r="AD66" s="72">
        <v>7</v>
      </c>
      <c r="AE66" s="72">
        <v>7</v>
      </c>
      <c r="AF66" s="72">
        <v>7</v>
      </c>
      <c r="AG66" s="140"/>
      <c r="AH66" s="54">
        <f t="shared" si="2"/>
        <v>7</v>
      </c>
      <c r="AI66" s="55">
        <f t="shared" si="3"/>
        <v>5</v>
      </c>
      <c r="AK66" s="56"/>
    </row>
    <row r="67" spans="1:88" x14ac:dyDescent="0.25">
      <c r="A67" s="60" t="s">
        <v>47</v>
      </c>
      <c r="B67" s="72">
        <v>0</v>
      </c>
      <c r="C67" s="72">
        <v>0</v>
      </c>
      <c r="D67" s="72">
        <v>0</v>
      </c>
      <c r="E67" s="72">
        <v>0</v>
      </c>
      <c r="F67" s="72"/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>
        <v>0</v>
      </c>
      <c r="C68" s="71">
        <v>0</v>
      </c>
      <c r="D68" s="71">
        <v>0</v>
      </c>
      <c r="E68" s="71">
        <v>0</v>
      </c>
      <c r="F68" s="71"/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1">
        <v>0</v>
      </c>
      <c r="C69" s="71">
        <v>0</v>
      </c>
      <c r="D69" s="71">
        <v>0</v>
      </c>
      <c r="E69" s="71">
        <v>0</v>
      </c>
      <c r="F69" s="71"/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1">
        <v>0</v>
      </c>
      <c r="C70" s="71">
        <v>0</v>
      </c>
      <c r="D70" s="71">
        <v>0</v>
      </c>
      <c r="E70" s="71">
        <v>0</v>
      </c>
      <c r="F70" s="74"/>
      <c r="G70" s="71">
        <v>0</v>
      </c>
      <c r="H70" s="71">
        <v>0</v>
      </c>
      <c r="I70" s="71">
        <v>0</v>
      </c>
      <c r="J70" s="71">
        <v>0</v>
      </c>
      <c r="K70" s="71">
        <v>0</v>
      </c>
      <c r="L70" s="71">
        <v>0</v>
      </c>
      <c r="M70" s="71">
        <v>0</v>
      </c>
      <c r="N70" s="71">
        <v>0</v>
      </c>
      <c r="O70" s="71">
        <v>0</v>
      </c>
      <c r="P70" s="71">
        <v>0</v>
      </c>
      <c r="Q70" s="71">
        <v>0</v>
      </c>
      <c r="R70" s="71">
        <v>0</v>
      </c>
      <c r="S70" s="71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1">
        <v>0</v>
      </c>
      <c r="C71" s="71">
        <v>0</v>
      </c>
      <c r="D71" s="71">
        <v>0</v>
      </c>
      <c r="E71" s="71">
        <v>0</v>
      </c>
      <c r="F71" s="74"/>
      <c r="G71" s="71">
        <v>0</v>
      </c>
      <c r="H71" s="71">
        <v>0</v>
      </c>
      <c r="I71" s="71">
        <v>0</v>
      </c>
      <c r="J71" s="71">
        <v>0</v>
      </c>
      <c r="K71" s="71">
        <v>0</v>
      </c>
      <c r="L71" s="71">
        <v>0</v>
      </c>
      <c r="M71" s="71">
        <v>0</v>
      </c>
      <c r="N71" s="71">
        <v>0</v>
      </c>
      <c r="O71" s="71">
        <v>0</v>
      </c>
      <c r="P71" s="71">
        <v>0</v>
      </c>
      <c r="Q71" s="71">
        <v>0</v>
      </c>
      <c r="R71" s="71">
        <v>0</v>
      </c>
      <c r="S71" s="71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>SUMIF(B61:B71,"&gt;0")</f>
        <v>40</v>
      </c>
      <c r="C72" s="66">
        <f t="shared" ref="C72:L72" si="13">SUMIF(C61:C71,"&gt;0")</f>
        <v>39.5</v>
      </c>
      <c r="D72" s="66">
        <f t="shared" si="13"/>
        <v>38</v>
      </c>
      <c r="E72" s="66">
        <f t="shared" si="13"/>
        <v>29.5</v>
      </c>
      <c r="F72" s="66">
        <f t="shared" si="13"/>
        <v>0</v>
      </c>
      <c r="G72" s="66">
        <f t="shared" ref="G72" si="14">SUMIF(G61:G71,"&gt;0")</f>
        <v>29.5</v>
      </c>
      <c r="H72" s="66">
        <f t="shared" si="13"/>
        <v>22.7</v>
      </c>
      <c r="I72" s="66">
        <f t="shared" si="13"/>
        <v>13.4</v>
      </c>
      <c r="J72" s="66">
        <f t="shared" si="13"/>
        <v>12.6</v>
      </c>
      <c r="K72" s="66">
        <f t="shared" si="13"/>
        <v>12.6</v>
      </c>
      <c r="L72" s="66">
        <f t="shared" si="13"/>
        <v>12.6</v>
      </c>
      <c r="M72" s="66">
        <f>SUMIF(M61:M71,"&gt;0")</f>
        <v>53.5</v>
      </c>
      <c r="N72" s="66">
        <f t="shared" ref="N72:AF72" si="15">SUMIF(N61:N71,"&gt;0")</f>
        <v>60</v>
      </c>
      <c r="O72" s="66">
        <f t="shared" si="15"/>
        <v>51</v>
      </c>
      <c r="P72" s="66">
        <f t="shared" si="15"/>
        <v>54</v>
      </c>
      <c r="Q72" s="66">
        <f t="shared" si="15"/>
        <v>60</v>
      </c>
      <c r="R72" s="66">
        <f t="shared" si="15"/>
        <v>68.099999999999994</v>
      </c>
      <c r="S72" s="66">
        <f t="shared" si="15"/>
        <v>45</v>
      </c>
      <c r="T72" s="66">
        <f t="shared" si="15"/>
        <v>63</v>
      </c>
      <c r="U72" s="66">
        <f t="shared" si="15"/>
        <v>64</v>
      </c>
      <c r="V72" s="66">
        <f t="shared" si="15"/>
        <v>51</v>
      </c>
      <c r="W72" s="66">
        <f t="shared" si="15"/>
        <v>51</v>
      </c>
      <c r="X72" s="66">
        <f t="shared" si="15"/>
        <v>51</v>
      </c>
      <c r="Y72" s="66">
        <f t="shared" si="15"/>
        <v>57</v>
      </c>
      <c r="Z72" s="66">
        <f t="shared" si="15"/>
        <v>64</v>
      </c>
      <c r="AA72" s="66">
        <f t="shared" si="15"/>
        <v>74</v>
      </c>
      <c r="AB72" s="66">
        <f t="shared" si="15"/>
        <v>79.599999999999994</v>
      </c>
      <c r="AC72" s="66">
        <f t="shared" si="15"/>
        <v>81.099999999999994</v>
      </c>
      <c r="AD72" s="66">
        <f t="shared" si="15"/>
        <v>81.099999999999994</v>
      </c>
      <c r="AE72" s="66">
        <f t="shared" si="15"/>
        <v>82.6</v>
      </c>
      <c r="AF72" s="66">
        <f t="shared" si="15"/>
        <v>79.3</v>
      </c>
      <c r="AG72" s="138">
        <f>SUM(AG61:AG71)</f>
        <v>0</v>
      </c>
      <c r="AH72" s="54">
        <f t="shared" si="2"/>
        <v>82.6</v>
      </c>
      <c r="AI72" s="55">
        <f t="shared" si="3"/>
        <v>0</v>
      </c>
      <c r="AK72" s="56"/>
    </row>
    <row r="73" spans="1:88" x14ac:dyDescent="0.25">
      <c r="A73" s="57" t="s">
        <v>53</v>
      </c>
      <c r="B73" s="71">
        <v>0</v>
      </c>
      <c r="C73" s="71">
        <v>0</v>
      </c>
      <c r="D73" s="71">
        <v>0</v>
      </c>
      <c r="E73" s="71">
        <v>0</v>
      </c>
      <c r="F73" s="71"/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>
        <v>0</v>
      </c>
      <c r="C74" s="72">
        <v>0</v>
      </c>
      <c r="D74" s="72">
        <v>0</v>
      </c>
      <c r="E74" s="72">
        <v>0</v>
      </c>
      <c r="F74" s="72"/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>
        <v>0</v>
      </c>
      <c r="C75" s="74">
        <v>0</v>
      </c>
      <c r="D75" s="74">
        <v>0</v>
      </c>
      <c r="E75" s="74">
        <v>0</v>
      </c>
      <c r="F75" s="74"/>
      <c r="G75" s="74">
        <v>0</v>
      </c>
      <c r="H75" s="74">
        <v>0</v>
      </c>
      <c r="I75" s="74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74">
        <v>0</v>
      </c>
      <c r="T75" s="74">
        <v>0</v>
      </c>
      <c r="U75" s="74">
        <v>0</v>
      </c>
      <c r="V75" s="74">
        <v>0</v>
      </c>
      <c r="W75" s="74">
        <v>0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>B38+B42+B60+B56+B72+B76</f>
        <v>1847.74</v>
      </c>
      <c r="C77" s="75">
        <f t="shared" ref="C77:AF77" si="16">C38+C42+C60+C56+C72+C76</f>
        <v>1856.24</v>
      </c>
      <c r="D77" s="75">
        <f t="shared" si="16"/>
        <v>1843.74</v>
      </c>
      <c r="E77" s="75">
        <f t="shared" si="16"/>
        <v>1812.24</v>
      </c>
      <c r="F77" s="75">
        <f t="shared" si="16"/>
        <v>3.54</v>
      </c>
      <c r="G77" s="75">
        <f t="shared" ref="G77" si="17">G38+G42+G60+G56+G72+G76</f>
        <v>1811.1399999999999</v>
      </c>
      <c r="H77" s="75">
        <f t="shared" si="16"/>
        <v>1769.44</v>
      </c>
      <c r="I77" s="75">
        <f t="shared" si="16"/>
        <v>1760.2400000000002</v>
      </c>
      <c r="J77" s="75">
        <f t="shared" si="16"/>
        <v>1759.44</v>
      </c>
      <c r="K77" s="75">
        <f t="shared" si="16"/>
        <v>1759.44</v>
      </c>
      <c r="L77" s="75">
        <f t="shared" si="16"/>
        <v>1759.44</v>
      </c>
      <c r="M77" s="75">
        <f t="shared" si="16"/>
        <v>1869.84</v>
      </c>
      <c r="N77" s="75">
        <f t="shared" si="16"/>
        <v>1876.44</v>
      </c>
      <c r="O77" s="75">
        <f t="shared" si="16"/>
        <v>1902.8400000000001</v>
      </c>
      <c r="P77" s="75">
        <f t="shared" si="16"/>
        <v>1889.14</v>
      </c>
      <c r="Q77" s="75">
        <f t="shared" si="16"/>
        <v>1907.3400000000001</v>
      </c>
      <c r="R77" s="75">
        <f t="shared" si="16"/>
        <v>1875.54</v>
      </c>
      <c r="S77" s="75">
        <f t="shared" si="16"/>
        <v>1850.1399999999999</v>
      </c>
      <c r="T77" s="75">
        <f t="shared" si="16"/>
        <v>1974.44</v>
      </c>
      <c r="U77" s="75">
        <f t="shared" si="16"/>
        <v>1956.44</v>
      </c>
      <c r="V77" s="75">
        <f t="shared" si="16"/>
        <v>1909.94</v>
      </c>
      <c r="W77" s="75">
        <f t="shared" si="16"/>
        <v>1911.44</v>
      </c>
      <c r="X77" s="75">
        <f t="shared" si="16"/>
        <v>1894.04</v>
      </c>
      <c r="Y77" s="75">
        <f t="shared" si="16"/>
        <v>1881.54</v>
      </c>
      <c r="Z77" s="75">
        <f t="shared" si="16"/>
        <v>1939.04</v>
      </c>
      <c r="AA77" s="75">
        <f t="shared" si="16"/>
        <v>1962.1399999999999</v>
      </c>
      <c r="AB77" s="75">
        <f t="shared" si="16"/>
        <v>1986.94</v>
      </c>
      <c r="AC77" s="75">
        <f t="shared" si="16"/>
        <v>1957.54</v>
      </c>
      <c r="AD77" s="75">
        <f t="shared" si="16"/>
        <v>1951.8399999999997</v>
      </c>
      <c r="AE77" s="75">
        <f t="shared" si="16"/>
        <v>1910.44</v>
      </c>
      <c r="AF77" s="75">
        <f t="shared" si="16"/>
        <v>1884.84</v>
      </c>
      <c r="AG77" s="143">
        <f>AG38+AG42+AG60+AG56+AG72+AG76</f>
        <v>1855.1900000000003</v>
      </c>
      <c r="AH77" s="54">
        <f t="shared" si="2"/>
        <v>1986.94</v>
      </c>
      <c r="AI77" s="55">
        <f t="shared" si="3"/>
        <v>3.54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0</v>
      </c>
      <c r="AI78" s="55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>B77+B78</f>
        <v>1847.74</v>
      </c>
      <c r="C79" s="75">
        <f t="shared" ref="C79:AF79" si="18">C77+C78</f>
        <v>1856.24</v>
      </c>
      <c r="D79" s="75">
        <f t="shared" si="18"/>
        <v>1843.74</v>
      </c>
      <c r="E79" s="75">
        <f t="shared" si="18"/>
        <v>1812.24</v>
      </c>
      <c r="F79" s="75">
        <f t="shared" si="18"/>
        <v>3.54</v>
      </c>
      <c r="G79" s="75">
        <f t="shared" ref="G79" si="19">G77+G78</f>
        <v>1811.1399999999999</v>
      </c>
      <c r="H79" s="75">
        <f t="shared" si="18"/>
        <v>1769.44</v>
      </c>
      <c r="I79" s="75">
        <f t="shared" si="18"/>
        <v>1760.2400000000002</v>
      </c>
      <c r="J79" s="75">
        <f t="shared" si="18"/>
        <v>1759.44</v>
      </c>
      <c r="K79" s="75">
        <f t="shared" si="18"/>
        <v>1759.44</v>
      </c>
      <c r="L79" s="75">
        <f t="shared" si="18"/>
        <v>1759.44</v>
      </c>
      <c r="M79" s="75">
        <f t="shared" si="18"/>
        <v>1869.84</v>
      </c>
      <c r="N79" s="75">
        <f t="shared" si="18"/>
        <v>1876.44</v>
      </c>
      <c r="O79" s="75">
        <f t="shared" si="18"/>
        <v>1902.8400000000001</v>
      </c>
      <c r="P79" s="75">
        <f t="shared" si="18"/>
        <v>1889.14</v>
      </c>
      <c r="Q79" s="75">
        <f t="shared" si="18"/>
        <v>1907.3400000000001</v>
      </c>
      <c r="R79" s="75">
        <f t="shared" si="18"/>
        <v>1875.54</v>
      </c>
      <c r="S79" s="75">
        <f t="shared" si="18"/>
        <v>1850.1399999999999</v>
      </c>
      <c r="T79" s="75">
        <f t="shared" si="18"/>
        <v>1974.44</v>
      </c>
      <c r="U79" s="75">
        <f t="shared" si="18"/>
        <v>1956.44</v>
      </c>
      <c r="V79" s="75">
        <f t="shared" si="18"/>
        <v>1909.94</v>
      </c>
      <c r="W79" s="75">
        <f t="shared" si="18"/>
        <v>1911.44</v>
      </c>
      <c r="X79" s="75">
        <f t="shared" si="18"/>
        <v>1894.04</v>
      </c>
      <c r="Y79" s="75">
        <f t="shared" si="18"/>
        <v>1881.54</v>
      </c>
      <c r="Z79" s="75">
        <f t="shared" si="18"/>
        <v>1939.04</v>
      </c>
      <c r="AA79" s="75">
        <f t="shared" si="18"/>
        <v>1962.1399999999999</v>
      </c>
      <c r="AB79" s="75">
        <f t="shared" si="18"/>
        <v>1986.94</v>
      </c>
      <c r="AC79" s="75">
        <f t="shared" si="18"/>
        <v>1957.54</v>
      </c>
      <c r="AD79" s="75">
        <f t="shared" si="18"/>
        <v>1951.8399999999997</v>
      </c>
      <c r="AE79" s="75">
        <f t="shared" si="18"/>
        <v>1910.44</v>
      </c>
      <c r="AF79" s="75">
        <f t="shared" si="18"/>
        <v>1884.84</v>
      </c>
      <c r="AG79" s="138">
        <f>AG76+AG72+AG60+AG56+AG38+AG78</f>
        <v>1317.0900000000001</v>
      </c>
      <c r="AH79" s="54">
        <f t="shared" si="2"/>
        <v>1986.94</v>
      </c>
      <c r="AI79" s="55">
        <f t="shared" si="3"/>
        <v>3.54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:AF80" si="20">B79-B87</f>
        <v>1505.74</v>
      </c>
      <c r="C80" s="75">
        <f t="shared" si="20"/>
        <v>1491.24</v>
      </c>
      <c r="D80" s="75">
        <f t="shared" si="20"/>
        <v>1466.74</v>
      </c>
      <c r="E80" s="75">
        <f t="shared" si="20"/>
        <v>1410.24</v>
      </c>
      <c r="F80" s="75">
        <f t="shared" si="20"/>
        <v>3.54</v>
      </c>
      <c r="G80" s="75">
        <f t="shared" ref="G80" si="21">G79-G87</f>
        <v>1409.1399999999999</v>
      </c>
      <c r="H80" s="75">
        <f t="shared" si="20"/>
        <v>1357.44</v>
      </c>
      <c r="I80" s="75">
        <f t="shared" si="20"/>
        <v>1360.2400000000002</v>
      </c>
      <c r="J80" s="75">
        <f t="shared" si="20"/>
        <v>1391.44</v>
      </c>
      <c r="K80" s="75">
        <f t="shared" si="20"/>
        <v>1394.44</v>
      </c>
      <c r="L80" s="75">
        <f t="shared" si="20"/>
        <v>1459.44</v>
      </c>
      <c r="M80" s="75">
        <f t="shared" si="20"/>
        <v>1550.84</v>
      </c>
      <c r="N80" s="75">
        <f t="shared" si="20"/>
        <v>1571.24</v>
      </c>
      <c r="O80" s="75">
        <f t="shared" si="20"/>
        <v>1607.0400000000002</v>
      </c>
      <c r="P80" s="75">
        <f t="shared" si="20"/>
        <v>1612.54</v>
      </c>
      <c r="Q80" s="75">
        <f t="shared" si="20"/>
        <v>1625.0400000000002</v>
      </c>
      <c r="R80" s="75">
        <f t="shared" si="20"/>
        <v>1545.34</v>
      </c>
      <c r="S80" s="75">
        <f t="shared" si="20"/>
        <v>1560.1399999999999</v>
      </c>
      <c r="T80" s="75">
        <f t="shared" si="20"/>
        <v>1741.44</v>
      </c>
      <c r="U80" s="75">
        <f t="shared" si="20"/>
        <v>1618.44</v>
      </c>
      <c r="V80" s="75">
        <f t="shared" si="20"/>
        <v>1574.94</v>
      </c>
      <c r="W80" s="75">
        <f t="shared" si="20"/>
        <v>1576.44</v>
      </c>
      <c r="X80" s="75">
        <f t="shared" si="20"/>
        <v>1520.04</v>
      </c>
      <c r="Y80" s="75">
        <f t="shared" si="20"/>
        <v>1558.54</v>
      </c>
      <c r="Z80" s="75">
        <f t="shared" si="20"/>
        <v>1671.04</v>
      </c>
      <c r="AA80" s="75">
        <f t="shared" si="20"/>
        <v>1771.1399999999999</v>
      </c>
      <c r="AB80" s="75">
        <f t="shared" si="20"/>
        <v>1723.04</v>
      </c>
      <c r="AC80" s="75">
        <f t="shared" si="20"/>
        <v>1681.94</v>
      </c>
      <c r="AD80" s="75">
        <f t="shared" si="20"/>
        <v>1671.1399999999996</v>
      </c>
      <c r="AE80" s="75">
        <f t="shared" si="20"/>
        <v>1584.14</v>
      </c>
      <c r="AF80" s="75">
        <f t="shared" si="20"/>
        <v>1529.84</v>
      </c>
      <c r="AG80" s="138"/>
      <c r="AH80" s="54">
        <f t="shared" ref="AH80:AH97" si="22">MAX(B80:AF80)</f>
        <v>1771.1399999999999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>IF(B64&lt;0,B64*-1,0)</f>
        <v>0</v>
      </c>
      <c r="C81" s="71">
        <f t="shared" ref="C81:AF81" si="23">IF(C64&lt;0,C64*-1,0)</f>
        <v>0</v>
      </c>
      <c r="D81" s="71">
        <f t="shared" si="23"/>
        <v>0</v>
      </c>
      <c r="E81" s="71">
        <f t="shared" si="23"/>
        <v>0</v>
      </c>
      <c r="F81" s="71">
        <f t="shared" si="23"/>
        <v>0</v>
      </c>
      <c r="G81" s="71">
        <f t="shared" ref="G81" si="24">IF(G64&lt;0,G64*-1,0)</f>
        <v>0</v>
      </c>
      <c r="H81" s="71">
        <f t="shared" si="23"/>
        <v>0</v>
      </c>
      <c r="I81" s="71">
        <f t="shared" si="23"/>
        <v>0</v>
      </c>
      <c r="J81" s="71">
        <f t="shared" si="23"/>
        <v>0</v>
      </c>
      <c r="K81" s="71">
        <f t="shared" si="23"/>
        <v>0</v>
      </c>
      <c r="L81" s="71">
        <f t="shared" si="23"/>
        <v>0</v>
      </c>
      <c r="M81" s="71">
        <f t="shared" si="23"/>
        <v>0</v>
      </c>
      <c r="N81" s="71">
        <f t="shared" si="23"/>
        <v>0</v>
      </c>
      <c r="O81" s="71">
        <f t="shared" si="23"/>
        <v>0</v>
      </c>
      <c r="P81" s="71">
        <f t="shared" si="23"/>
        <v>0</v>
      </c>
      <c r="Q81" s="71">
        <f t="shared" si="23"/>
        <v>0</v>
      </c>
      <c r="R81" s="71">
        <f t="shared" si="23"/>
        <v>0</v>
      </c>
      <c r="S81" s="71">
        <f t="shared" si="23"/>
        <v>0</v>
      </c>
      <c r="T81" s="71">
        <f t="shared" si="23"/>
        <v>0</v>
      </c>
      <c r="U81" s="71">
        <f t="shared" si="23"/>
        <v>0</v>
      </c>
      <c r="V81" s="71">
        <f t="shared" si="23"/>
        <v>0</v>
      </c>
      <c r="W81" s="71">
        <f t="shared" si="23"/>
        <v>0</v>
      </c>
      <c r="X81" s="71">
        <f t="shared" si="23"/>
        <v>0</v>
      </c>
      <c r="Y81" s="71">
        <f t="shared" si="23"/>
        <v>0</v>
      </c>
      <c r="Z81" s="71">
        <f t="shared" si="23"/>
        <v>0</v>
      </c>
      <c r="AA81" s="71">
        <f t="shared" si="23"/>
        <v>0</v>
      </c>
      <c r="AB81" s="71">
        <f t="shared" si="23"/>
        <v>0</v>
      </c>
      <c r="AC81" s="71">
        <f t="shared" si="23"/>
        <v>0</v>
      </c>
      <c r="AD81" s="71">
        <f t="shared" si="23"/>
        <v>0</v>
      </c>
      <c r="AE81" s="71">
        <f t="shared" si="23"/>
        <v>0</v>
      </c>
      <c r="AF81" s="71">
        <f t="shared" si="23"/>
        <v>0</v>
      </c>
      <c r="AG81" s="135"/>
      <c r="AH81" s="54">
        <f t="shared" si="22"/>
        <v>0</v>
      </c>
      <c r="AI81" s="55">
        <f t="shared" ref="AI81:AI97" si="25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>IF(B62&lt;0,B62*-1,0)</f>
        <v>0</v>
      </c>
      <c r="C82" s="71">
        <f t="shared" ref="C82:AF82" si="26">IF(C62&lt;0,C62*-1,0)</f>
        <v>0</v>
      </c>
      <c r="D82" s="71">
        <f t="shared" si="26"/>
        <v>0</v>
      </c>
      <c r="E82" s="71">
        <f t="shared" si="26"/>
        <v>0</v>
      </c>
      <c r="F82" s="71">
        <f t="shared" si="26"/>
        <v>0</v>
      </c>
      <c r="G82" s="71">
        <f t="shared" ref="G82" si="27">IF(G62&lt;0,G62*-1,0)</f>
        <v>0</v>
      </c>
      <c r="H82" s="71">
        <f t="shared" si="26"/>
        <v>0</v>
      </c>
      <c r="I82" s="71">
        <f t="shared" si="26"/>
        <v>0</v>
      </c>
      <c r="J82" s="71">
        <f t="shared" si="26"/>
        <v>0</v>
      </c>
      <c r="K82" s="71">
        <f t="shared" si="26"/>
        <v>0</v>
      </c>
      <c r="L82" s="71">
        <f t="shared" si="26"/>
        <v>0</v>
      </c>
      <c r="M82" s="71">
        <f t="shared" si="26"/>
        <v>0</v>
      </c>
      <c r="N82" s="71">
        <f t="shared" si="26"/>
        <v>0</v>
      </c>
      <c r="O82" s="71">
        <f t="shared" si="26"/>
        <v>0</v>
      </c>
      <c r="P82" s="71">
        <f t="shared" si="26"/>
        <v>0</v>
      </c>
      <c r="Q82" s="71">
        <f t="shared" si="26"/>
        <v>0</v>
      </c>
      <c r="R82" s="71">
        <f t="shared" si="26"/>
        <v>0</v>
      </c>
      <c r="S82" s="71">
        <f t="shared" si="26"/>
        <v>0</v>
      </c>
      <c r="T82" s="71">
        <f t="shared" si="26"/>
        <v>0</v>
      </c>
      <c r="U82" s="71">
        <f t="shared" si="26"/>
        <v>0</v>
      </c>
      <c r="V82" s="71">
        <f t="shared" si="26"/>
        <v>0</v>
      </c>
      <c r="W82" s="71">
        <f t="shared" si="26"/>
        <v>0</v>
      </c>
      <c r="X82" s="71">
        <f t="shared" si="26"/>
        <v>0</v>
      </c>
      <c r="Y82" s="71">
        <f t="shared" si="26"/>
        <v>0</v>
      </c>
      <c r="Z82" s="71">
        <f t="shared" si="26"/>
        <v>0</v>
      </c>
      <c r="AA82" s="71">
        <f t="shared" si="26"/>
        <v>0</v>
      </c>
      <c r="AB82" s="71">
        <f t="shared" si="26"/>
        <v>0</v>
      </c>
      <c r="AC82" s="71">
        <f t="shared" si="26"/>
        <v>0</v>
      </c>
      <c r="AD82" s="71">
        <f t="shared" si="26"/>
        <v>0</v>
      </c>
      <c r="AE82" s="71">
        <f t="shared" si="26"/>
        <v>0</v>
      </c>
      <c r="AF82" s="71">
        <f t="shared" si="26"/>
        <v>0</v>
      </c>
      <c r="AG82" s="136"/>
      <c r="AH82" s="54">
        <f t="shared" si="22"/>
        <v>0</v>
      </c>
      <c r="AI82" s="55">
        <f t="shared" si="25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>IF(B65&lt;0,B65*-1,0)</f>
        <v>0</v>
      </c>
      <c r="C83" s="71">
        <f t="shared" ref="C83:AF83" si="28">IF(C65&lt;0,C65*-1,0)</f>
        <v>0</v>
      </c>
      <c r="D83" s="71">
        <f t="shared" si="28"/>
        <v>0</v>
      </c>
      <c r="E83" s="71">
        <f t="shared" si="28"/>
        <v>0</v>
      </c>
      <c r="F83" s="71">
        <f t="shared" si="28"/>
        <v>0</v>
      </c>
      <c r="G83" s="71">
        <f t="shared" ref="G83" si="29">IF(G65&lt;0,G65*-1,0)</f>
        <v>0</v>
      </c>
      <c r="H83" s="71">
        <f t="shared" si="28"/>
        <v>0</v>
      </c>
      <c r="I83" s="71">
        <f t="shared" si="28"/>
        <v>0</v>
      </c>
      <c r="J83" s="71">
        <f t="shared" si="28"/>
        <v>0</v>
      </c>
      <c r="K83" s="71">
        <f t="shared" si="28"/>
        <v>0</v>
      </c>
      <c r="L83" s="71">
        <f t="shared" si="28"/>
        <v>0</v>
      </c>
      <c r="M83" s="71">
        <f t="shared" si="28"/>
        <v>0</v>
      </c>
      <c r="N83" s="71">
        <f t="shared" si="28"/>
        <v>0</v>
      </c>
      <c r="O83" s="71">
        <f t="shared" si="28"/>
        <v>0</v>
      </c>
      <c r="P83" s="71">
        <f t="shared" si="28"/>
        <v>0</v>
      </c>
      <c r="Q83" s="71">
        <f t="shared" si="28"/>
        <v>0</v>
      </c>
      <c r="R83" s="71">
        <f t="shared" si="28"/>
        <v>0</v>
      </c>
      <c r="S83" s="71">
        <f t="shared" si="28"/>
        <v>0</v>
      </c>
      <c r="T83" s="71">
        <f t="shared" si="28"/>
        <v>0</v>
      </c>
      <c r="U83" s="71">
        <f t="shared" si="28"/>
        <v>0</v>
      </c>
      <c r="V83" s="71">
        <f t="shared" si="28"/>
        <v>0</v>
      </c>
      <c r="W83" s="71">
        <f t="shared" si="28"/>
        <v>0</v>
      </c>
      <c r="X83" s="71">
        <f t="shared" si="28"/>
        <v>0</v>
      </c>
      <c r="Y83" s="71">
        <f t="shared" si="28"/>
        <v>0</v>
      </c>
      <c r="Z83" s="71">
        <f t="shared" si="28"/>
        <v>0</v>
      </c>
      <c r="AA83" s="71">
        <f t="shared" si="28"/>
        <v>0</v>
      </c>
      <c r="AB83" s="71">
        <f t="shared" si="28"/>
        <v>0</v>
      </c>
      <c r="AC83" s="71">
        <f t="shared" si="28"/>
        <v>0</v>
      </c>
      <c r="AD83" s="71">
        <f t="shared" si="28"/>
        <v>0</v>
      </c>
      <c r="AE83" s="71">
        <f t="shared" si="28"/>
        <v>0</v>
      </c>
      <c r="AF83" s="71">
        <f t="shared" si="28"/>
        <v>0</v>
      </c>
      <c r="AG83" s="144"/>
      <c r="AH83" s="54">
        <f t="shared" si="22"/>
        <v>0</v>
      </c>
      <c r="AI83" s="55">
        <f t="shared" si="25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>IF(B63&lt;0,B63*-1,0)</f>
        <v>342</v>
      </c>
      <c r="C84" s="71">
        <f t="shared" ref="C84:AF84" si="30">IF(C63&lt;0,C63*-1,0)</f>
        <v>365</v>
      </c>
      <c r="D84" s="71">
        <f t="shared" si="30"/>
        <v>377</v>
      </c>
      <c r="E84" s="71">
        <f t="shared" si="30"/>
        <v>402</v>
      </c>
      <c r="F84" s="71">
        <f t="shared" si="30"/>
        <v>0</v>
      </c>
      <c r="G84" s="71">
        <f t="shared" ref="G84" si="31">IF(G63&lt;0,G63*-1,0)</f>
        <v>402</v>
      </c>
      <c r="H84" s="71">
        <f t="shared" si="30"/>
        <v>412</v>
      </c>
      <c r="I84" s="71">
        <f t="shared" si="30"/>
        <v>400</v>
      </c>
      <c r="J84" s="71">
        <f t="shared" si="30"/>
        <v>368</v>
      </c>
      <c r="K84" s="71">
        <f t="shared" si="30"/>
        <v>365</v>
      </c>
      <c r="L84" s="71">
        <f t="shared" si="30"/>
        <v>300</v>
      </c>
      <c r="M84" s="71">
        <f t="shared" si="30"/>
        <v>319</v>
      </c>
      <c r="N84" s="71">
        <f t="shared" si="30"/>
        <v>305.2</v>
      </c>
      <c r="O84" s="71">
        <f t="shared" si="30"/>
        <v>295.8</v>
      </c>
      <c r="P84" s="71">
        <f t="shared" si="30"/>
        <v>276.60000000000002</v>
      </c>
      <c r="Q84" s="71">
        <f t="shared" si="30"/>
        <v>282.3</v>
      </c>
      <c r="R84" s="71">
        <f t="shared" si="30"/>
        <v>330.2</v>
      </c>
      <c r="S84" s="71">
        <f t="shared" si="30"/>
        <v>290</v>
      </c>
      <c r="T84" s="71">
        <f t="shared" si="30"/>
        <v>233</v>
      </c>
      <c r="U84" s="71">
        <f t="shared" si="30"/>
        <v>338</v>
      </c>
      <c r="V84" s="71">
        <f t="shared" si="30"/>
        <v>335</v>
      </c>
      <c r="W84" s="71">
        <f t="shared" si="30"/>
        <v>335</v>
      </c>
      <c r="X84" s="71">
        <f t="shared" si="30"/>
        <v>374</v>
      </c>
      <c r="Y84" s="71">
        <f t="shared" si="30"/>
        <v>323</v>
      </c>
      <c r="Z84" s="71">
        <f t="shared" si="30"/>
        <v>268</v>
      </c>
      <c r="AA84" s="71">
        <f t="shared" si="30"/>
        <v>191</v>
      </c>
      <c r="AB84" s="71">
        <f t="shared" si="30"/>
        <v>263.89999999999998</v>
      </c>
      <c r="AC84" s="71">
        <f t="shared" si="30"/>
        <v>275.60000000000002</v>
      </c>
      <c r="AD84" s="71">
        <f t="shared" si="30"/>
        <v>280.7</v>
      </c>
      <c r="AE84" s="71">
        <f t="shared" si="30"/>
        <v>326.3</v>
      </c>
      <c r="AF84" s="71">
        <f t="shared" si="30"/>
        <v>355</v>
      </c>
      <c r="AG84" s="144"/>
      <c r="AH84" s="54">
        <f t="shared" si="22"/>
        <v>412</v>
      </c>
      <c r="AI84" s="55">
        <f t="shared" si="25"/>
        <v>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>IF(B61&lt;0,B61*-1,0)</f>
        <v>0</v>
      </c>
      <c r="C85" s="71">
        <f t="shared" ref="C85:AF85" si="32">IF(C61&lt;0,C61*-1,0)</f>
        <v>0</v>
      </c>
      <c r="D85" s="71">
        <f t="shared" si="32"/>
        <v>0</v>
      </c>
      <c r="E85" s="71">
        <f t="shared" si="32"/>
        <v>0</v>
      </c>
      <c r="F85" s="71">
        <f t="shared" si="32"/>
        <v>0</v>
      </c>
      <c r="G85" s="71">
        <f t="shared" ref="G85" si="33">IF(G61&lt;0,G61*-1,0)</f>
        <v>0</v>
      </c>
      <c r="H85" s="71">
        <f t="shared" si="32"/>
        <v>0</v>
      </c>
      <c r="I85" s="71">
        <f t="shared" si="32"/>
        <v>0</v>
      </c>
      <c r="J85" s="71">
        <f t="shared" si="32"/>
        <v>0</v>
      </c>
      <c r="K85" s="71">
        <f t="shared" si="32"/>
        <v>0</v>
      </c>
      <c r="L85" s="71">
        <f t="shared" si="32"/>
        <v>0</v>
      </c>
      <c r="M85" s="71">
        <f t="shared" si="32"/>
        <v>0</v>
      </c>
      <c r="N85" s="71">
        <f t="shared" si="32"/>
        <v>0</v>
      </c>
      <c r="O85" s="71">
        <f t="shared" si="32"/>
        <v>0</v>
      </c>
      <c r="P85" s="71">
        <f t="shared" si="32"/>
        <v>0</v>
      </c>
      <c r="Q85" s="71">
        <f t="shared" si="32"/>
        <v>0</v>
      </c>
      <c r="R85" s="71">
        <f t="shared" si="32"/>
        <v>0</v>
      </c>
      <c r="S85" s="71">
        <f t="shared" si="32"/>
        <v>0</v>
      </c>
      <c r="T85" s="71">
        <f t="shared" si="32"/>
        <v>0</v>
      </c>
      <c r="U85" s="71">
        <f t="shared" si="32"/>
        <v>0</v>
      </c>
      <c r="V85" s="71">
        <f t="shared" si="32"/>
        <v>0</v>
      </c>
      <c r="W85" s="71">
        <f t="shared" si="32"/>
        <v>0</v>
      </c>
      <c r="X85" s="71">
        <f t="shared" si="32"/>
        <v>0</v>
      </c>
      <c r="Y85" s="71">
        <f t="shared" si="32"/>
        <v>0</v>
      </c>
      <c r="Z85" s="71">
        <f t="shared" si="32"/>
        <v>0</v>
      </c>
      <c r="AA85" s="71">
        <f t="shared" si="32"/>
        <v>0</v>
      </c>
      <c r="AB85" s="71">
        <f t="shared" si="32"/>
        <v>0</v>
      </c>
      <c r="AC85" s="71">
        <f t="shared" si="32"/>
        <v>0</v>
      </c>
      <c r="AD85" s="71">
        <f t="shared" si="32"/>
        <v>0</v>
      </c>
      <c r="AE85" s="71">
        <f t="shared" si="32"/>
        <v>0</v>
      </c>
      <c r="AF85" s="71">
        <f t="shared" si="32"/>
        <v>0</v>
      </c>
      <c r="AG85" s="144"/>
      <c r="AH85" s="54">
        <f t="shared" si="22"/>
        <v>0</v>
      </c>
      <c r="AI85" s="55">
        <f t="shared" si="25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/>
      <c r="AD86" s="74"/>
      <c r="AE86" s="74"/>
      <c r="AF86" s="74"/>
      <c r="AG86" s="141"/>
      <c r="AH86" s="54">
        <f t="shared" si="22"/>
        <v>0</v>
      </c>
      <c r="AI86" s="55">
        <f t="shared" si="25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>SUM(B81:B86)</f>
        <v>342</v>
      </c>
      <c r="C87" s="66">
        <f t="shared" ref="C87:AF87" si="34">SUM(C81:C86)</f>
        <v>365</v>
      </c>
      <c r="D87" s="66">
        <f t="shared" si="34"/>
        <v>377</v>
      </c>
      <c r="E87" s="66">
        <f t="shared" si="34"/>
        <v>402</v>
      </c>
      <c r="F87" s="66">
        <f t="shared" si="34"/>
        <v>0</v>
      </c>
      <c r="G87" s="66">
        <f t="shared" ref="G87" si="35">SUM(G81:G86)</f>
        <v>402</v>
      </c>
      <c r="H87" s="66">
        <f t="shared" si="34"/>
        <v>412</v>
      </c>
      <c r="I87" s="66">
        <f t="shared" si="34"/>
        <v>400</v>
      </c>
      <c r="J87" s="66">
        <f t="shared" si="34"/>
        <v>368</v>
      </c>
      <c r="K87" s="66">
        <f t="shared" si="34"/>
        <v>365</v>
      </c>
      <c r="L87" s="66">
        <f t="shared" si="34"/>
        <v>300</v>
      </c>
      <c r="M87" s="66">
        <f t="shared" si="34"/>
        <v>319</v>
      </c>
      <c r="N87" s="66">
        <f t="shared" si="34"/>
        <v>305.2</v>
      </c>
      <c r="O87" s="66">
        <f t="shared" si="34"/>
        <v>295.8</v>
      </c>
      <c r="P87" s="66">
        <f t="shared" si="34"/>
        <v>276.60000000000002</v>
      </c>
      <c r="Q87" s="66">
        <f t="shared" si="34"/>
        <v>282.3</v>
      </c>
      <c r="R87" s="66">
        <f t="shared" si="34"/>
        <v>330.2</v>
      </c>
      <c r="S87" s="66">
        <f t="shared" si="34"/>
        <v>290</v>
      </c>
      <c r="T87" s="66">
        <f t="shared" si="34"/>
        <v>233</v>
      </c>
      <c r="U87" s="66">
        <f t="shared" si="34"/>
        <v>338</v>
      </c>
      <c r="V87" s="66">
        <f t="shared" si="34"/>
        <v>335</v>
      </c>
      <c r="W87" s="66">
        <f t="shared" si="34"/>
        <v>335</v>
      </c>
      <c r="X87" s="66">
        <f t="shared" si="34"/>
        <v>374</v>
      </c>
      <c r="Y87" s="66">
        <f t="shared" si="34"/>
        <v>323</v>
      </c>
      <c r="Z87" s="66">
        <f t="shared" si="34"/>
        <v>268</v>
      </c>
      <c r="AA87" s="66">
        <f t="shared" si="34"/>
        <v>191</v>
      </c>
      <c r="AB87" s="66">
        <f t="shared" si="34"/>
        <v>263.89999999999998</v>
      </c>
      <c r="AC87" s="66">
        <f t="shared" si="34"/>
        <v>275.60000000000002</v>
      </c>
      <c r="AD87" s="66">
        <f t="shared" si="34"/>
        <v>280.7</v>
      </c>
      <c r="AE87" s="66">
        <f t="shared" si="34"/>
        <v>326.3</v>
      </c>
      <c r="AF87" s="66">
        <f t="shared" si="34"/>
        <v>355</v>
      </c>
      <c r="AG87" s="138"/>
      <c r="AH87" s="54">
        <f t="shared" si="22"/>
        <v>412</v>
      </c>
      <c r="AI87" s="55">
        <f t="shared" si="25"/>
        <v>0</v>
      </c>
      <c r="AK87" s="56"/>
    </row>
    <row r="88" spans="1:88" s="1" customFormat="1" ht="15.75" thickBot="1" x14ac:dyDescent="0.3">
      <c r="A88" s="65" t="s">
        <v>64</v>
      </c>
      <c r="B88" s="66">
        <f>B72-B87</f>
        <v>-302</v>
      </c>
      <c r="C88" s="66">
        <f t="shared" ref="C88:AF88" si="36">C72-C87</f>
        <v>-325.5</v>
      </c>
      <c r="D88" s="66">
        <f t="shared" si="36"/>
        <v>-339</v>
      </c>
      <c r="E88" s="66">
        <f t="shared" si="36"/>
        <v>-372.5</v>
      </c>
      <c r="F88" s="66">
        <f t="shared" si="36"/>
        <v>0</v>
      </c>
      <c r="G88" s="66">
        <f t="shared" ref="G88" si="37">G72-G87</f>
        <v>-372.5</v>
      </c>
      <c r="H88" s="66">
        <f t="shared" si="36"/>
        <v>-389.3</v>
      </c>
      <c r="I88" s="66">
        <f t="shared" si="36"/>
        <v>-386.6</v>
      </c>
      <c r="J88" s="66">
        <f t="shared" si="36"/>
        <v>-355.4</v>
      </c>
      <c r="K88" s="66">
        <f t="shared" si="36"/>
        <v>-352.4</v>
      </c>
      <c r="L88" s="66">
        <f t="shared" si="36"/>
        <v>-287.39999999999998</v>
      </c>
      <c r="M88" s="66">
        <f t="shared" si="36"/>
        <v>-265.5</v>
      </c>
      <c r="N88" s="66">
        <f t="shared" si="36"/>
        <v>-245.2</v>
      </c>
      <c r="O88" s="66">
        <f t="shared" si="36"/>
        <v>-244.8</v>
      </c>
      <c r="P88" s="66">
        <f t="shared" si="36"/>
        <v>-222.60000000000002</v>
      </c>
      <c r="Q88" s="66">
        <f t="shared" si="36"/>
        <v>-222.3</v>
      </c>
      <c r="R88" s="66">
        <f t="shared" si="36"/>
        <v>-262.10000000000002</v>
      </c>
      <c r="S88" s="66">
        <f t="shared" si="36"/>
        <v>-245</v>
      </c>
      <c r="T88" s="66">
        <f t="shared" si="36"/>
        <v>-170</v>
      </c>
      <c r="U88" s="66">
        <f t="shared" si="36"/>
        <v>-274</v>
      </c>
      <c r="V88" s="66">
        <f t="shared" si="36"/>
        <v>-284</v>
      </c>
      <c r="W88" s="66">
        <f t="shared" si="36"/>
        <v>-284</v>
      </c>
      <c r="X88" s="66">
        <f t="shared" si="36"/>
        <v>-323</v>
      </c>
      <c r="Y88" s="66">
        <f t="shared" si="36"/>
        <v>-266</v>
      </c>
      <c r="Z88" s="66">
        <f t="shared" si="36"/>
        <v>-204</v>
      </c>
      <c r="AA88" s="66">
        <f t="shared" si="36"/>
        <v>-117</v>
      </c>
      <c r="AB88" s="66">
        <f t="shared" si="36"/>
        <v>-184.29999999999998</v>
      </c>
      <c r="AC88" s="66">
        <f t="shared" si="36"/>
        <v>-194.50000000000003</v>
      </c>
      <c r="AD88" s="66">
        <f t="shared" si="36"/>
        <v>-199.6</v>
      </c>
      <c r="AE88" s="66">
        <f t="shared" si="36"/>
        <v>-243.70000000000002</v>
      </c>
      <c r="AF88" s="66">
        <f t="shared" si="36"/>
        <v>-275.7</v>
      </c>
      <c r="AG88" s="138"/>
      <c r="AH88" s="54">
        <f t="shared" si="22"/>
        <v>0</v>
      </c>
      <c r="AI88" s="55">
        <f t="shared" si="25"/>
        <v>-389.3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>
        <v>50.045999999999999</v>
      </c>
      <c r="C89" s="80">
        <v>50.055999999999997</v>
      </c>
      <c r="D89" s="80">
        <v>49.9</v>
      </c>
      <c r="E89" s="80">
        <v>50.05</v>
      </c>
      <c r="F89" s="80"/>
      <c r="G89" s="80">
        <v>50.05</v>
      </c>
      <c r="H89" s="80">
        <v>50.04</v>
      </c>
      <c r="I89" s="80">
        <v>50.04</v>
      </c>
      <c r="J89" s="80">
        <v>49.98</v>
      </c>
      <c r="K89" s="80">
        <v>50.01</v>
      </c>
      <c r="L89" s="80">
        <v>49.98</v>
      </c>
      <c r="M89" s="80">
        <v>50.036000000000001</v>
      </c>
      <c r="N89" s="80">
        <v>50.066000000000003</v>
      </c>
      <c r="O89" s="80">
        <v>50.036999999999999</v>
      </c>
      <c r="P89" s="80">
        <v>50.029000000000003</v>
      </c>
      <c r="Q89" s="80">
        <v>49.994999999999997</v>
      </c>
      <c r="R89" s="80">
        <v>49.83</v>
      </c>
      <c r="S89" s="80">
        <v>49.83</v>
      </c>
      <c r="T89" s="80">
        <v>50.1</v>
      </c>
      <c r="U89" s="80">
        <v>49.72</v>
      </c>
      <c r="V89" s="80">
        <v>49.832000000000001</v>
      </c>
      <c r="W89" s="80">
        <v>49.832000000000001</v>
      </c>
      <c r="X89" s="80">
        <v>49.97</v>
      </c>
      <c r="Y89" s="80">
        <v>50.012</v>
      </c>
      <c r="Z89" s="80">
        <v>49.776000000000003</v>
      </c>
      <c r="AA89" s="80">
        <v>49.776000000000003</v>
      </c>
      <c r="AB89" s="80">
        <v>49.935000000000002</v>
      </c>
      <c r="AC89" s="80">
        <v>50.014000000000003</v>
      </c>
      <c r="AD89" s="80">
        <v>49.994999999999997</v>
      </c>
      <c r="AE89" s="80">
        <v>50.06</v>
      </c>
      <c r="AF89" s="80">
        <v>50.082000000000001</v>
      </c>
      <c r="AG89" s="145"/>
      <c r="AH89" s="54">
        <f t="shared" si="22"/>
        <v>50.1</v>
      </c>
      <c r="AI89" s="55">
        <f t="shared" si="25"/>
        <v>49.72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>
        <v>122</v>
      </c>
      <c r="C90" s="48">
        <v>122</v>
      </c>
      <c r="D90" s="48">
        <v>121</v>
      </c>
      <c r="E90" s="48">
        <v>122</v>
      </c>
      <c r="F90" s="48"/>
      <c r="G90" s="48">
        <v>122</v>
      </c>
      <c r="H90" s="48">
        <v>126.3</v>
      </c>
      <c r="I90" s="48">
        <v>126.3</v>
      </c>
      <c r="J90" s="48">
        <v>122.2</v>
      </c>
      <c r="K90" s="48">
        <v>122.2</v>
      </c>
      <c r="L90" s="48">
        <v>122.2</v>
      </c>
      <c r="M90" s="48">
        <v>122.9</v>
      </c>
      <c r="N90" s="48">
        <v>121.3</v>
      </c>
      <c r="O90" s="48">
        <v>122.5</v>
      </c>
      <c r="P90" s="48">
        <v>123.7</v>
      </c>
      <c r="Q90" s="48">
        <v>120.8</v>
      </c>
      <c r="R90" s="48">
        <v>119.5</v>
      </c>
      <c r="S90" s="48">
        <v>119.5</v>
      </c>
      <c r="T90" s="48">
        <v>124</v>
      </c>
      <c r="U90" s="48">
        <v>123</v>
      </c>
      <c r="V90" s="48">
        <v>124</v>
      </c>
      <c r="W90" s="48">
        <v>124</v>
      </c>
      <c r="X90" s="48">
        <v>125.3</v>
      </c>
      <c r="Y90" s="48">
        <v>125.3</v>
      </c>
      <c r="Z90" s="48">
        <v>124.4</v>
      </c>
      <c r="AA90" s="48">
        <v>124.4</v>
      </c>
      <c r="AB90" s="48">
        <v>125.5</v>
      </c>
      <c r="AC90" s="48">
        <v>124.4</v>
      </c>
      <c r="AD90" s="48">
        <v>124.4</v>
      </c>
      <c r="AE90" s="48">
        <v>123.8</v>
      </c>
      <c r="AF90" s="48">
        <v>121.3</v>
      </c>
      <c r="AG90" s="146"/>
      <c r="AH90" s="54">
        <f t="shared" si="22"/>
        <v>126.3</v>
      </c>
      <c r="AI90" s="55">
        <f t="shared" si="25"/>
        <v>119.5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>
        <v>127.7</v>
      </c>
      <c r="C91" s="48">
        <v>127.7</v>
      </c>
      <c r="D91" s="48">
        <v>127.7</v>
      </c>
      <c r="E91" s="48">
        <v>127.7</v>
      </c>
      <c r="F91" s="48"/>
      <c r="G91" s="48">
        <v>127.7</v>
      </c>
      <c r="H91" s="48">
        <v>130.19999999999999</v>
      </c>
      <c r="I91" s="48">
        <v>130.19999999999999</v>
      </c>
      <c r="J91" s="48">
        <v>126.8</v>
      </c>
      <c r="K91" s="48">
        <v>126.8</v>
      </c>
      <c r="L91" s="48">
        <v>126.8</v>
      </c>
      <c r="M91" s="48">
        <v>126.6</v>
      </c>
      <c r="N91" s="48">
        <v>126.1</v>
      </c>
      <c r="O91" s="48">
        <v>126.4</v>
      </c>
      <c r="P91" s="48">
        <v>127</v>
      </c>
      <c r="Q91" s="48">
        <v>125.2</v>
      </c>
      <c r="R91" s="48">
        <v>124</v>
      </c>
      <c r="S91" s="48">
        <v>124</v>
      </c>
      <c r="T91" s="48">
        <v>128</v>
      </c>
      <c r="U91" s="48">
        <v>127</v>
      </c>
      <c r="V91" s="48">
        <v>127</v>
      </c>
      <c r="W91" s="48">
        <v>127</v>
      </c>
      <c r="X91" s="48">
        <v>128.5</v>
      </c>
      <c r="Y91" s="48">
        <v>128.5</v>
      </c>
      <c r="Z91" s="48">
        <v>127.6</v>
      </c>
      <c r="AA91" s="48">
        <v>127.6</v>
      </c>
      <c r="AB91" s="48">
        <v>129.9</v>
      </c>
      <c r="AC91" s="48">
        <v>128.4</v>
      </c>
      <c r="AD91" s="48">
        <v>128.4</v>
      </c>
      <c r="AE91" s="48">
        <v>128.4</v>
      </c>
      <c r="AF91" s="48">
        <v>127.4</v>
      </c>
      <c r="AG91" s="146"/>
      <c r="AH91" s="54">
        <f t="shared" si="22"/>
        <v>130.19999999999999</v>
      </c>
      <c r="AI91" s="55">
        <f t="shared" si="25"/>
        <v>124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>
        <v>129.5</v>
      </c>
      <c r="C92" s="48">
        <v>129.5</v>
      </c>
      <c r="D92" s="48">
        <v>129.5</v>
      </c>
      <c r="E92" s="48">
        <v>129.5</v>
      </c>
      <c r="F92" s="48"/>
      <c r="G92" s="48">
        <v>129.5</v>
      </c>
      <c r="H92" s="48">
        <v>132.4</v>
      </c>
      <c r="I92" s="48">
        <v>132.4</v>
      </c>
      <c r="J92" s="48">
        <v>128.6</v>
      </c>
      <c r="K92" s="48">
        <v>128.6</v>
      </c>
      <c r="L92" s="48">
        <v>128.6</v>
      </c>
      <c r="M92" s="48">
        <v>127.9</v>
      </c>
      <c r="N92" s="48">
        <v>121.3</v>
      </c>
      <c r="O92" s="48">
        <v>128.4</v>
      </c>
      <c r="P92" s="48">
        <v>128</v>
      </c>
      <c r="Q92" s="48">
        <v>128.6</v>
      </c>
      <c r="R92" s="48">
        <v>126.8</v>
      </c>
      <c r="S92" s="48">
        <v>126.8</v>
      </c>
      <c r="T92" s="48">
        <v>131</v>
      </c>
      <c r="U92" s="48">
        <v>127</v>
      </c>
      <c r="V92" s="48">
        <v>130</v>
      </c>
      <c r="W92" s="48">
        <v>130</v>
      </c>
      <c r="X92" s="48">
        <v>130</v>
      </c>
      <c r="Y92" s="48">
        <v>130</v>
      </c>
      <c r="Z92" s="48">
        <v>127.5</v>
      </c>
      <c r="AA92" s="48">
        <v>127.5</v>
      </c>
      <c r="AB92" s="48">
        <v>127.9</v>
      </c>
      <c r="AC92" s="48">
        <v>127.2</v>
      </c>
      <c r="AD92" s="48">
        <v>126.7</v>
      </c>
      <c r="AE92" s="48">
        <v>129.5</v>
      </c>
      <c r="AF92" s="48">
        <v>127.3</v>
      </c>
      <c r="AG92" s="146"/>
      <c r="AH92" s="54">
        <f t="shared" si="22"/>
        <v>132.4</v>
      </c>
      <c r="AI92" s="55">
        <f t="shared" si="25"/>
        <v>121.3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146"/>
      <c r="AH93" s="54">
        <f t="shared" si="22"/>
        <v>0</v>
      </c>
      <c r="AI93" s="55">
        <f t="shared" si="25"/>
        <v>0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>
        <v>130</v>
      </c>
      <c r="C94" s="82">
        <v>130</v>
      </c>
      <c r="D94" s="82">
        <v>132</v>
      </c>
      <c r="E94" s="82">
        <v>132</v>
      </c>
      <c r="F94" s="82"/>
      <c r="G94" s="82">
        <v>132</v>
      </c>
      <c r="H94" s="82">
        <v>134.1</v>
      </c>
      <c r="I94" s="82">
        <v>134.1</v>
      </c>
      <c r="J94" s="82">
        <v>130.30000000000001</v>
      </c>
      <c r="K94" s="82">
        <v>130.30000000000001</v>
      </c>
      <c r="L94" s="82">
        <v>130.30000000000001</v>
      </c>
      <c r="M94" s="82">
        <v>132.6</v>
      </c>
      <c r="N94" s="82">
        <v>133.1</v>
      </c>
      <c r="O94" s="82">
        <v>129.4</v>
      </c>
      <c r="P94" s="82">
        <v>134.80000000000001</v>
      </c>
      <c r="Q94" s="82">
        <v>130.6</v>
      </c>
      <c r="R94" s="82">
        <v>133.4</v>
      </c>
      <c r="S94" s="82">
        <v>133.4</v>
      </c>
      <c r="T94" s="82">
        <v>134.80000000000001</v>
      </c>
      <c r="U94" s="82">
        <v>134</v>
      </c>
      <c r="V94" s="82">
        <v>133</v>
      </c>
      <c r="W94" s="82">
        <v>133</v>
      </c>
      <c r="X94" s="82">
        <v>133.5</v>
      </c>
      <c r="Y94" s="82">
        <v>133.5</v>
      </c>
      <c r="Z94" s="82">
        <v>134</v>
      </c>
      <c r="AA94" s="82">
        <v>134</v>
      </c>
      <c r="AB94" s="82">
        <v>131.9</v>
      </c>
      <c r="AC94" s="82">
        <v>132.19999999999999</v>
      </c>
      <c r="AD94" s="82">
        <v>132.80000000000001</v>
      </c>
      <c r="AE94" s="82">
        <v>132.6</v>
      </c>
      <c r="AF94" s="82">
        <v>131.19999999999999</v>
      </c>
      <c r="AG94" s="147"/>
      <c r="AH94" s="54">
        <f t="shared" si="22"/>
        <v>134.80000000000001</v>
      </c>
      <c r="AI94" s="55">
        <f t="shared" si="25"/>
        <v>129.4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>
        <v>124</v>
      </c>
      <c r="C95" s="48">
        <v>124</v>
      </c>
      <c r="D95" s="48">
        <v>126</v>
      </c>
      <c r="E95" s="48">
        <v>126</v>
      </c>
      <c r="F95" s="48"/>
      <c r="G95" s="48">
        <v>126</v>
      </c>
      <c r="H95" s="48">
        <v>126.9</v>
      </c>
      <c r="I95" s="48">
        <v>126.9</v>
      </c>
      <c r="J95" s="48">
        <v>122</v>
      </c>
      <c r="K95" s="48">
        <v>122</v>
      </c>
      <c r="L95" s="48">
        <v>122</v>
      </c>
      <c r="M95" s="48">
        <v>126.1</v>
      </c>
      <c r="N95" s="48">
        <v>126.9</v>
      </c>
      <c r="O95" s="48">
        <v>131.19999999999999</v>
      </c>
      <c r="P95" s="48">
        <v>128.5</v>
      </c>
      <c r="Q95" s="48">
        <v>126.5</v>
      </c>
      <c r="R95" s="48">
        <v>125.5</v>
      </c>
      <c r="S95" s="48">
        <v>125.5</v>
      </c>
      <c r="T95" s="48">
        <v>133</v>
      </c>
      <c r="U95" s="48">
        <v>130</v>
      </c>
      <c r="V95" s="48">
        <v>127</v>
      </c>
      <c r="W95" s="48">
        <v>127</v>
      </c>
      <c r="X95" s="48">
        <v>132</v>
      </c>
      <c r="Y95" s="48">
        <v>132</v>
      </c>
      <c r="Z95" s="48">
        <v>123</v>
      </c>
      <c r="AA95" s="48">
        <v>123</v>
      </c>
      <c r="AB95" s="48">
        <v>123.8</v>
      </c>
      <c r="AC95" s="48">
        <v>125.5</v>
      </c>
      <c r="AD95" s="48">
        <v>125.6</v>
      </c>
      <c r="AE95" s="48">
        <v>126.5</v>
      </c>
      <c r="AF95" s="48">
        <v>127</v>
      </c>
      <c r="AG95" s="146"/>
      <c r="AH95" s="54">
        <f t="shared" si="22"/>
        <v>133</v>
      </c>
      <c r="AI95" s="55">
        <f t="shared" si="25"/>
        <v>122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>
        <v>64.599999999999994</v>
      </c>
      <c r="C96" s="83">
        <v>64.599999999999994</v>
      </c>
      <c r="D96" s="83">
        <v>64.599999999999994</v>
      </c>
      <c r="E96" s="83">
        <v>64.599999999999994</v>
      </c>
      <c r="F96" s="83"/>
      <c r="G96" s="83">
        <v>64.599999999999994</v>
      </c>
      <c r="H96" s="83">
        <v>65.599999999999994</v>
      </c>
      <c r="I96" s="83">
        <v>65.599999999999994</v>
      </c>
      <c r="J96" s="83">
        <v>64.3</v>
      </c>
      <c r="K96" s="83">
        <v>64.3</v>
      </c>
      <c r="L96" s="83">
        <v>64.3</v>
      </c>
      <c r="M96" s="83">
        <v>64.3</v>
      </c>
      <c r="N96" s="83">
        <v>63.5</v>
      </c>
      <c r="O96" s="83">
        <v>63.3</v>
      </c>
      <c r="P96" s="83">
        <v>63.8</v>
      </c>
      <c r="Q96" s="83">
        <v>63.2</v>
      </c>
      <c r="R96" s="83">
        <v>62.3</v>
      </c>
      <c r="S96" s="83">
        <v>62.3</v>
      </c>
      <c r="T96" s="83">
        <v>64.3</v>
      </c>
      <c r="U96" s="83">
        <v>64</v>
      </c>
      <c r="V96" s="83">
        <v>64.3</v>
      </c>
      <c r="W96" s="83">
        <v>64.3</v>
      </c>
      <c r="X96" s="83">
        <v>65</v>
      </c>
      <c r="Y96" s="83">
        <v>65</v>
      </c>
      <c r="Z96" s="83">
        <v>64.099999999999994</v>
      </c>
      <c r="AA96" s="83">
        <v>64.099999999999994</v>
      </c>
      <c r="AB96" s="83">
        <v>65.2</v>
      </c>
      <c r="AC96" s="83">
        <v>64.8</v>
      </c>
      <c r="AD96" s="83">
        <v>64.7</v>
      </c>
      <c r="AE96" s="83">
        <v>64.8</v>
      </c>
      <c r="AF96" s="83">
        <v>64.3</v>
      </c>
      <c r="AG96" s="148"/>
      <c r="AH96" s="54">
        <f t="shared" si="22"/>
        <v>65.599999999999994</v>
      </c>
      <c r="AI96" s="55">
        <f t="shared" si="25"/>
        <v>62.3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si="22"/>
        <v>0</v>
      </c>
      <c r="AI97" s="55">
        <f t="shared" si="25"/>
        <v>0</v>
      </c>
    </row>
    <row r="98" spans="1:37" ht="15.75" thickBot="1" x14ac:dyDescent="0.3">
      <c r="A98" s="85" t="s">
        <v>73</v>
      </c>
      <c r="B98" s="86">
        <f t="shared" ref="B98:AF98" si="38">SUM(B15,B18,B21:B22,B46,B48:B49,B51,B53,B99:B102,B124,B130,B136,B145,B147,B159,B166,B169:B170,B177,B179,B181,B185:B187,B189:B191,B196,B202:B203,B205:B207,B215,B220)</f>
        <v>51.100000000000009</v>
      </c>
      <c r="C98" s="86">
        <f t="shared" si="38"/>
        <v>47.140000000000008</v>
      </c>
      <c r="D98" s="86">
        <f t="shared" si="38"/>
        <v>47.639999999999993</v>
      </c>
      <c r="E98" s="86">
        <f t="shared" si="38"/>
        <v>53.239999999999995</v>
      </c>
      <c r="F98" s="86">
        <f t="shared" si="38"/>
        <v>0.94</v>
      </c>
      <c r="G98" s="86">
        <f t="shared" si="38"/>
        <v>53.239999999999995</v>
      </c>
      <c r="H98" s="86">
        <f t="shared" si="38"/>
        <v>66.140000000000015</v>
      </c>
      <c r="I98" s="86">
        <f t="shared" si="38"/>
        <v>67.140000000000015</v>
      </c>
      <c r="J98" s="86">
        <f t="shared" si="38"/>
        <v>149.04000000000002</v>
      </c>
      <c r="K98" s="86">
        <f t="shared" si="38"/>
        <v>145.14000000000001</v>
      </c>
      <c r="L98" s="86">
        <f t="shared" si="38"/>
        <v>148.04</v>
      </c>
      <c r="M98" s="86">
        <f t="shared" si="38"/>
        <v>167.94000000000003</v>
      </c>
      <c r="N98" s="86">
        <f t="shared" si="38"/>
        <v>184.74</v>
      </c>
      <c r="O98" s="86">
        <f t="shared" si="38"/>
        <v>200.44</v>
      </c>
      <c r="P98" s="86">
        <f t="shared" si="38"/>
        <v>201.04</v>
      </c>
      <c r="Q98" s="86">
        <f t="shared" si="38"/>
        <v>183.1</v>
      </c>
      <c r="R98" s="86">
        <f t="shared" si="38"/>
        <v>169.60000000000002</v>
      </c>
      <c r="S98" s="86">
        <f t="shared" si="38"/>
        <v>165.3</v>
      </c>
      <c r="T98" s="86">
        <f t="shared" si="38"/>
        <v>177.3</v>
      </c>
      <c r="U98" s="86">
        <f t="shared" si="38"/>
        <v>166.8</v>
      </c>
      <c r="V98" s="86">
        <f t="shared" si="38"/>
        <v>375</v>
      </c>
      <c r="W98" s="86">
        <f t="shared" si="38"/>
        <v>396.8</v>
      </c>
      <c r="X98" s="86">
        <f t="shared" si="38"/>
        <v>151.30000000000001</v>
      </c>
      <c r="Y98" s="86">
        <f t="shared" si="38"/>
        <v>247.39999999999998</v>
      </c>
      <c r="Z98" s="86">
        <f t="shared" si="38"/>
        <v>276.70000000000005</v>
      </c>
      <c r="AA98" s="86">
        <f t="shared" si="38"/>
        <v>186.8</v>
      </c>
      <c r="AB98" s="86">
        <f t="shared" si="38"/>
        <v>208.10000000000002</v>
      </c>
      <c r="AC98" s="86">
        <f t="shared" si="38"/>
        <v>194.20000000000005</v>
      </c>
      <c r="AD98" s="86">
        <f t="shared" si="38"/>
        <v>180.20000000000002</v>
      </c>
      <c r="AE98" s="86">
        <f t="shared" si="38"/>
        <v>117.50000000000003</v>
      </c>
      <c r="AF98" s="86">
        <f t="shared" si="38"/>
        <v>73.300000000000011</v>
      </c>
      <c r="AG98" s="150"/>
      <c r="AH98" s="54">
        <f>MAX(C98:AF98)</f>
        <v>396.8</v>
      </c>
      <c r="AI98" s="55">
        <f>MIN(C98:AF98)</f>
        <v>0.94</v>
      </c>
    </row>
    <row r="99" spans="1:37" x14ac:dyDescent="0.25">
      <c r="A99" s="170" t="s">
        <v>74</v>
      </c>
      <c r="B99" s="87">
        <v>14.9</v>
      </c>
      <c r="C99" s="87">
        <v>17.399999999999999</v>
      </c>
      <c r="D99" s="87">
        <v>15.2</v>
      </c>
      <c r="E99" s="87">
        <v>7.7</v>
      </c>
      <c r="F99" s="87"/>
      <c r="G99" s="87">
        <v>7.7</v>
      </c>
      <c r="H99" s="87">
        <v>19.8</v>
      </c>
      <c r="I99" s="87">
        <v>20.8</v>
      </c>
      <c r="J99" s="87">
        <v>25.5</v>
      </c>
      <c r="K99" s="87">
        <v>28</v>
      </c>
      <c r="L99" s="87">
        <v>31.9</v>
      </c>
      <c r="M99" s="87">
        <v>40.200000000000003</v>
      </c>
      <c r="N99" s="87">
        <v>32.4</v>
      </c>
      <c r="O99" s="87">
        <v>31</v>
      </c>
      <c r="P99" s="87">
        <v>28.1</v>
      </c>
      <c r="Q99" s="87">
        <v>33.6</v>
      </c>
      <c r="R99" s="87">
        <v>47.9</v>
      </c>
      <c r="S99" s="87">
        <v>47.9</v>
      </c>
      <c r="T99" s="87">
        <v>25.5</v>
      </c>
      <c r="U99" s="87">
        <v>30</v>
      </c>
      <c r="V99" s="87">
        <f>52+30</f>
        <v>82</v>
      </c>
      <c r="W99" s="87">
        <f>56+37</f>
        <v>93</v>
      </c>
      <c r="X99" s="87">
        <v>36.5</v>
      </c>
      <c r="Y99" s="87">
        <f>53.5+36.1</f>
        <v>89.6</v>
      </c>
      <c r="Z99" s="87">
        <f>45+28</f>
        <v>73</v>
      </c>
      <c r="AA99" s="87"/>
      <c r="AB99" s="87">
        <v>20.100000000000001</v>
      </c>
      <c r="AC99" s="87">
        <v>21.3</v>
      </c>
      <c r="AD99" s="87">
        <v>22.4</v>
      </c>
      <c r="AE99" s="87">
        <v>21</v>
      </c>
      <c r="AF99" s="87">
        <v>21.1</v>
      </c>
      <c r="AG99" s="151">
        <v>75</v>
      </c>
      <c r="AH99" s="54">
        <f t="shared" ref="AH99:AH106" si="39">IF(ABS(MAX(C99:AF99))&gt;ABS(MIN(C99:AF99)),MAX(C99:AF99),MIN(C99:AF99))</f>
        <v>93</v>
      </c>
      <c r="AI99" s="89">
        <f t="shared" ref="AI99:AI106" si="40">INDEX($C$9:$AF$9,1,MATCH(AH99,C99:AF99,0))</f>
        <v>0.72916666666666663</v>
      </c>
    </row>
    <row r="100" spans="1:37" x14ac:dyDescent="0.25">
      <c r="A100" s="163" t="s">
        <v>75</v>
      </c>
      <c r="B100" s="90">
        <v>-135</v>
      </c>
      <c r="C100" s="90">
        <v>-151</v>
      </c>
      <c r="D100" s="90">
        <v>-147</v>
      </c>
      <c r="E100" s="90">
        <f>-59-56.8</f>
        <v>-115.8</v>
      </c>
      <c r="F100" s="90"/>
      <c r="G100" s="90">
        <f>-59-56.8</f>
        <v>-115.8</v>
      </c>
      <c r="H100" s="90">
        <f>-53.4-57.1</f>
        <v>-110.5</v>
      </c>
      <c r="I100" s="90">
        <f t="shared" ref="I100" si="41">-53.4-57.1</f>
        <v>-110.5</v>
      </c>
      <c r="J100" s="90">
        <v>-33.299999999999997</v>
      </c>
      <c r="K100" s="90">
        <v>-46.8</v>
      </c>
      <c r="L100" s="90">
        <f>-30-25.9</f>
        <v>-55.9</v>
      </c>
      <c r="M100" s="90">
        <v>-74.2</v>
      </c>
      <c r="N100" s="90">
        <v>-55</v>
      </c>
      <c r="O100" s="90">
        <v>-57</v>
      </c>
      <c r="P100" s="90">
        <v>-46.8</v>
      </c>
      <c r="Q100" s="90">
        <v>-72.5</v>
      </c>
      <c r="R100" s="90">
        <v>-75.3</v>
      </c>
      <c r="S100" s="90">
        <v>-75.3</v>
      </c>
      <c r="T100" s="90">
        <v>-95</v>
      </c>
      <c r="U100" s="90">
        <v>-100</v>
      </c>
      <c r="V100" s="90">
        <f>28.8+38.4</f>
        <v>67.2</v>
      </c>
      <c r="W100" s="90">
        <f>35+42</f>
        <v>77</v>
      </c>
      <c r="X100" s="90">
        <v>-103</v>
      </c>
      <c r="Y100" s="90">
        <v>-57</v>
      </c>
      <c r="Z100" s="90">
        <f>-12.1-20</f>
        <v>-32.1</v>
      </c>
      <c r="AA100" s="90"/>
      <c r="AB100" s="90">
        <v>-46.4</v>
      </c>
      <c r="AC100" s="90">
        <v>-54.1</v>
      </c>
      <c r="AD100" s="90">
        <v>-60.1</v>
      </c>
      <c r="AE100" s="90">
        <v>-101.2</v>
      </c>
      <c r="AF100" s="90">
        <v>-140.1</v>
      </c>
      <c r="AG100" s="151">
        <v>240</v>
      </c>
      <c r="AH100" s="54">
        <f t="shared" si="39"/>
        <v>-151</v>
      </c>
      <c r="AI100" s="89">
        <f t="shared" si="40"/>
        <v>4.1666666666666664E-2</v>
      </c>
    </row>
    <row r="101" spans="1:37" x14ac:dyDescent="0.25">
      <c r="A101" s="163" t="s">
        <v>76</v>
      </c>
      <c r="B101" s="90">
        <v>-6.2</v>
      </c>
      <c r="C101" s="90">
        <v>-6.6</v>
      </c>
      <c r="D101" s="90">
        <v>-7.9</v>
      </c>
      <c r="E101" s="90">
        <v>-3</v>
      </c>
      <c r="F101" s="90"/>
      <c r="G101" s="90">
        <v>-3</v>
      </c>
      <c r="H101" s="90">
        <v>-1.5</v>
      </c>
      <c r="I101" s="90">
        <v>-1.5</v>
      </c>
      <c r="J101" s="90">
        <v>-1.5</v>
      </c>
      <c r="K101" s="90">
        <v>5.6</v>
      </c>
      <c r="L101" s="90">
        <v>13.7</v>
      </c>
      <c r="M101" s="90">
        <v>10.6</v>
      </c>
      <c r="N101" s="90">
        <v>12</v>
      </c>
      <c r="O101" s="90">
        <v>30.6</v>
      </c>
      <c r="P101" s="90">
        <v>23.9</v>
      </c>
      <c r="Q101" s="90">
        <v>28.6</v>
      </c>
      <c r="R101" s="90">
        <v>2.2000000000000002</v>
      </c>
      <c r="S101" s="90">
        <v>2.2000000000000002</v>
      </c>
      <c r="T101" s="90">
        <v>52</v>
      </c>
      <c r="U101" s="90">
        <v>42</v>
      </c>
      <c r="V101" s="90">
        <v>31</v>
      </c>
      <c r="W101" s="90">
        <v>32</v>
      </c>
      <c r="X101" s="90">
        <v>31</v>
      </c>
      <c r="Y101" s="90">
        <v>28</v>
      </c>
      <c r="Z101" s="90">
        <v>49</v>
      </c>
      <c r="AA101" s="90"/>
      <c r="AB101" s="90">
        <v>46.9</v>
      </c>
      <c r="AC101" s="90">
        <v>39.5</v>
      </c>
      <c r="AD101" s="90">
        <v>30.1</v>
      </c>
      <c r="AE101" s="90">
        <v>10.199999999999999</v>
      </c>
      <c r="AF101" s="90">
        <v>4.9000000000000004</v>
      </c>
      <c r="AG101" s="151">
        <v>60</v>
      </c>
      <c r="AH101" s="54">
        <f t="shared" si="39"/>
        <v>52</v>
      </c>
      <c r="AI101" s="89">
        <f t="shared" si="40"/>
        <v>0.625</v>
      </c>
    </row>
    <row r="102" spans="1:37" x14ac:dyDescent="0.25">
      <c r="A102" s="164" t="s">
        <v>77</v>
      </c>
      <c r="B102" s="91">
        <v>0</v>
      </c>
      <c r="C102" s="91">
        <v>0</v>
      </c>
      <c r="D102" s="91">
        <v>0</v>
      </c>
      <c r="E102" s="91">
        <v>0</v>
      </c>
      <c r="F102" s="91"/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0</v>
      </c>
      <c r="M102" s="91">
        <v>0</v>
      </c>
      <c r="N102" s="91">
        <v>0</v>
      </c>
      <c r="O102" s="91">
        <v>0</v>
      </c>
      <c r="P102" s="91">
        <v>0</v>
      </c>
      <c r="Q102" s="91">
        <v>0</v>
      </c>
      <c r="R102" s="91">
        <v>0</v>
      </c>
      <c r="S102" s="91">
        <v>0</v>
      </c>
      <c r="T102" s="91">
        <v>0</v>
      </c>
      <c r="U102" s="91">
        <v>0</v>
      </c>
      <c r="V102" s="91">
        <v>0</v>
      </c>
      <c r="W102" s="91">
        <v>0</v>
      </c>
      <c r="X102" s="91">
        <v>0</v>
      </c>
      <c r="Y102" s="91">
        <v>0</v>
      </c>
      <c r="Z102" s="91">
        <v>0</v>
      </c>
      <c r="AA102" s="91"/>
      <c r="AB102" s="91">
        <v>0</v>
      </c>
      <c r="AC102" s="91">
        <v>0</v>
      </c>
      <c r="AD102" s="91">
        <v>0</v>
      </c>
      <c r="AE102" s="91">
        <v>0</v>
      </c>
      <c r="AF102" s="91">
        <v>0</v>
      </c>
      <c r="AG102" s="152">
        <v>120</v>
      </c>
      <c r="AH102" s="54">
        <f t="shared" si="39"/>
        <v>0</v>
      </c>
      <c r="AI102" s="89">
        <f t="shared" si="40"/>
        <v>4.1666666666666664E-2</v>
      </c>
    </row>
    <row r="103" spans="1:37" x14ac:dyDescent="0.25">
      <c r="A103" s="164" t="s">
        <v>78</v>
      </c>
      <c r="B103" s="91">
        <v>48.4</v>
      </c>
      <c r="C103" s="91">
        <v>32.200000000000003</v>
      </c>
      <c r="D103" s="91">
        <v>50.4</v>
      </c>
      <c r="E103" s="91">
        <v>49.7</v>
      </c>
      <c r="F103" s="91"/>
      <c r="G103" s="91">
        <v>49.7</v>
      </c>
      <c r="H103" s="91">
        <v>35.799999999999997</v>
      </c>
      <c r="I103" s="91">
        <v>35.799999999999997</v>
      </c>
      <c r="J103" s="91">
        <v>35.799999999999997</v>
      </c>
      <c r="K103" s="91">
        <v>54</v>
      </c>
      <c r="L103" s="91">
        <v>83.9</v>
      </c>
      <c r="M103" s="91">
        <v>60.9</v>
      </c>
      <c r="N103" s="91">
        <v>92</v>
      </c>
      <c r="O103" s="91">
        <v>70.900000000000006</v>
      </c>
      <c r="P103" s="91">
        <v>82.5</v>
      </c>
      <c r="Q103" s="91">
        <v>79.599999999999994</v>
      </c>
      <c r="R103" s="91">
        <v>62.3</v>
      </c>
      <c r="S103" s="91">
        <v>62.3</v>
      </c>
      <c r="T103" s="91">
        <v>70</v>
      </c>
      <c r="U103" s="91">
        <v>67</v>
      </c>
      <c r="V103" s="91">
        <v>48</v>
      </c>
      <c r="W103" s="91">
        <v>43</v>
      </c>
      <c r="X103" s="91">
        <v>42</v>
      </c>
      <c r="Y103" s="91">
        <v>52</v>
      </c>
      <c r="Z103" s="91">
        <v>77</v>
      </c>
      <c r="AA103" s="91"/>
      <c r="AB103" s="91">
        <v>64.5</v>
      </c>
      <c r="AC103" s="91">
        <v>69.7</v>
      </c>
      <c r="AD103" s="91">
        <v>61.2</v>
      </c>
      <c r="AE103" s="91">
        <v>55.5</v>
      </c>
      <c r="AF103" s="91">
        <v>50.1</v>
      </c>
      <c r="AG103" s="152"/>
      <c r="AH103" s="54">
        <f t="shared" si="39"/>
        <v>92</v>
      </c>
      <c r="AI103" s="89">
        <f t="shared" si="40"/>
        <v>0.375</v>
      </c>
    </row>
    <row r="104" spans="1:37" x14ac:dyDescent="0.25">
      <c r="A104" s="164" t="s">
        <v>105</v>
      </c>
      <c r="B104" s="91">
        <v>54.4</v>
      </c>
      <c r="C104" s="91">
        <v>43.3</v>
      </c>
      <c r="D104" s="91">
        <v>44</v>
      </c>
      <c r="E104" s="91">
        <v>22.7</v>
      </c>
      <c r="F104" s="91"/>
      <c r="G104" s="91">
        <v>22.7</v>
      </c>
      <c r="H104" s="91">
        <v>4</v>
      </c>
      <c r="I104" s="91">
        <v>4</v>
      </c>
      <c r="J104" s="91">
        <v>4</v>
      </c>
      <c r="K104" s="91">
        <v>10.8</v>
      </c>
      <c r="L104" s="91">
        <v>20.100000000000001</v>
      </c>
      <c r="M104" s="91">
        <v>-24.3</v>
      </c>
      <c r="N104" s="91">
        <v>15.8</v>
      </c>
      <c r="O104" s="91">
        <v>13.4</v>
      </c>
      <c r="P104" s="91">
        <v>25.7</v>
      </c>
      <c r="Q104" s="91">
        <v>6</v>
      </c>
      <c r="R104" s="91">
        <v>-58.3</v>
      </c>
      <c r="S104" s="91">
        <v>-58.3</v>
      </c>
      <c r="T104" s="91">
        <v>41</v>
      </c>
      <c r="U104" s="91">
        <v>17</v>
      </c>
      <c r="V104" s="91">
        <v>6</v>
      </c>
      <c r="W104" s="91">
        <v>-6</v>
      </c>
      <c r="X104" s="91">
        <v>4</v>
      </c>
      <c r="Y104" s="91">
        <v>-2</v>
      </c>
      <c r="Z104" s="91">
        <v>28</v>
      </c>
      <c r="AA104" s="91"/>
      <c r="AB104" s="91">
        <v>35.9</v>
      </c>
      <c r="AC104" s="91">
        <v>37.299999999999997</v>
      </c>
      <c r="AD104" s="91">
        <v>27.3</v>
      </c>
      <c r="AE104" s="91">
        <v>29.1</v>
      </c>
      <c r="AF104" s="91">
        <v>25.1</v>
      </c>
      <c r="AG104" s="153"/>
      <c r="AH104" s="54">
        <f t="shared" si="39"/>
        <v>-58.3</v>
      </c>
      <c r="AI104" s="89">
        <f t="shared" si="40"/>
        <v>0.54166666666666696</v>
      </c>
    </row>
    <row r="105" spans="1:37" x14ac:dyDescent="0.25">
      <c r="A105" s="171" t="s">
        <v>106</v>
      </c>
      <c r="B105" s="82">
        <v>94</v>
      </c>
      <c r="C105" s="82">
        <v>95.7</v>
      </c>
      <c r="D105" s="82">
        <v>97.5</v>
      </c>
      <c r="E105" s="82">
        <v>406.4</v>
      </c>
      <c r="F105" s="82"/>
      <c r="G105" s="82">
        <v>406.4</v>
      </c>
      <c r="H105" s="82">
        <v>106.7</v>
      </c>
      <c r="I105" s="82">
        <v>106.7</v>
      </c>
      <c r="J105" s="82">
        <v>106.7</v>
      </c>
      <c r="K105" s="82">
        <v>106.7</v>
      </c>
      <c r="L105" s="82">
        <v>94.3</v>
      </c>
      <c r="M105" s="82">
        <v>66.7</v>
      </c>
      <c r="N105" s="82">
        <v>81.8</v>
      </c>
      <c r="O105" s="82">
        <v>57.8</v>
      </c>
      <c r="P105" s="82">
        <v>84.1</v>
      </c>
      <c r="Q105" s="82">
        <v>76</v>
      </c>
      <c r="R105" s="82">
        <v>81.7</v>
      </c>
      <c r="S105" s="82">
        <v>81.7</v>
      </c>
      <c r="T105" s="82">
        <v>70</v>
      </c>
      <c r="U105" s="82">
        <v>71</v>
      </c>
      <c r="V105" s="82">
        <v>81</v>
      </c>
      <c r="W105" s="82">
        <v>78</v>
      </c>
      <c r="X105" s="82">
        <v>79</v>
      </c>
      <c r="Y105" s="82">
        <v>77</v>
      </c>
      <c r="Z105" s="82">
        <v>70</v>
      </c>
      <c r="AA105" s="82"/>
      <c r="AB105" s="82">
        <v>74.599999999999994</v>
      </c>
      <c r="AC105" s="82">
        <v>75.3</v>
      </c>
      <c r="AD105" s="82">
        <v>75.3</v>
      </c>
      <c r="AE105" s="82">
        <v>78.8</v>
      </c>
      <c r="AF105" s="82">
        <v>87.1</v>
      </c>
      <c r="AG105" s="153"/>
      <c r="AH105" s="54">
        <f t="shared" si="39"/>
        <v>406.4</v>
      </c>
      <c r="AI105" s="89">
        <f t="shared" si="40"/>
        <v>0.125</v>
      </c>
    </row>
    <row r="106" spans="1:37" ht="15.75" thickBot="1" x14ac:dyDescent="0.3">
      <c r="A106" s="171" t="s">
        <v>280</v>
      </c>
      <c r="B106" s="82">
        <v>85</v>
      </c>
      <c r="C106" s="82">
        <v>97.6</v>
      </c>
      <c r="D106" s="82">
        <v>98</v>
      </c>
      <c r="E106" s="82">
        <v>70.400000000000006</v>
      </c>
      <c r="F106" s="82"/>
      <c r="G106" s="82">
        <v>70.400000000000006</v>
      </c>
      <c r="H106" s="82">
        <v>72.3</v>
      </c>
      <c r="I106" s="82">
        <v>72.3</v>
      </c>
      <c r="J106" s="82">
        <v>72.3</v>
      </c>
      <c r="K106" s="82">
        <v>72.3</v>
      </c>
      <c r="L106" s="82">
        <v>21.3</v>
      </c>
      <c r="M106" s="82">
        <v>54</v>
      </c>
      <c r="N106" s="82">
        <v>35.200000000000003</v>
      </c>
      <c r="O106" s="82">
        <v>52</v>
      </c>
      <c r="P106" s="82">
        <v>35.5</v>
      </c>
      <c r="Q106" s="82">
        <v>53.6</v>
      </c>
      <c r="R106" s="82">
        <v>61.9</v>
      </c>
      <c r="S106" s="82">
        <v>61.9</v>
      </c>
      <c r="T106" s="82">
        <v>61</v>
      </c>
      <c r="U106" s="82">
        <v>68</v>
      </c>
      <c r="V106" s="82">
        <v>68</v>
      </c>
      <c r="W106" s="82">
        <v>71</v>
      </c>
      <c r="X106" s="82">
        <v>70</v>
      </c>
      <c r="Y106" s="82">
        <v>55</v>
      </c>
      <c r="Z106" s="82">
        <v>39</v>
      </c>
      <c r="AA106" s="82"/>
      <c r="AB106" s="82">
        <v>55.9</v>
      </c>
      <c r="AC106" s="82">
        <v>49.5</v>
      </c>
      <c r="AD106" s="82">
        <v>62.1</v>
      </c>
      <c r="AE106" s="82">
        <v>74.099999999999994</v>
      </c>
      <c r="AF106" s="82">
        <v>95.34</v>
      </c>
      <c r="AG106" s="153"/>
      <c r="AH106" s="54">
        <f t="shared" si="39"/>
        <v>98</v>
      </c>
      <c r="AI106" s="89">
        <f t="shared" si="40"/>
        <v>8.3333333333333301E-2</v>
      </c>
    </row>
    <row r="107" spans="1:37" ht="15.75" thickBot="1" x14ac:dyDescent="0.3">
      <c r="A107" s="92" t="s">
        <v>79</v>
      </c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154"/>
      <c r="AH107" s="94"/>
      <c r="AI107" s="55"/>
      <c r="AK107" s="56"/>
    </row>
    <row r="108" spans="1:37" x14ac:dyDescent="0.25">
      <c r="A108" s="162" t="s">
        <v>133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>
        <v>9.94</v>
      </c>
      <c r="AH108" s="54"/>
      <c r="AI108" s="55"/>
      <c r="AK108" s="56"/>
    </row>
    <row r="109" spans="1:37" x14ac:dyDescent="0.25">
      <c r="A109" s="163" t="s">
        <v>134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135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136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137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138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139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140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141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142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143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144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145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146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147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148</v>
      </c>
      <c r="B123" s="95"/>
      <c r="C123" s="53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6"/>
      <c r="AH123" s="54"/>
      <c r="AI123" s="55"/>
      <c r="AK123" s="56"/>
    </row>
    <row r="124" spans="1:37" x14ac:dyDescent="0.25">
      <c r="A124" s="163" t="s">
        <v>149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9">
        <v>9.9</v>
      </c>
      <c r="AH124" s="54"/>
      <c r="AI124" s="55"/>
      <c r="AK124" s="56"/>
    </row>
    <row r="125" spans="1:37" x14ac:dyDescent="0.25">
      <c r="A125" s="164" t="s">
        <v>80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9.6579999999999995</v>
      </c>
      <c r="AH125" s="54"/>
      <c r="AI125" s="55"/>
      <c r="AK125" s="56"/>
    </row>
    <row r="126" spans="1:37" x14ac:dyDescent="0.25">
      <c r="A126" s="164" t="s">
        <v>150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9.6</v>
      </c>
      <c r="AH126" s="54"/>
      <c r="AI126" s="55"/>
      <c r="AK126" s="56"/>
    </row>
    <row r="127" spans="1:37" x14ac:dyDescent="0.25">
      <c r="A127" s="164" t="s">
        <v>151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9.51</v>
      </c>
      <c r="AH127" s="54"/>
      <c r="AI127" s="55"/>
      <c r="AK127" s="56"/>
    </row>
    <row r="128" spans="1:37" x14ac:dyDescent="0.25">
      <c r="A128" s="164" t="s">
        <v>152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9.4</v>
      </c>
      <c r="AH128" s="54"/>
      <c r="AI128" s="55"/>
      <c r="AK128" s="56"/>
    </row>
    <row r="129" spans="1:37" x14ac:dyDescent="0.25">
      <c r="A129" s="164" t="s">
        <v>153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8.8000000000000007</v>
      </c>
      <c r="AH129" s="54"/>
      <c r="AI129" s="55"/>
      <c r="AK129" s="56"/>
    </row>
    <row r="130" spans="1:37" x14ac:dyDescent="0.25">
      <c r="A130" s="164" t="s">
        <v>154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155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8.5</v>
      </c>
      <c r="AH131" s="54"/>
      <c r="AI131" s="55"/>
      <c r="AK131" s="56"/>
    </row>
    <row r="132" spans="1:37" x14ac:dyDescent="0.25">
      <c r="A132" s="164" t="s">
        <v>156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8.4</v>
      </c>
      <c r="AH132" s="54"/>
      <c r="AI132" s="55"/>
      <c r="AK132" s="56"/>
    </row>
    <row r="133" spans="1:37" ht="13.5" customHeight="1" x14ac:dyDescent="0.25">
      <c r="A133" s="164" t="s">
        <v>157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158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159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8</v>
      </c>
      <c r="AH135" s="54"/>
      <c r="AI135" s="55"/>
      <c r="AK135" s="56"/>
    </row>
    <row r="136" spans="1:37" x14ac:dyDescent="0.25">
      <c r="A136" s="164" t="s">
        <v>160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7.8</v>
      </c>
      <c r="AH136" s="54"/>
      <c r="AI136" s="55"/>
      <c r="AK136" s="56"/>
    </row>
    <row r="137" spans="1:37" x14ac:dyDescent="0.25">
      <c r="A137" s="164" t="s">
        <v>161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7.6</v>
      </c>
      <c r="AH137" s="54"/>
      <c r="AI137" s="55"/>
      <c r="AK137" s="56"/>
    </row>
    <row r="138" spans="1:37" x14ac:dyDescent="0.25">
      <c r="A138" s="164" t="s">
        <v>162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163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7.5</v>
      </c>
      <c r="AH139" s="54"/>
      <c r="AI139" s="55"/>
      <c r="AK139" s="56"/>
    </row>
    <row r="140" spans="1:37" x14ac:dyDescent="0.25">
      <c r="A140" s="164" t="s">
        <v>164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165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166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167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7</v>
      </c>
      <c r="AH143" s="54"/>
      <c r="AI143" s="55"/>
      <c r="AK143" s="56"/>
    </row>
    <row r="144" spans="1:37" x14ac:dyDescent="0.25">
      <c r="A144" s="164" t="s">
        <v>168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169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6.6</v>
      </c>
      <c r="AH145" s="54"/>
      <c r="AI145" s="55"/>
      <c r="AK145" s="56"/>
    </row>
    <row r="146" spans="1:37" x14ac:dyDescent="0.25">
      <c r="A146" s="164" t="s">
        <v>170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6.4</v>
      </c>
      <c r="AH146" s="54"/>
      <c r="AI146" s="55"/>
      <c r="AK146" s="56"/>
    </row>
    <row r="147" spans="1:37" x14ac:dyDescent="0.25">
      <c r="A147" s="164" t="s">
        <v>171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6</v>
      </c>
      <c r="AH147" s="54"/>
      <c r="AI147" s="55"/>
      <c r="AK147" s="56"/>
    </row>
    <row r="148" spans="1:37" x14ac:dyDescent="0.25">
      <c r="A148" s="164" t="s">
        <v>172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5.0999999999999996</v>
      </c>
      <c r="AH148" s="54"/>
      <c r="AI148" s="55"/>
      <c r="AK148" s="56"/>
    </row>
    <row r="149" spans="1:37" x14ac:dyDescent="0.25">
      <c r="A149" s="164" t="s">
        <v>173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100">
        <v>5</v>
      </c>
      <c r="AH149" s="54"/>
      <c r="AI149" s="55"/>
      <c r="AK149" s="56"/>
    </row>
    <row r="150" spans="1:37" x14ac:dyDescent="0.25">
      <c r="A150" s="163" t="s">
        <v>174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99">
        <v>5</v>
      </c>
      <c r="AH150" s="54"/>
      <c r="AI150" s="55"/>
      <c r="AK150" s="56"/>
    </row>
    <row r="151" spans="1:37" x14ac:dyDescent="0.25">
      <c r="A151" s="164" t="s">
        <v>175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176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177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178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179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5</v>
      </c>
      <c r="AH155" s="54"/>
      <c r="AI155" s="55"/>
      <c r="AK155" s="56"/>
    </row>
    <row r="156" spans="1:37" x14ac:dyDescent="0.25">
      <c r="A156" s="164" t="s">
        <v>180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4.9930000000000003</v>
      </c>
      <c r="AH156" s="54"/>
      <c r="AI156" s="55"/>
      <c r="AK156" s="56"/>
    </row>
    <row r="157" spans="1:37" x14ac:dyDescent="0.25">
      <c r="A157" s="164" t="s">
        <v>181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4.9800000000000004</v>
      </c>
      <c r="AH157" s="54"/>
      <c r="AI157" s="55"/>
      <c r="AK157" s="56"/>
    </row>
    <row r="158" spans="1:37" x14ac:dyDescent="0.25">
      <c r="A158" s="164" t="s">
        <v>182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81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4.95</v>
      </c>
      <c r="AH159" s="54"/>
      <c r="AI159" s="55"/>
      <c r="AK159" s="56"/>
    </row>
    <row r="160" spans="1:37" x14ac:dyDescent="0.25">
      <c r="A160" s="164" t="s">
        <v>183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184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185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4.8</v>
      </c>
      <c r="AH162" s="54"/>
      <c r="AI162" s="55"/>
      <c r="AK162" s="56"/>
    </row>
    <row r="163" spans="1:37" x14ac:dyDescent="0.25">
      <c r="A163" s="164" t="s">
        <v>186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187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4.5</v>
      </c>
      <c r="AH164" s="54"/>
      <c r="AI164" s="55"/>
      <c r="AK164" s="56"/>
    </row>
    <row r="165" spans="1:37" x14ac:dyDescent="0.25">
      <c r="A165" s="164" t="s">
        <v>188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4.4550000000000001</v>
      </c>
      <c r="AH165" s="54"/>
      <c r="AI165" s="55"/>
      <c r="AK165" s="56"/>
    </row>
    <row r="166" spans="1:37" x14ac:dyDescent="0.25">
      <c r="A166" s="164" t="s">
        <v>189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4.41</v>
      </c>
      <c r="AH166" s="54"/>
      <c r="AI166" s="55"/>
      <c r="AK166" s="56"/>
    </row>
    <row r="167" spans="1:37" x14ac:dyDescent="0.25">
      <c r="A167" s="164" t="s">
        <v>190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4.4000000000000004</v>
      </c>
      <c r="AH167" s="54"/>
      <c r="AI167" s="55"/>
      <c r="AK167" s="56"/>
    </row>
    <row r="168" spans="1:37" x14ac:dyDescent="0.25">
      <c r="A168" s="164" t="s">
        <v>191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4.3600000000000003</v>
      </c>
      <c r="AH168" s="54"/>
      <c r="AI168" s="55"/>
      <c r="AK168" s="56"/>
    </row>
    <row r="169" spans="1:37" x14ac:dyDescent="0.25">
      <c r="A169" s="164" t="s">
        <v>192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4.2</v>
      </c>
      <c r="AH169" s="54"/>
      <c r="AI169" s="55"/>
      <c r="AK169" s="56"/>
    </row>
    <row r="170" spans="1:37" x14ac:dyDescent="0.25">
      <c r="A170" s="164" t="s">
        <v>193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194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195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196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197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198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199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200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4</v>
      </c>
      <c r="AH177" s="54"/>
      <c r="AI177" s="55"/>
      <c r="AK177" s="56"/>
    </row>
    <row r="178" spans="1:37" x14ac:dyDescent="0.25">
      <c r="A178" s="164" t="s">
        <v>201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3.75</v>
      </c>
      <c r="AH178" s="54"/>
      <c r="AI178" s="55"/>
      <c r="AK178" s="56"/>
    </row>
    <row r="179" spans="1:37" x14ac:dyDescent="0.25">
      <c r="A179" s="164" t="s">
        <v>202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3.52</v>
      </c>
      <c r="AH179" s="54"/>
      <c r="AI179" s="55"/>
      <c r="AK179" s="56"/>
    </row>
    <row r="180" spans="1:37" x14ac:dyDescent="0.25">
      <c r="A180" s="164" t="s">
        <v>203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3.33</v>
      </c>
      <c r="AH180" s="54"/>
      <c r="AI180" s="55"/>
      <c r="AK180" s="56"/>
    </row>
    <row r="181" spans="1:37" x14ac:dyDescent="0.25">
      <c r="A181" s="164" t="s">
        <v>204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3.2</v>
      </c>
      <c r="AH181" s="54"/>
      <c r="AI181" s="55"/>
      <c r="AK181" s="56"/>
    </row>
    <row r="182" spans="1:37" x14ac:dyDescent="0.25">
      <c r="A182" s="164" t="s">
        <v>205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206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207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208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209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210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211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212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3</v>
      </c>
      <c r="AH189" s="54"/>
      <c r="AI189" s="55"/>
      <c r="AK189" s="56"/>
    </row>
    <row r="190" spans="1:37" x14ac:dyDescent="0.25">
      <c r="A190" s="164" t="s">
        <v>213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2.83</v>
      </c>
      <c r="AH190" s="54"/>
      <c r="AI190" s="55"/>
      <c r="AK190" s="56"/>
    </row>
    <row r="191" spans="1:37" x14ac:dyDescent="0.25">
      <c r="A191" s="164" t="s">
        <v>214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215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2.5</v>
      </c>
      <c r="AH192" s="54"/>
      <c r="AI192" s="55"/>
      <c r="AK192" s="56"/>
    </row>
    <row r="193" spans="1:37" x14ac:dyDescent="0.25">
      <c r="A193" s="164" t="s">
        <v>216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217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2.4</v>
      </c>
      <c r="AH194" s="54"/>
      <c r="AI194" s="55"/>
      <c r="AK194" s="56"/>
    </row>
    <row r="195" spans="1:37" x14ac:dyDescent="0.25">
      <c r="A195" s="164" t="s">
        <v>218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2.2000000000000002</v>
      </c>
      <c r="AH195" s="54"/>
      <c r="AI195" s="55"/>
      <c r="AK195" s="56"/>
    </row>
    <row r="196" spans="1:37" x14ac:dyDescent="0.25">
      <c r="A196" s="164" t="s">
        <v>219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220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221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2</v>
      </c>
      <c r="AH198" s="54"/>
      <c r="AI198" s="55"/>
      <c r="AK198" s="56"/>
    </row>
    <row r="199" spans="1:37" x14ac:dyDescent="0.25">
      <c r="A199" s="164" t="s">
        <v>222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223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1.8</v>
      </c>
      <c r="AH200" s="54"/>
      <c r="AI200" s="55"/>
      <c r="AK200" s="56"/>
    </row>
    <row r="201" spans="1:37" x14ac:dyDescent="0.25">
      <c r="A201" s="164" t="s">
        <v>224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1.65</v>
      </c>
      <c r="AH201" s="54"/>
      <c r="AI201" s="55"/>
      <c r="AK201" s="56"/>
    </row>
    <row r="202" spans="1:37" x14ac:dyDescent="0.25">
      <c r="A202" s="164" t="s">
        <v>225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1.5</v>
      </c>
      <c r="AH202" s="54"/>
      <c r="AI202" s="55"/>
      <c r="AK202" s="56"/>
    </row>
    <row r="203" spans="1:37" x14ac:dyDescent="0.25">
      <c r="A203" s="164" t="s">
        <v>226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0.998</v>
      </c>
      <c r="AH203" s="54"/>
      <c r="AI203" s="55"/>
      <c r="AK203" s="56"/>
    </row>
    <row r="204" spans="1:37" x14ac:dyDescent="0.25">
      <c r="A204" s="164" t="s">
        <v>227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228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0.997</v>
      </c>
      <c r="AH205" s="54"/>
      <c r="AI205" s="55"/>
      <c r="AK205" s="56"/>
    </row>
    <row r="206" spans="1:37" x14ac:dyDescent="0.25">
      <c r="A206" s="164" t="s">
        <v>229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230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231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0.996</v>
      </c>
      <c r="AH208" s="54"/>
      <c r="AI208" s="55"/>
      <c r="AK208" s="56"/>
    </row>
    <row r="209" spans="1:37" x14ac:dyDescent="0.25">
      <c r="A209" s="164" t="s">
        <v>232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0.995</v>
      </c>
      <c r="AH209" s="54"/>
      <c r="AI209" s="55"/>
      <c r="AK209" s="56"/>
    </row>
    <row r="210" spans="1:37" x14ac:dyDescent="0.25">
      <c r="A210" s="164" t="s">
        <v>233</v>
      </c>
      <c r="B210" s="97"/>
      <c r="C210" s="98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0.99299999999999999</v>
      </c>
      <c r="AH210" s="54"/>
      <c r="AI210" s="55"/>
      <c r="AK210" s="56"/>
    </row>
    <row r="211" spans="1:37" x14ac:dyDescent="0.25">
      <c r="A211" s="164" t="s">
        <v>234</v>
      </c>
      <c r="B211" s="97"/>
      <c r="C211" s="53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  <c r="AF211" s="97"/>
      <c r="AG211" s="100">
        <v>0.99</v>
      </c>
      <c r="AH211" s="54"/>
      <c r="AI211" s="55"/>
      <c r="AK211" s="56"/>
    </row>
    <row r="212" spans="1:37" ht="15.75" thickBot="1" x14ac:dyDescent="0.3">
      <c r="A212" s="164" t="s">
        <v>235</v>
      </c>
      <c r="B212" s="102"/>
      <c r="C212" s="166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0">
        <v>0.97899999999999998</v>
      </c>
      <c r="AH212" s="54"/>
      <c r="AI212" s="55"/>
      <c r="AK212" s="56"/>
    </row>
    <row r="213" spans="1:37" ht="15.75" thickBot="1" x14ac:dyDescent="0.3">
      <c r="A213" s="165" t="s">
        <v>82</v>
      </c>
      <c r="B213" s="167">
        <f>SUM(B108:B212)</f>
        <v>0</v>
      </c>
      <c r="C213" s="103">
        <f t="shared" ref="C213:AG213" si="42">SUM(C108:C212)</f>
        <v>0</v>
      </c>
      <c r="D213" s="103">
        <f t="shared" si="42"/>
        <v>0</v>
      </c>
      <c r="E213" s="103">
        <f t="shared" si="42"/>
        <v>0</v>
      </c>
      <c r="F213" s="103">
        <f t="shared" si="42"/>
        <v>0</v>
      </c>
      <c r="G213" s="103">
        <f t="shared" si="42"/>
        <v>0</v>
      </c>
      <c r="H213" s="103">
        <f t="shared" si="42"/>
        <v>0</v>
      </c>
      <c r="I213" s="103">
        <f t="shared" si="42"/>
        <v>0</v>
      </c>
      <c r="J213" s="103">
        <f t="shared" si="42"/>
        <v>0</v>
      </c>
      <c r="K213" s="103">
        <f t="shared" si="42"/>
        <v>0</v>
      </c>
      <c r="L213" s="103">
        <f t="shared" si="42"/>
        <v>0</v>
      </c>
      <c r="M213" s="103">
        <f t="shared" si="42"/>
        <v>0</v>
      </c>
      <c r="N213" s="103">
        <f t="shared" si="42"/>
        <v>0</v>
      </c>
      <c r="O213" s="103">
        <f t="shared" si="42"/>
        <v>0</v>
      </c>
      <c r="P213" s="103">
        <f t="shared" si="42"/>
        <v>0</v>
      </c>
      <c r="Q213" s="103">
        <f t="shared" si="42"/>
        <v>0</v>
      </c>
      <c r="R213" s="103">
        <f t="shared" si="42"/>
        <v>0</v>
      </c>
      <c r="S213" s="103">
        <f t="shared" si="42"/>
        <v>0</v>
      </c>
      <c r="T213" s="103">
        <f t="shared" si="42"/>
        <v>0</v>
      </c>
      <c r="U213" s="103">
        <f t="shared" si="42"/>
        <v>0</v>
      </c>
      <c r="V213" s="103">
        <f t="shared" si="42"/>
        <v>0</v>
      </c>
      <c r="W213" s="103">
        <f t="shared" si="42"/>
        <v>0</v>
      </c>
      <c r="X213" s="103">
        <f t="shared" si="42"/>
        <v>0</v>
      </c>
      <c r="Y213" s="103">
        <f t="shared" si="42"/>
        <v>0</v>
      </c>
      <c r="Z213" s="103">
        <f t="shared" si="42"/>
        <v>0</v>
      </c>
      <c r="AA213" s="103">
        <f t="shared" si="42"/>
        <v>0</v>
      </c>
      <c r="AB213" s="103">
        <f t="shared" si="42"/>
        <v>0</v>
      </c>
      <c r="AC213" s="103">
        <f t="shared" si="42"/>
        <v>0</v>
      </c>
      <c r="AD213" s="103">
        <f t="shared" si="42"/>
        <v>0</v>
      </c>
      <c r="AE213" s="103">
        <f t="shared" si="42"/>
        <v>0</v>
      </c>
      <c r="AF213" s="168">
        <f t="shared" si="42"/>
        <v>0</v>
      </c>
      <c r="AG213" s="169">
        <f t="shared" si="42"/>
        <v>412.72299999999984</v>
      </c>
      <c r="AH213" s="54"/>
      <c r="AI213" s="55"/>
      <c r="AK213" s="56"/>
    </row>
    <row r="214" spans="1:37" ht="15.75" thickBot="1" x14ac:dyDescent="0.3">
      <c r="A214" s="28" t="s">
        <v>35</v>
      </c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149"/>
      <c r="AH214" s="54"/>
      <c r="AI214" s="55"/>
      <c r="AK214" s="56"/>
    </row>
    <row r="215" spans="1:37" x14ac:dyDescent="0.25">
      <c r="A215" s="170" t="s">
        <v>83</v>
      </c>
      <c r="B215" s="101">
        <f t="shared" ref="B215:B220" si="43">AF215</f>
        <v>0</v>
      </c>
      <c r="C215" s="101">
        <v>0.3</v>
      </c>
      <c r="D215" s="101">
        <f t="shared" ref="D215:P220" si="44">C215</f>
        <v>0.3</v>
      </c>
      <c r="E215" s="101">
        <f t="shared" si="44"/>
        <v>0.3</v>
      </c>
      <c r="F215" s="101">
        <f t="shared" si="44"/>
        <v>0.3</v>
      </c>
      <c r="G215" s="101">
        <f t="shared" si="44"/>
        <v>0.3</v>
      </c>
      <c r="H215" s="101">
        <f t="shared" si="44"/>
        <v>0.3</v>
      </c>
      <c r="I215" s="101">
        <f t="shared" si="44"/>
        <v>0.3</v>
      </c>
      <c r="J215" s="101">
        <f t="shared" si="44"/>
        <v>0.3</v>
      </c>
      <c r="K215" s="101">
        <f t="shared" si="44"/>
        <v>0.3</v>
      </c>
      <c r="L215" s="101">
        <f t="shared" si="44"/>
        <v>0.3</v>
      </c>
      <c r="M215" s="101">
        <f t="shared" si="44"/>
        <v>0.3</v>
      </c>
      <c r="N215" s="101">
        <f t="shared" si="44"/>
        <v>0.3</v>
      </c>
      <c r="O215" s="101">
        <f t="shared" si="44"/>
        <v>0.3</v>
      </c>
      <c r="P215" s="101">
        <f t="shared" si="44"/>
        <v>0.3</v>
      </c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  <c r="AE215" s="101"/>
      <c r="AF215" s="101"/>
      <c r="AG215" s="155">
        <v>2.4</v>
      </c>
      <c r="AH215" s="54"/>
      <c r="AI215" s="55"/>
      <c r="AK215" s="56"/>
    </row>
    <row r="216" spans="1:37" x14ac:dyDescent="0.25">
      <c r="A216" s="163" t="s">
        <v>84</v>
      </c>
      <c r="B216" s="97">
        <f t="shared" si="43"/>
        <v>0</v>
      </c>
      <c r="C216" s="97">
        <v>0.4</v>
      </c>
      <c r="D216" s="97">
        <f t="shared" si="44"/>
        <v>0.4</v>
      </c>
      <c r="E216" s="97">
        <f t="shared" si="44"/>
        <v>0.4</v>
      </c>
      <c r="F216" s="97">
        <f t="shared" si="44"/>
        <v>0.4</v>
      </c>
      <c r="G216" s="97">
        <f t="shared" si="44"/>
        <v>0.4</v>
      </c>
      <c r="H216" s="97">
        <f t="shared" si="44"/>
        <v>0.4</v>
      </c>
      <c r="I216" s="97">
        <f t="shared" si="44"/>
        <v>0.4</v>
      </c>
      <c r="J216" s="97">
        <f t="shared" si="44"/>
        <v>0.4</v>
      </c>
      <c r="K216" s="97">
        <f t="shared" si="44"/>
        <v>0.4</v>
      </c>
      <c r="L216" s="97">
        <f t="shared" si="44"/>
        <v>0.4</v>
      </c>
      <c r="M216" s="97">
        <f t="shared" si="44"/>
        <v>0.4</v>
      </c>
      <c r="N216" s="97">
        <f t="shared" si="44"/>
        <v>0.4</v>
      </c>
      <c r="O216" s="97">
        <f t="shared" si="44"/>
        <v>0.4</v>
      </c>
      <c r="P216" s="97">
        <f t="shared" si="44"/>
        <v>0.4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2</v>
      </c>
      <c r="AH216" s="54"/>
      <c r="AI216" s="55"/>
      <c r="AK216" s="56"/>
    </row>
    <row r="217" spans="1:37" x14ac:dyDescent="0.25">
      <c r="A217" s="163" t="s">
        <v>85</v>
      </c>
      <c r="B217" s="97">
        <f t="shared" si="43"/>
        <v>0</v>
      </c>
      <c r="C217" s="97">
        <v>1.5</v>
      </c>
      <c r="D217" s="97">
        <f t="shared" si="44"/>
        <v>1.5</v>
      </c>
      <c r="E217" s="97">
        <f t="shared" si="44"/>
        <v>1.5</v>
      </c>
      <c r="F217" s="97">
        <f t="shared" si="44"/>
        <v>1.5</v>
      </c>
      <c r="G217" s="97">
        <f t="shared" si="44"/>
        <v>1.5</v>
      </c>
      <c r="H217" s="97">
        <f t="shared" si="44"/>
        <v>1.5</v>
      </c>
      <c r="I217" s="97">
        <f t="shared" si="44"/>
        <v>1.5</v>
      </c>
      <c r="J217" s="97">
        <f t="shared" si="44"/>
        <v>1.5</v>
      </c>
      <c r="K217" s="97">
        <f t="shared" si="44"/>
        <v>1.5</v>
      </c>
      <c r="L217" s="97">
        <f t="shared" si="44"/>
        <v>1.5</v>
      </c>
      <c r="M217" s="97">
        <f t="shared" si="44"/>
        <v>1.5</v>
      </c>
      <c r="N217" s="97">
        <f t="shared" si="44"/>
        <v>1.5</v>
      </c>
      <c r="O217" s="97">
        <f t="shared" si="44"/>
        <v>1.5</v>
      </c>
      <c r="P217" s="97">
        <f t="shared" si="44"/>
        <v>1.5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1.5</v>
      </c>
      <c r="AH217" s="54"/>
      <c r="AI217" s="55"/>
      <c r="AK217" s="56"/>
    </row>
    <row r="218" spans="1:37" x14ac:dyDescent="0.25">
      <c r="A218" s="163" t="s">
        <v>86</v>
      </c>
      <c r="B218" s="97">
        <f t="shared" si="43"/>
        <v>0</v>
      </c>
      <c r="C218" s="97">
        <v>0.3</v>
      </c>
      <c r="D218" s="97">
        <f t="shared" si="44"/>
        <v>0.3</v>
      </c>
      <c r="E218" s="97">
        <f t="shared" si="44"/>
        <v>0.3</v>
      </c>
      <c r="F218" s="97">
        <f t="shared" si="44"/>
        <v>0.3</v>
      </c>
      <c r="G218" s="97">
        <f t="shared" si="44"/>
        <v>0.3</v>
      </c>
      <c r="H218" s="97">
        <f t="shared" si="44"/>
        <v>0.3</v>
      </c>
      <c r="I218" s="97">
        <f t="shared" si="44"/>
        <v>0.3</v>
      </c>
      <c r="J218" s="97">
        <f t="shared" si="44"/>
        <v>0.3</v>
      </c>
      <c r="K218" s="97">
        <f t="shared" si="44"/>
        <v>0.3</v>
      </c>
      <c r="L218" s="97">
        <f t="shared" si="44"/>
        <v>0.3</v>
      </c>
      <c r="M218" s="97">
        <f t="shared" si="44"/>
        <v>0.3</v>
      </c>
      <c r="N218" s="97">
        <f t="shared" si="44"/>
        <v>0.3</v>
      </c>
      <c r="O218" s="97">
        <f t="shared" si="44"/>
        <v>0.3</v>
      </c>
      <c r="P218" s="97">
        <f t="shared" si="44"/>
        <v>0.3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x14ac:dyDescent="0.25">
      <c r="A219" s="163" t="s">
        <v>87</v>
      </c>
      <c r="B219" s="97">
        <f t="shared" si="43"/>
        <v>0</v>
      </c>
      <c r="C219" s="97">
        <v>0.4</v>
      </c>
      <c r="D219" s="97">
        <f t="shared" si="44"/>
        <v>0.4</v>
      </c>
      <c r="E219" s="97">
        <f t="shared" si="44"/>
        <v>0.4</v>
      </c>
      <c r="F219" s="97">
        <f t="shared" si="44"/>
        <v>0.4</v>
      </c>
      <c r="G219" s="97">
        <f t="shared" si="44"/>
        <v>0.4</v>
      </c>
      <c r="H219" s="97">
        <f t="shared" si="44"/>
        <v>0.4</v>
      </c>
      <c r="I219" s="97">
        <f t="shared" si="44"/>
        <v>0.4</v>
      </c>
      <c r="J219" s="97">
        <f t="shared" si="44"/>
        <v>0.4</v>
      </c>
      <c r="K219" s="97">
        <f t="shared" si="44"/>
        <v>0.4</v>
      </c>
      <c r="L219" s="97">
        <f t="shared" si="44"/>
        <v>0.4</v>
      </c>
      <c r="M219" s="97">
        <f t="shared" si="44"/>
        <v>0.4</v>
      </c>
      <c r="N219" s="97">
        <f t="shared" si="44"/>
        <v>0.4</v>
      </c>
      <c r="O219" s="97">
        <f t="shared" si="44"/>
        <v>0.4</v>
      </c>
      <c r="P219" s="97">
        <f t="shared" si="44"/>
        <v>0.4</v>
      </c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  <c r="AE219" s="97"/>
      <c r="AF219" s="97"/>
      <c r="AG219" s="156">
        <v>1</v>
      </c>
      <c r="AH219" s="54"/>
      <c r="AI219" s="55"/>
      <c r="AK219" s="56"/>
    </row>
    <row r="220" spans="1:37" ht="15.75" thickBot="1" x14ac:dyDescent="0.3">
      <c r="A220" s="164" t="s">
        <v>88</v>
      </c>
      <c r="B220" s="102">
        <f t="shared" si="43"/>
        <v>0</v>
      </c>
      <c r="C220" s="102">
        <v>0.64</v>
      </c>
      <c r="D220" s="102">
        <f t="shared" si="44"/>
        <v>0.64</v>
      </c>
      <c r="E220" s="102">
        <f t="shared" si="44"/>
        <v>0.64</v>
      </c>
      <c r="F220" s="102">
        <f t="shared" si="44"/>
        <v>0.64</v>
      </c>
      <c r="G220" s="102">
        <f t="shared" si="44"/>
        <v>0.64</v>
      </c>
      <c r="H220" s="102">
        <f t="shared" si="44"/>
        <v>0.64</v>
      </c>
      <c r="I220" s="102">
        <f t="shared" si="44"/>
        <v>0.64</v>
      </c>
      <c r="J220" s="102">
        <f t="shared" si="44"/>
        <v>0.64</v>
      </c>
      <c r="K220" s="102">
        <f t="shared" si="44"/>
        <v>0.64</v>
      </c>
      <c r="L220" s="102">
        <f t="shared" si="44"/>
        <v>0.64</v>
      </c>
      <c r="M220" s="102">
        <f t="shared" si="44"/>
        <v>0.64</v>
      </c>
      <c r="N220" s="102">
        <f t="shared" si="44"/>
        <v>0.64</v>
      </c>
      <c r="O220" s="102">
        <f t="shared" si="44"/>
        <v>0.64</v>
      </c>
      <c r="P220" s="102">
        <f t="shared" si="44"/>
        <v>0.64</v>
      </c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57">
        <v>0.66</v>
      </c>
      <c r="AH220" s="54"/>
      <c r="AI220" s="55"/>
    </row>
    <row r="221" spans="1:37" ht="15.75" thickBot="1" x14ac:dyDescent="0.3">
      <c r="A221" s="173" t="s">
        <v>35</v>
      </c>
      <c r="B221" s="103">
        <f>SUM(B215:B220)</f>
        <v>0</v>
      </c>
      <c r="C221" s="103">
        <f>SUM(C215:C220)</f>
        <v>3.54</v>
      </c>
      <c r="D221" s="103">
        <f t="shared" ref="D221:L221" si="45">SUM(D215:D220)</f>
        <v>3.54</v>
      </c>
      <c r="E221" s="103">
        <f t="shared" si="45"/>
        <v>3.54</v>
      </c>
      <c r="F221" s="103">
        <f t="shared" si="45"/>
        <v>3.54</v>
      </c>
      <c r="G221" s="103">
        <f t="shared" si="45"/>
        <v>3.54</v>
      </c>
      <c r="H221" s="103">
        <f t="shared" si="45"/>
        <v>3.54</v>
      </c>
      <c r="I221" s="103">
        <f t="shared" si="45"/>
        <v>3.54</v>
      </c>
      <c r="J221" s="103">
        <f t="shared" si="45"/>
        <v>3.54</v>
      </c>
      <c r="K221" s="103">
        <f t="shared" si="45"/>
        <v>3.54</v>
      </c>
      <c r="L221" s="103">
        <f t="shared" si="45"/>
        <v>3.54</v>
      </c>
      <c r="M221" s="103">
        <f>SUM(M215:M220)</f>
        <v>3.54</v>
      </c>
      <c r="N221" s="103">
        <f t="shared" ref="N221:S221" si="46">SUM(N215:N220)</f>
        <v>3.54</v>
      </c>
      <c r="O221" s="103">
        <f t="shared" si="46"/>
        <v>3.54</v>
      </c>
      <c r="P221" s="103">
        <f t="shared" si="46"/>
        <v>3.54</v>
      </c>
      <c r="Q221" s="103">
        <f t="shared" si="46"/>
        <v>0</v>
      </c>
      <c r="R221" s="103">
        <f t="shared" si="46"/>
        <v>0</v>
      </c>
      <c r="S221" s="103">
        <f t="shared" si="46"/>
        <v>0</v>
      </c>
      <c r="T221" s="103">
        <f>SUM(T215:T220)</f>
        <v>0</v>
      </c>
      <c r="U221" s="103">
        <f t="shared" ref="U221:AG221" si="47">SUM(U215:U220)</f>
        <v>0</v>
      </c>
      <c r="V221" s="103">
        <f t="shared" si="47"/>
        <v>0</v>
      </c>
      <c r="W221" s="103">
        <f t="shared" si="47"/>
        <v>0</v>
      </c>
      <c r="X221" s="103">
        <f t="shared" si="47"/>
        <v>0</v>
      </c>
      <c r="Y221" s="103">
        <f t="shared" si="47"/>
        <v>0</v>
      </c>
      <c r="Z221" s="103">
        <f t="shared" si="47"/>
        <v>0</v>
      </c>
      <c r="AA221" s="103">
        <f t="shared" si="47"/>
        <v>0</v>
      </c>
      <c r="AB221" s="103">
        <f t="shared" si="47"/>
        <v>0</v>
      </c>
      <c r="AC221" s="103">
        <f t="shared" si="47"/>
        <v>0</v>
      </c>
      <c r="AD221" s="103">
        <f t="shared" si="47"/>
        <v>0</v>
      </c>
      <c r="AE221" s="103">
        <f t="shared" si="47"/>
        <v>0</v>
      </c>
      <c r="AF221" s="103">
        <f t="shared" si="47"/>
        <v>0</v>
      </c>
      <c r="AG221" s="158">
        <f t="shared" si="47"/>
        <v>8.56</v>
      </c>
      <c r="AH221" s="54"/>
      <c r="AI221" s="55"/>
    </row>
    <row r="222" spans="1:37" ht="15.75" thickBot="1" x14ac:dyDescent="0.3"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  <c r="AA222" s="179"/>
      <c r="AB222" s="179"/>
      <c r="AC222" s="179"/>
      <c r="AD222" s="179"/>
      <c r="AE222" s="179"/>
      <c r="AF222" s="179"/>
      <c r="AG222" s="84"/>
      <c r="AH222" s="179"/>
    </row>
    <row r="223" spans="1:37" x14ac:dyDescent="0.25">
      <c r="A223" s="79" t="s">
        <v>89</v>
      </c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  <c r="AE223" s="104"/>
      <c r="AF223" s="105"/>
      <c r="AG223" s="179"/>
      <c r="AH223" s="54"/>
      <c r="AI223" s="55"/>
    </row>
    <row r="224" spans="1:37" x14ac:dyDescent="0.25">
      <c r="A224" s="106" t="s">
        <v>90</v>
      </c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8"/>
      <c r="AG224" s="109"/>
      <c r="AH224" s="54"/>
      <c r="AI224" s="55"/>
    </row>
    <row r="225" spans="1:50" x14ac:dyDescent="0.25">
      <c r="A225" s="81" t="s">
        <v>91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x14ac:dyDescent="0.25">
      <c r="A226" s="81" t="s">
        <v>92</v>
      </c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1"/>
      <c r="AG226" s="109"/>
      <c r="AH226" s="54"/>
      <c r="AI226" s="55"/>
    </row>
    <row r="227" spans="1:50" ht="15.75" thickBot="1" x14ac:dyDescent="0.3">
      <c r="A227" s="112" t="s">
        <v>93</v>
      </c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  <c r="AB227" s="113"/>
      <c r="AC227" s="113"/>
      <c r="AD227" s="113"/>
      <c r="AE227" s="113"/>
      <c r="AF227" s="114"/>
      <c r="AG227" s="109"/>
      <c r="AH227" s="54"/>
      <c r="AI227" s="55"/>
    </row>
    <row r="228" spans="1:50" x14ac:dyDescent="0.25"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  <c r="AC228" s="179"/>
      <c r="AD228" s="179"/>
      <c r="AE228" s="179"/>
      <c r="AF228" s="179"/>
      <c r="AG228" s="179"/>
      <c r="AH228" s="179"/>
    </row>
    <row r="229" spans="1:50" x14ac:dyDescent="0.25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  <c r="AC229" s="179"/>
      <c r="AD229" s="179"/>
      <c r="AE229" s="179"/>
      <c r="AF229" s="179"/>
      <c r="AG229" s="179"/>
      <c r="AH229" s="179"/>
    </row>
    <row r="230" spans="1:50" x14ac:dyDescent="0.25">
      <c r="A230" s="115" t="s">
        <v>94</v>
      </c>
      <c r="B230" s="116">
        <f>MAX(G79:N79)</f>
        <v>1876.44</v>
      </c>
      <c r="C230" s="117">
        <f>INDEX(G9:N9,1,MATCH(MAX(G79:N79),G79:N79,0))</f>
        <v>0.375</v>
      </c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79"/>
      <c r="AH230" s="179"/>
    </row>
    <row r="231" spans="1:50" x14ac:dyDescent="0.25"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18" t="str">
        <f ca="1">MID(CELL("filename",C7),FIND("]",CELL("filename",C7))+1,600)</f>
        <v>31</v>
      </c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  <c r="AE231" s="179"/>
      <c r="AF231" s="179"/>
      <c r="AG231" s="179"/>
      <c r="AH231" s="179"/>
    </row>
    <row r="232" spans="1:50" x14ac:dyDescent="0.25">
      <c r="A232" s="208" t="s">
        <v>95</v>
      </c>
      <c r="B232" s="208"/>
      <c r="C232" s="179"/>
      <c r="D232" s="118" t="str">
        <f ca="1">"Pie Chart of Daily Peak Demand(Inclusive of Export) of Nepal ("&amp;A4&amp;" "&amp;B4&amp;")"</f>
        <v>Pie Chart of Daily Peak Demand(Inclusive of Export) of Nepal (Nepali Date: 2079/02/31)</v>
      </c>
      <c r="E232" s="179"/>
      <c r="F232" s="179"/>
      <c r="G232" s="118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18" t="str">
        <f ca="1">"Daily Load Curve(Excluding of Export) of Nepal ("&amp;A4&amp;" "&amp;B4&amp;")"</f>
        <v>Daily Load Curve(Excluding of Export) of Nepal (Nepali Date: 2079/02/31)</v>
      </c>
      <c r="T232" s="179"/>
      <c r="U232" s="179"/>
      <c r="V232" s="179"/>
      <c r="W232" s="179"/>
      <c r="X232" s="179"/>
      <c r="Y232" s="179"/>
      <c r="Z232" s="179"/>
      <c r="AA232" s="179"/>
      <c r="AB232" s="179"/>
      <c r="AC232" s="179"/>
      <c r="AD232" s="179"/>
      <c r="AE232" s="179"/>
      <c r="AF232" s="179"/>
      <c r="AG232" s="179"/>
      <c r="AH232" s="179"/>
    </row>
    <row r="233" spans="1:50" ht="12.75" customHeight="1" thickBot="1" x14ac:dyDescent="0.3">
      <c r="A233" s="119" t="s">
        <v>7</v>
      </c>
      <c r="B233" s="120"/>
      <c r="C233" s="179"/>
      <c r="D233" s="121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  <c r="AA233" s="179"/>
      <c r="AB233" s="179"/>
      <c r="AC233" s="179"/>
      <c r="AD233" s="179"/>
      <c r="AE233" s="179"/>
      <c r="AF233" s="179"/>
      <c r="AG233" s="179"/>
      <c r="AH233" s="179"/>
    </row>
    <row r="234" spans="1:50" ht="15.75" thickTop="1" x14ac:dyDescent="0.25">
      <c r="A234" s="119" t="s">
        <v>96</v>
      </c>
      <c r="B234" s="120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22" t="s">
        <v>97</v>
      </c>
      <c r="T234" s="123">
        <v>0</v>
      </c>
      <c r="U234" s="124">
        <v>4.1666666666666664E-2</v>
      </c>
      <c r="V234" s="125">
        <v>8.3333333333333301E-2</v>
      </c>
      <c r="W234" s="125">
        <v>0.125</v>
      </c>
      <c r="X234" s="125">
        <v>0.16666666666666699</v>
      </c>
      <c r="Y234" s="125">
        <v>0.20833333333333301</v>
      </c>
      <c r="Z234" s="125">
        <v>0.22916666666666666</v>
      </c>
      <c r="AA234" s="125">
        <v>0.25</v>
      </c>
      <c r="AB234" s="125">
        <v>0.27083333333333331</v>
      </c>
      <c r="AC234" s="125">
        <v>0.29166666666666669</v>
      </c>
      <c r="AD234" s="125">
        <v>0.3125</v>
      </c>
      <c r="AE234" s="126">
        <v>0.33333333333333331</v>
      </c>
      <c r="AF234" s="126">
        <v>0.375</v>
      </c>
      <c r="AG234" s="126">
        <v>0.41666666666666702</v>
      </c>
      <c r="AH234" s="126">
        <v>0.45833333333333298</v>
      </c>
      <c r="AI234" s="126">
        <v>0.5</v>
      </c>
      <c r="AJ234" s="126">
        <v>0.54166666666666696</v>
      </c>
      <c r="AK234" s="126">
        <v>0.58333333333333304</v>
      </c>
      <c r="AL234" s="126">
        <v>0.625</v>
      </c>
      <c r="AM234" s="126">
        <v>0.66666666666666696</v>
      </c>
      <c r="AN234" s="126">
        <v>0.70833333333333304</v>
      </c>
      <c r="AO234" s="126">
        <v>0.72916666666666663</v>
      </c>
      <c r="AP234" s="126">
        <v>0.75</v>
      </c>
      <c r="AQ234" s="126">
        <v>0.77083333333333337</v>
      </c>
      <c r="AR234" s="126">
        <v>0.79166666666666663</v>
      </c>
      <c r="AS234" s="126">
        <v>0.8125</v>
      </c>
      <c r="AT234" s="125">
        <v>0.83333333333333337</v>
      </c>
      <c r="AU234" s="125">
        <v>0.85416666666666663</v>
      </c>
      <c r="AV234" s="125">
        <v>0.875</v>
      </c>
      <c r="AW234" s="125">
        <v>0.91666666666666696</v>
      </c>
      <c r="AX234" s="125">
        <v>0.95833333333333304</v>
      </c>
    </row>
    <row r="235" spans="1:50" x14ac:dyDescent="0.25">
      <c r="A235" s="119" t="s">
        <v>98</v>
      </c>
      <c r="B235" s="120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 t="s">
        <v>99</v>
      </c>
      <c r="T235" s="127">
        <f t="shared" ref="T235:AX235" si="48">B79</f>
        <v>1847.74</v>
      </c>
      <c r="U235" s="127">
        <f t="shared" si="48"/>
        <v>1856.24</v>
      </c>
      <c r="V235" s="127">
        <f t="shared" si="48"/>
        <v>1843.74</v>
      </c>
      <c r="W235" s="127">
        <f t="shared" si="48"/>
        <v>1812.24</v>
      </c>
      <c r="X235" s="127">
        <f t="shared" si="48"/>
        <v>3.54</v>
      </c>
      <c r="Y235" s="127">
        <f t="shared" si="48"/>
        <v>1811.1399999999999</v>
      </c>
      <c r="Z235" s="127">
        <f t="shared" si="48"/>
        <v>1769.44</v>
      </c>
      <c r="AA235" s="127">
        <f t="shared" si="48"/>
        <v>1760.2400000000002</v>
      </c>
      <c r="AB235" s="127">
        <f t="shared" si="48"/>
        <v>1759.44</v>
      </c>
      <c r="AC235" s="127">
        <f t="shared" si="48"/>
        <v>1759.44</v>
      </c>
      <c r="AD235" s="127">
        <f t="shared" si="48"/>
        <v>1759.44</v>
      </c>
      <c r="AE235" s="127">
        <f t="shared" si="48"/>
        <v>1869.84</v>
      </c>
      <c r="AF235" s="127">
        <f t="shared" si="48"/>
        <v>1876.44</v>
      </c>
      <c r="AG235" s="127">
        <f t="shared" si="48"/>
        <v>1902.8400000000001</v>
      </c>
      <c r="AH235" s="127">
        <f t="shared" si="48"/>
        <v>1889.14</v>
      </c>
      <c r="AI235" s="127">
        <f t="shared" si="48"/>
        <v>1907.3400000000001</v>
      </c>
      <c r="AJ235" s="127">
        <f t="shared" si="48"/>
        <v>1875.54</v>
      </c>
      <c r="AK235" s="127">
        <f t="shared" si="48"/>
        <v>1850.1399999999999</v>
      </c>
      <c r="AL235" s="127">
        <f t="shared" si="48"/>
        <v>1974.44</v>
      </c>
      <c r="AM235" s="127">
        <f t="shared" si="48"/>
        <v>1956.44</v>
      </c>
      <c r="AN235" s="127">
        <f t="shared" si="48"/>
        <v>1909.94</v>
      </c>
      <c r="AO235" s="127">
        <f t="shared" si="48"/>
        <v>1911.44</v>
      </c>
      <c r="AP235" s="127">
        <f t="shared" si="48"/>
        <v>1894.04</v>
      </c>
      <c r="AQ235" s="127">
        <f t="shared" si="48"/>
        <v>1881.54</v>
      </c>
      <c r="AR235" s="127">
        <f t="shared" si="48"/>
        <v>1939.04</v>
      </c>
      <c r="AS235" s="127">
        <f t="shared" si="48"/>
        <v>1962.1399999999999</v>
      </c>
      <c r="AT235" s="127">
        <f t="shared" si="48"/>
        <v>1986.94</v>
      </c>
      <c r="AU235" s="127">
        <f t="shared" si="48"/>
        <v>1957.54</v>
      </c>
      <c r="AV235" s="127">
        <f t="shared" si="48"/>
        <v>1951.8399999999997</v>
      </c>
      <c r="AW235" s="127">
        <f t="shared" si="48"/>
        <v>1910.44</v>
      </c>
      <c r="AX235" s="127">
        <f t="shared" si="48"/>
        <v>1884.84</v>
      </c>
    </row>
    <row r="236" spans="1:50" x14ac:dyDescent="0.25">
      <c r="A236" s="119" t="s">
        <v>100</v>
      </c>
      <c r="B236" s="120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79"/>
      <c r="AE236" s="179"/>
      <c r="AF236" s="179"/>
      <c r="AG236" s="179"/>
      <c r="AH236" s="179"/>
    </row>
    <row r="237" spans="1:50" x14ac:dyDescent="0.25">
      <c r="A237" s="119" t="s">
        <v>101</v>
      </c>
      <c r="B237" s="120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  <c r="AE237" s="179"/>
      <c r="AF237" s="179"/>
      <c r="AG237" s="179"/>
      <c r="AH237" s="179"/>
    </row>
    <row r="238" spans="1:50" x14ac:dyDescent="0.25">
      <c r="A238" s="119" t="s">
        <v>102</v>
      </c>
      <c r="B238" s="120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  <c r="AE238" s="179"/>
      <c r="AF238" s="179"/>
      <c r="AG238" s="179"/>
      <c r="AH238" s="179"/>
    </row>
    <row r="239" spans="1:50" x14ac:dyDescent="0.25">
      <c r="A239" s="119" t="s">
        <v>103</v>
      </c>
      <c r="B239" s="128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</row>
    <row r="240" spans="1:50" x14ac:dyDescent="0.25">
      <c r="A240" s="119" t="s">
        <v>104</v>
      </c>
      <c r="B240" s="120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  <c r="AD240" s="179"/>
      <c r="AE240" s="179"/>
      <c r="AF240" s="179"/>
      <c r="AG240" s="179"/>
      <c r="AH240" s="179"/>
    </row>
    <row r="241" spans="1:36" x14ac:dyDescent="0.25"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  <c r="AC241" s="179"/>
      <c r="AD241" s="179"/>
      <c r="AE241" s="179"/>
      <c r="AF241" s="179"/>
      <c r="AG241" s="179"/>
      <c r="AH241" s="179"/>
    </row>
    <row r="242" spans="1:36" x14ac:dyDescent="0.25"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  <c r="AC242" s="179"/>
      <c r="AD242" s="179"/>
      <c r="AE242" s="179"/>
      <c r="AF242" s="179"/>
      <c r="AG242" s="179"/>
      <c r="AH242" s="179"/>
    </row>
    <row r="243" spans="1:36" x14ac:dyDescent="0.25"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  <c r="AC243" s="179"/>
      <c r="AD243" s="179"/>
      <c r="AE243" s="179"/>
      <c r="AF243" s="179"/>
      <c r="AG243" s="179"/>
      <c r="AH243" s="179"/>
    </row>
    <row r="244" spans="1:36" x14ac:dyDescent="0.25"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  <c r="AC244" s="179"/>
      <c r="AD244" s="179"/>
      <c r="AE244" s="179"/>
      <c r="AF244" s="179"/>
      <c r="AG244" s="179"/>
      <c r="AH244" s="179"/>
    </row>
    <row r="245" spans="1:36" x14ac:dyDescent="0.25"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  <c r="AG245" s="179"/>
      <c r="AH245" s="179"/>
    </row>
    <row r="246" spans="1:36" x14ac:dyDescent="0.25"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  <c r="AC246" s="179"/>
      <c r="AD246" s="179"/>
      <c r="AE246" s="179"/>
      <c r="AF246" s="179"/>
      <c r="AG246" s="179"/>
      <c r="AH246" s="179"/>
    </row>
    <row r="247" spans="1:36" x14ac:dyDescent="0.25"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  <c r="AC247" s="179"/>
      <c r="AD247" s="179"/>
      <c r="AE247" s="179"/>
      <c r="AF247" s="179"/>
      <c r="AG247" s="179"/>
      <c r="AH247" s="179"/>
      <c r="AJ247"/>
    </row>
    <row r="248" spans="1:36" x14ac:dyDescent="0.25"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  <c r="AC248" s="179"/>
      <c r="AD248" s="179"/>
      <c r="AE248" s="179"/>
      <c r="AF248" s="179"/>
      <c r="AG248" s="179"/>
      <c r="AH248" s="179"/>
      <c r="AJ248"/>
    </row>
    <row r="249" spans="1:36" x14ac:dyDescent="0.25"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  <c r="AC249" s="179"/>
      <c r="AD249" s="179"/>
      <c r="AE249" s="179"/>
      <c r="AF249" s="179"/>
      <c r="AG249" s="179"/>
      <c r="AH249" s="179"/>
      <c r="AJ249"/>
    </row>
    <row r="250" spans="1:36" x14ac:dyDescent="0.25"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  <c r="AC250" s="179"/>
      <c r="AD250" s="179"/>
      <c r="AE250" s="179"/>
      <c r="AF250" s="179"/>
      <c r="AG250" s="179"/>
      <c r="AH250" s="179"/>
      <c r="AJ250"/>
    </row>
    <row r="251" spans="1:36" x14ac:dyDescent="0.25"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  <c r="AE251" s="179"/>
      <c r="AF251" s="179"/>
      <c r="AG251" s="179"/>
      <c r="AH251" s="179"/>
      <c r="AJ251"/>
    </row>
    <row r="252" spans="1:36" x14ac:dyDescent="0.25"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  <c r="AC252" s="179"/>
      <c r="AD252" s="179"/>
      <c r="AE252" s="179"/>
      <c r="AF252" s="179"/>
      <c r="AG252" s="179"/>
      <c r="AH252" s="179"/>
      <c r="AJ252"/>
    </row>
    <row r="253" spans="1:36" x14ac:dyDescent="0.25"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J253"/>
    </row>
    <row r="254" spans="1:36" x14ac:dyDescent="0.25"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  <c r="AE254" s="179"/>
      <c r="AF254" s="179"/>
      <c r="AG254" s="179"/>
      <c r="AH254" s="179"/>
      <c r="AJ254"/>
    </row>
    <row r="255" spans="1:36" x14ac:dyDescent="0.25"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  <c r="AA255" s="179"/>
      <c r="AB255" s="179"/>
      <c r="AC255" s="179"/>
      <c r="AD255" s="179"/>
      <c r="AE255" s="179"/>
      <c r="AF255" s="179"/>
      <c r="AG255" s="179"/>
      <c r="AH255" s="179"/>
      <c r="AJ255"/>
    </row>
    <row r="256" spans="1:36" x14ac:dyDescent="0.25">
      <c r="A256" s="129" t="s">
        <v>89</v>
      </c>
      <c r="B256" s="130">
        <f t="shared" ref="B256:AE256" si="49">C220</f>
        <v>0.64</v>
      </c>
      <c r="C256" s="130">
        <f t="shared" si="49"/>
        <v>0.64</v>
      </c>
      <c r="D256" s="130">
        <f t="shared" si="49"/>
        <v>0.64</v>
      </c>
      <c r="E256" s="130">
        <f t="shared" si="49"/>
        <v>0.64</v>
      </c>
      <c r="F256" s="130">
        <f t="shared" si="49"/>
        <v>0.64</v>
      </c>
      <c r="G256" s="130">
        <f t="shared" si="49"/>
        <v>0.64</v>
      </c>
      <c r="H256" s="130">
        <f t="shared" si="49"/>
        <v>0.64</v>
      </c>
      <c r="I256" s="130">
        <f t="shared" si="49"/>
        <v>0.64</v>
      </c>
      <c r="J256" s="130">
        <f t="shared" si="49"/>
        <v>0.64</v>
      </c>
      <c r="K256" s="130">
        <f t="shared" si="49"/>
        <v>0.64</v>
      </c>
      <c r="L256" s="130">
        <f t="shared" si="49"/>
        <v>0.64</v>
      </c>
      <c r="M256" s="130">
        <f t="shared" si="49"/>
        <v>0.64</v>
      </c>
      <c r="N256" s="130">
        <f t="shared" si="49"/>
        <v>0.64</v>
      </c>
      <c r="O256" s="130">
        <f t="shared" si="49"/>
        <v>0.64</v>
      </c>
      <c r="P256" s="130">
        <f t="shared" si="49"/>
        <v>0</v>
      </c>
      <c r="Q256" s="130">
        <f t="shared" si="49"/>
        <v>0</v>
      </c>
      <c r="R256" s="130">
        <f t="shared" si="49"/>
        <v>0</v>
      </c>
      <c r="S256" s="130">
        <f t="shared" si="49"/>
        <v>0</v>
      </c>
      <c r="T256" s="130">
        <f t="shared" si="49"/>
        <v>0</v>
      </c>
      <c r="U256" s="130">
        <f t="shared" si="49"/>
        <v>0</v>
      </c>
      <c r="V256" s="130">
        <f t="shared" si="49"/>
        <v>0</v>
      </c>
      <c r="W256" s="130">
        <f t="shared" si="49"/>
        <v>0</v>
      </c>
      <c r="X256" s="130">
        <f t="shared" si="49"/>
        <v>0</v>
      </c>
      <c r="Y256" s="130">
        <f t="shared" si="49"/>
        <v>0</v>
      </c>
      <c r="Z256" s="130">
        <f t="shared" si="49"/>
        <v>0</v>
      </c>
      <c r="AA256" s="130">
        <f t="shared" si="49"/>
        <v>0</v>
      </c>
      <c r="AB256" s="130">
        <f t="shared" si="49"/>
        <v>0</v>
      </c>
      <c r="AC256" s="130">
        <f t="shared" si="49"/>
        <v>0</v>
      </c>
      <c r="AD256" s="130">
        <f t="shared" si="49"/>
        <v>0</v>
      </c>
      <c r="AE256" s="130">
        <f t="shared" si="49"/>
        <v>0</v>
      </c>
      <c r="AF256" s="130">
        <f>B220</f>
        <v>0</v>
      </c>
      <c r="AG256" s="179"/>
      <c r="AH256" s="179"/>
      <c r="AJ256"/>
    </row>
    <row r="257" spans="1:36" x14ac:dyDescent="0.25">
      <c r="A257" s="88" t="str">
        <f>A224</f>
        <v>KGA</v>
      </c>
      <c r="B257" s="88" t="str">
        <f>IF(B224&lt;100,"",B224-520)</f>
        <v/>
      </c>
      <c r="C257" s="88" t="str">
        <f t="shared" ref="C257:AF257" si="50">IF(C224&lt;100,"",C224-520)</f>
        <v/>
      </c>
      <c r="D257" s="88" t="str">
        <f t="shared" si="50"/>
        <v/>
      </c>
      <c r="E257" s="88" t="str">
        <f t="shared" si="50"/>
        <v/>
      </c>
      <c r="F257" s="88" t="str">
        <f t="shared" si="50"/>
        <v/>
      </c>
      <c r="G257" s="88" t="str">
        <f t="shared" si="50"/>
        <v/>
      </c>
      <c r="H257" s="88" t="str">
        <f t="shared" si="50"/>
        <v/>
      </c>
      <c r="I257" s="88" t="str">
        <f t="shared" si="50"/>
        <v/>
      </c>
      <c r="J257" s="88" t="str">
        <f t="shared" si="50"/>
        <v/>
      </c>
      <c r="K257" s="88" t="str">
        <f t="shared" si="50"/>
        <v/>
      </c>
      <c r="L257" s="88" t="str">
        <f t="shared" si="50"/>
        <v/>
      </c>
      <c r="M257" s="88" t="str">
        <f t="shared" si="50"/>
        <v/>
      </c>
      <c r="N257" s="88" t="str">
        <f t="shared" si="50"/>
        <v/>
      </c>
      <c r="O257" s="88" t="str">
        <f t="shared" si="50"/>
        <v/>
      </c>
      <c r="P257" s="88" t="str">
        <f t="shared" si="50"/>
        <v/>
      </c>
      <c r="Q257" s="88" t="str">
        <f t="shared" si="50"/>
        <v/>
      </c>
      <c r="R257" s="88" t="str">
        <f t="shared" si="50"/>
        <v/>
      </c>
      <c r="S257" s="88" t="str">
        <f t="shared" si="50"/>
        <v/>
      </c>
      <c r="T257" s="88" t="str">
        <f t="shared" si="50"/>
        <v/>
      </c>
      <c r="U257" s="88" t="str">
        <f t="shared" si="50"/>
        <v/>
      </c>
      <c r="V257" s="88" t="str">
        <f t="shared" si="50"/>
        <v/>
      </c>
      <c r="W257" s="88" t="str">
        <f t="shared" si="50"/>
        <v/>
      </c>
      <c r="X257" s="88" t="str">
        <f t="shared" si="50"/>
        <v/>
      </c>
      <c r="Y257" s="88" t="str">
        <f t="shared" si="50"/>
        <v/>
      </c>
      <c r="Z257" s="88" t="str">
        <f t="shared" si="50"/>
        <v/>
      </c>
      <c r="AA257" s="88" t="str">
        <f t="shared" si="50"/>
        <v/>
      </c>
      <c r="AB257" s="88" t="str">
        <f t="shared" si="50"/>
        <v/>
      </c>
      <c r="AC257" s="88" t="str">
        <f t="shared" si="50"/>
        <v/>
      </c>
      <c r="AD257" s="88" t="str">
        <f t="shared" si="50"/>
        <v/>
      </c>
      <c r="AE257" s="88" t="str">
        <f t="shared" si="50"/>
        <v/>
      </c>
      <c r="AF257" s="88" t="str">
        <f t="shared" si="50"/>
        <v/>
      </c>
      <c r="AG257" s="179"/>
      <c r="AH257" s="179"/>
      <c r="AJ257"/>
    </row>
    <row r="258" spans="1:36" x14ac:dyDescent="0.25">
      <c r="A258" s="88" t="str">
        <f>A225</f>
        <v>MMRS</v>
      </c>
      <c r="B258" s="88" t="str">
        <f t="shared" ref="B258:AF258" si="51">IF(B225&lt;100,"",B225-620)</f>
        <v/>
      </c>
      <c r="C258" s="88" t="str">
        <f t="shared" si="51"/>
        <v/>
      </c>
      <c r="D258" s="88" t="str">
        <f t="shared" si="51"/>
        <v/>
      </c>
      <c r="E258" s="88" t="str">
        <f t="shared" si="51"/>
        <v/>
      </c>
      <c r="F258" s="88" t="str">
        <f t="shared" si="51"/>
        <v/>
      </c>
      <c r="G258" s="88" t="str">
        <f t="shared" si="51"/>
        <v/>
      </c>
      <c r="H258" s="88" t="str">
        <f t="shared" si="51"/>
        <v/>
      </c>
      <c r="I258" s="88" t="str">
        <f t="shared" si="51"/>
        <v/>
      </c>
      <c r="J258" s="88" t="str">
        <f t="shared" si="51"/>
        <v/>
      </c>
      <c r="K258" s="88" t="str">
        <f t="shared" si="51"/>
        <v/>
      </c>
      <c r="L258" s="88" t="str">
        <f t="shared" si="51"/>
        <v/>
      </c>
      <c r="M258" s="88" t="str">
        <f t="shared" si="51"/>
        <v/>
      </c>
      <c r="N258" s="88" t="str">
        <f t="shared" si="51"/>
        <v/>
      </c>
      <c r="O258" s="88" t="str">
        <f t="shared" si="51"/>
        <v/>
      </c>
      <c r="P258" s="88" t="str">
        <f t="shared" si="51"/>
        <v/>
      </c>
      <c r="Q258" s="88" t="str">
        <f t="shared" si="51"/>
        <v/>
      </c>
      <c r="R258" s="88" t="str">
        <f t="shared" si="51"/>
        <v/>
      </c>
      <c r="S258" s="88" t="str">
        <f t="shared" si="51"/>
        <v/>
      </c>
      <c r="T258" s="88" t="str">
        <f t="shared" si="51"/>
        <v/>
      </c>
      <c r="U258" s="88" t="str">
        <f t="shared" si="51"/>
        <v/>
      </c>
      <c r="V258" s="88" t="str">
        <f t="shared" si="51"/>
        <v/>
      </c>
      <c r="W258" s="88" t="str">
        <f t="shared" si="51"/>
        <v/>
      </c>
      <c r="X258" s="88" t="str">
        <f t="shared" si="51"/>
        <v/>
      </c>
      <c r="Y258" s="88" t="str">
        <f t="shared" si="51"/>
        <v/>
      </c>
      <c r="Z258" s="88" t="str">
        <f t="shared" si="51"/>
        <v/>
      </c>
      <c r="AA258" s="88" t="str">
        <f t="shared" si="51"/>
        <v/>
      </c>
      <c r="AB258" s="88" t="str">
        <f t="shared" si="51"/>
        <v/>
      </c>
      <c r="AC258" s="88" t="str">
        <f t="shared" si="51"/>
        <v/>
      </c>
      <c r="AD258" s="88" t="str">
        <f t="shared" si="51"/>
        <v/>
      </c>
      <c r="AE258" s="88" t="str">
        <f t="shared" si="51"/>
        <v/>
      </c>
      <c r="AF258" s="88" t="str">
        <f t="shared" si="51"/>
        <v/>
      </c>
      <c r="AG258" s="179"/>
      <c r="AH258" s="179"/>
      <c r="AJ258"/>
    </row>
    <row r="259" spans="1:36" x14ac:dyDescent="0.25">
      <c r="A259" s="88" t="str">
        <f>A226</f>
        <v>MRS</v>
      </c>
      <c r="B259" s="88" t="str">
        <f t="shared" ref="B259:AF259" si="52">IF(B226&lt;100,"",B226-330)</f>
        <v/>
      </c>
      <c r="C259" s="88" t="str">
        <f t="shared" si="52"/>
        <v/>
      </c>
      <c r="D259" s="88" t="str">
        <f t="shared" si="52"/>
        <v/>
      </c>
      <c r="E259" s="88" t="str">
        <f t="shared" si="52"/>
        <v/>
      </c>
      <c r="F259" s="88" t="str">
        <f t="shared" si="52"/>
        <v/>
      </c>
      <c r="G259" s="88" t="str">
        <f t="shared" si="52"/>
        <v/>
      </c>
      <c r="H259" s="88" t="str">
        <f t="shared" si="52"/>
        <v/>
      </c>
      <c r="I259" s="88" t="str">
        <f t="shared" si="52"/>
        <v/>
      </c>
      <c r="J259" s="88" t="str">
        <f t="shared" si="52"/>
        <v/>
      </c>
      <c r="K259" s="88" t="str">
        <f t="shared" si="52"/>
        <v/>
      </c>
      <c r="L259" s="88" t="str">
        <f t="shared" si="52"/>
        <v/>
      </c>
      <c r="M259" s="88" t="str">
        <f t="shared" si="52"/>
        <v/>
      </c>
      <c r="N259" s="88" t="str">
        <f t="shared" si="52"/>
        <v/>
      </c>
      <c r="O259" s="88" t="str">
        <f t="shared" si="52"/>
        <v/>
      </c>
      <c r="P259" s="88" t="str">
        <f t="shared" si="52"/>
        <v/>
      </c>
      <c r="Q259" s="88" t="str">
        <f t="shared" si="52"/>
        <v/>
      </c>
      <c r="R259" s="88" t="str">
        <f t="shared" si="52"/>
        <v/>
      </c>
      <c r="S259" s="88" t="str">
        <f t="shared" si="52"/>
        <v/>
      </c>
      <c r="T259" s="88" t="str">
        <f t="shared" si="52"/>
        <v/>
      </c>
      <c r="U259" s="88" t="str">
        <f t="shared" si="52"/>
        <v/>
      </c>
      <c r="V259" s="88" t="str">
        <f t="shared" si="52"/>
        <v/>
      </c>
      <c r="W259" s="88" t="str">
        <f t="shared" si="52"/>
        <v/>
      </c>
      <c r="X259" s="88" t="str">
        <f t="shared" si="52"/>
        <v/>
      </c>
      <c r="Y259" s="88" t="str">
        <f t="shared" si="52"/>
        <v/>
      </c>
      <c r="Z259" s="88" t="str">
        <f t="shared" si="52"/>
        <v/>
      </c>
      <c r="AA259" s="88" t="str">
        <f t="shared" si="52"/>
        <v/>
      </c>
      <c r="AB259" s="88" t="str">
        <f t="shared" si="52"/>
        <v/>
      </c>
      <c r="AC259" s="88" t="str">
        <f t="shared" si="52"/>
        <v/>
      </c>
      <c r="AD259" s="88" t="str">
        <f t="shared" si="52"/>
        <v/>
      </c>
      <c r="AE259" s="88" t="str">
        <f t="shared" si="52"/>
        <v/>
      </c>
      <c r="AF259" s="88" t="str">
        <f t="shared" si="52"/>
        <v/>
      </c>
      <c r="AG259" s="179"/>
      <c r="AH259" s="179"/>
      <c r="AJ259"/>
    </row>
    <row r="260" spans="1:36" x14ac:dyDescent="0.25">
      <c r="A260" s="88" t="str">
        <f>A227</f>
        <v>KL 1</v>
      </c>
      <c r="B260" s="88" t="str">
        <f>IF(B227&lt;100,"",B227-1500)</f>
        <v/>
      </c>
      <c r="C260" s="88" t="str">
        <f t="shared" ref="C260:AF260" si="53">IF(C227&lt;100,"",C227-1500)</f>
        <v/>
      </c>
      <c r="D260" s="88" t="str">
        <f t="shared" si="53"/>
        <v/>
      </c>
      <c r="E260" s="88" t="str">
        <f t="shared" si="53"/>
        <v/>
      </c>
      <c r="F260" s="88" t="str">
        <f t="shared" si="53"/>
        <v/>
      </c>
      <c r="G260" s="88" t="str">
        <f t="shared" si="53"/>
        <v/>
      </c>
      <c r="H260" s="88" t="str">
        <f t="shared" si="53"/>
        <v/>
      </c>
      <c r="I260" s="88" t="str">
        <f t="shared" si="53"/>
        <v/>
      </c>
      <c r="J260" s="88" t="str">
        <f t="shared" si="53"/>
        <v/>
      </c>
      <c r="K260" s="88" t="str">
        <f t="shared" si="53"/>
        <v/>
      </c>
      <c r="L260" s="88" t="str">
        <f t="shared" si="53"/>
        <v/>
      </c>
      <c r="M260" s="88" t="str">
        <f t="shared" si="53"/>
        <v/>
      </c>
      <c r="N260" s="88" t="str">
        <f t="shared" si="53"/>
        <v/>
      </c>
      <c r="O260" s="88" t="str">
        <f t="shared" si="53"/>
        <v/>
      </c>
      <c r="P260" s="88" t="str">
        <f t="shared" si="53"/>
        <v/>
      </c>
      <c r="Q260" s="88" t="str">
        <f t="shared" si="53"/>
        <v/>
      </c>
      <c r="R260" s="88" t="str">
        <f t="shared" si="53"/>
        <v/>
      </c>
      <c r="S260" s="88" t="str">
        <f t="shared" si="53"/>
        <v/>
      </c>
      <c r="T260" s="88" t="str">
        <f t="shared" si="53"/>
        <v/>
      </c>
      <c r="U260" s="88" t="str">
        <f t="shared" si="53"/>
        <v/>
      </c>
      <c r="V260" s="88" t="str">
        <f t="shared" si="53"/>
        <v/>
      </c>
      <c r="W260" s="88" t="str">
        <f t="shared" si="53"/>
        <v/>
      </c>
      <c r="X260" s="88" t="str">
        <f t="shared" si="53"/>
        <v/>
      </c>
      <c r="Y260" s="88" t="str">
        <f t="shared" si="53"/>
        <v/>
      </c>
      <c r="Z260" s="88" t="str">
        <f t="shared" si="53"/>
        <v/>
      </c>
      <c r="AA260" s="88" t="str">
        <f t="shared" si="53"/>
        <v/>
      </c>
      <c r="AB260" s="88" t="str">
        <f t="shared" si="53"/>
        <v/>
      </c>
      <c r="AC260" s="88" t="str">
        <f t="shared" si="53"/>
        <v/>
      </c>
      <c r="AD260" s="88" t="str">
        <f t="shared" si="53"/>
        <v/>
      </c>
      <c r="AE260" s="88" t="str">
        <f t="shared" si="53"/>
        <v/>
      </c>
      <c r="AF260" s="88" t="str">
        <f t="shared" si="53"/>
        <v/>
      </c>
      <c r="AG260" s="179"/>
      <c r="AH260" s="179"/>
      <c r="AJ260"/>
    </row>
    <row r="261" spans="1:36" x14ac:dyDescent="0.25"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  <c r="AJ261"/>
    </row>
    <row r="262" spans="1:36" x14ac:dyDescent="0.25"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  <c r="AE262" s="179"/>
      <c r="AF262" s="179"/>
      <c r="AG262" s="179"/>
      <c r="AH262" s="179"/>
      <c r="AJ262"/>
    </row>
    <row r="263" spans="1:36" x14ac:dyDescent="0.25"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  <c r="AC263" s="179"/>
      <c r="AD263" s="179"/>
      <c r="AE263" s="179"/>
      <c r="AF263" s="179"/>
      <c r="AG263" s="179"/>
      <c r="AH263" s="179"/>
      <c r="AJ263"/>
    </row>
    <row r="264" spans="1:36" x14ac:dyDescent="0.25"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  <c r="AC264" s="179"/>
      <c r="AD264" s="179"/>
      <c r="AE264" s="179"/>
      <c r="AF264" s="179"/>
      <c r="AG264" s="179"/>
      <c r="AH264" s="179"/>
      <c r="AJ264"/>
    </row>
    <row r="265" spans="1:36" x14ac:dyDescent="0.25"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  <c r="AC265" s="179"/>
      <c r="AD265" s="179"/>
      <c r="AE265" s="179"/>
      <c r="AF265" s="179"/>
      <c r="AG265" s="179"/>
      <c r="AH265" s="179"/>
      <c r="AJ265"/>
    </row>
    <row r="266" spans="1:36" x14ac:dyDescent="0.25"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  <c r="AC266" s="179"/>
      <c r="AD266" s="179"/>
      <c r="AE266" s="179"/>
      <c r="AF266" s="179"/>
      <c r="AG266" s="179"/>
      <c r="AH266" s="179"/>
      <c r="AJ266"/>
    </row>
    <row r="267" spans="1:36" x14ac:dyDescent="0.25"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  <c r="AA267" s="179"/>
      <c r="AB267" s="179"/>
      <c r="AC267" s="179"/>
      <c r="AD267" s="179"/>
      <c r="AE267" s="179"/>
      <c r="AF267" s="179"/>
      <c r="AJ267"/>
    </row>
    <row r="491" spans="36:38" x14ac:dyDescent="0.25">
      <c r="AK491" s="1"/>
    </row>
    <row r="492" spans="36:38" x14ac:dyDescent="0.25">
      <c r="AK492" s="1"/>
      <c r="AL492" s="1"/>
    </row>
    <row r="493" spans="36:38" x14ac:dyDescent="0.25">
      <c r="AJ49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A232:B232"/>
    <mergeCell ref="F11:F36"/>
    <mergeCell ref="AB9:AB10"/>
    <mergeCell ref="AC9:AC10"/>
    <mergeCell ref="AD9:AD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3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31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B9:AF10 C99:F105 H99:AF105 AA11:AF11">
    <cfRule type="expression" dxfId="551" priority="327">
      <formula>B$9&gt;=20/24</formula>
    </cfRule>
    <cfRule type="expression" dxfId="550" priority="328">
      <formula>AND(B$9&gt;=14/24,B$9&lt;20/24)</formula>
    </cfRule>
    <cfRule type="expression" dxfId="549" priority="329">
      <formula>AND(B$9&gt;=8/24,B$9&lt;14/24)</formula>
    </cfRule>
    <cfRule type="expression" dxfId="548" priority="330">
      <formula>B$9&lt;8/24</formula>
    </cfRule>
  </conditionalFormatting>
  <conditionalFormatting sqref="AL4:AL6">
    <cfRule type="iconSet" priority="326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547" priority="322">
      <formula>S$9&gt;=20/24</formula>
    </cfRule>
    <cfRule type="expression" dxfId="546" priority="323">
      <formula>AND(S$9&gt;=14/24,S$9&lt;20/24)</formula>
    </cfRule>
    <cfRule type="expression" dxfId="545" priority="324">
      <formula>AND(S$9&gt;=8/24,S$9&lt;14/24)</formula>
    </cfRule>
    <cfRule type="expression" dxfId="544" priority="325">
      <formula>S$9&lt;8/24</formula>
    </cfRule>
  </conditionalFormatting>
  <conditionalFormatting sqref="AG55 M11:R11 O12:R13 B12:E16 B35:E35 M16:O16 S37:AF37 S11:AE13 O14:AE14 P15:AE16 O35:AF35 AF11:AF16">
    <cfRule type="expression" dxfId="543" priority="321">
      <formula>B11&gt;$AG11</formula>
    </cfRule>
  </conditionalFormatting>
  <conditionalFormatting sqref="A89:A102 A11:A14 A49:A76 A85:A87 A191:A221 A16:A30 A36:A47 A107:A178 A32:A33 A81:A83 A78:A79">
    <cfRule type="expression" dxfId="542" priority="320">
      <formula>$AH11=0</formula>
    </cfRule>
  </conditionalFormatting>
  <conditionalFormatting sqref="A103">
    <cfRule type="expression" dxfId="541" priority="319">
      <formula>$AH103=0</formula>
    </cfRule>
  </conditionalFormatting>
  <conditionalFormatting sqref="AL33">
    <cfRule type="iconSet" priority="318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540" priority="317">
      <formula>$AH35=0</formula>
    </cfRule>
  </conditionalFormatting>
  <conditionalFormatting sqref="A88">
    <cfRule type="expression" dxfId="539" priority="316">
      <formula>$AH88=0</formula>
    </cfRule>
  </conditionalFormatting>
  <conditionalFormatting sqref="A15">
    <cfRule type="expression" dxfId="538" priority="315">
      <formula>$AH15=0</formula>
    </cfRule>
  </conditionalFormatting>
  <conditionalFormatting sqref="A185:A190">
    <cfRule type="expression" dxfId="537" priority="314">
      <formula>$AH185=0</formula>
    </cfRule>
  </conditionalFormatting>
  <conditionalFormatting sqref="A179:A184">
    <cfRule type="expression" dxfId="536" priority="313">
      <formula>$AH179=0</formula>
    </cfRule>
  </conditionalFormatting>
  <conditionalFormatting sqref="A48">
    <cfRule type="expression" dxfId="535" priority="312">
      <formula>$AH48=0</formula>
    </cfRule>
  </conditionalFormatting>
  <conditionalFormatting sqref="A84">
    <cfRule type="expression" dxfId="534" priority="311">
      <formula>$AH84=0</formula>
    </cfRule>
  </conditionalFormatting>
  <conditionalFormatting sqref="F89 H89:AF89">
    <cfRule type="expression" dxfId="533" priority="307">
      <formula>F$9&gt;=20/24</formula>
    </cfRule>
    <cfRule type="expression" dxfId="532" priority="308">
      <formula>AND(F$9&gt;=14/24,F$9&lt;20/24)</formula>
    </cfRule>
    <cfRule type="expression" dxfId="531" priority="309">
      <formula>AND(F$9&gt;=8/24,F$9&lt;14/24)</formula>
    </cfRule>
    <cfRule type="expression" dxfId="530" priority="310">
      <formula>F$9&lt;8/24</formula>
    </cfRule>
  </conditionalFormatting>
  <conditionalFormatting sqref="AL34">
    <cfRule type="iconSet" priority="30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29" priority="333">
      <formula>C$9&gt;=20/24</formula>
    </cfRule>
    <cfRule type="expression" dxfId="528" priority="334">
      <formula>AND(C$9&gt;=14/24,C$9&lt;20/24)</formula>
    </cfRule>
    <cfRule type="expression" dxfId="527" priority="335">
      <formula>AND(C$9&gt;=8/24,C$9&lt;14/24)</formula>
    </cfRule>
    <cfRule type="expression" dxfId="526" priority="336">
      <formula>C$9&lt;8/24</formula>
    </cfRule>
  </conditionalFormatting>
  <conditionalFormatting sqref="A222">
    <cfRule type="expression" dxfId="525" priority="337">
      <formula>$AH222=0</formula>
    </cfRule>
  </conditionalFormatting>
  <conditionalFormatting sqref="AG234">
    <cfRule type="expression" dxfId="524" priority="338">
      <formula>B$9&gt;=20/24</formula>
    </cfRule>
    <cfRule type="expression" dxfId="523" priority="339">
      <formula>AND(B$9&gt;=14/24,B$9&lt;20/24)</formula>
    </cfRule>
    <cfRule type="expression" dxfId="522" priority="340">
      <formula>AND(B$9&gt;=8/24,B$9&lt;14/24)</formula>
    </cfRule>
    <cfRule type="expression" dxfId="521" priority="341">
      <formula>B$9&lt;8/24</formula>
    </cfRule>
  </conditionalFormatting>
  <conditionalFormatting sqref="S8">
    <cfRule type="expression" dxfId="520" priority="302">
      <formula>U$9&gt;=20/24</formula>
    </cfRule>
    <cfRule type="expression" dxfId="519" priority="303">
      <formula>AND(U$9&gt;=14/24,U$9&lt;20/24)</formula>
    </cfRule>
    <cfRule type="expression" dxfId="518" priority="304">
      <formula>AND(U$9&gt;=8/24,U$9&lt;14/24)</formula>
    </cfRule>
    <cfRule type="expression" dxfId="517" priority="305">
      <formula>U$9&lt;8/24</formula>
    </cfRule>
  </conditionalFormatting>
  <conditionalFormatting sqref="AB8">
    <cfRule type="expression" dxfId="516" priority="298">
      <formula>AD$9&gt;=20/24</formula>
    </cfRule>
    <cfRule type="expression" dxfId="515" priority="299">
      <formula>AND(AD$9&gt;=14/24,AD$9&lt;20/24)</formula>
    </cfRule>
    <cfRule type="expression" dxfId="514" priority="300">
      <formula>AND(AD$9&gt;=8/24,AD$9&lt;14/24)</formula>
    </cfRule>
    <cfRule type="expression" dxfId="513" priority="301">
      <formula>AD$9&lt;8/24</formula>
    </cfRule>
  </conditionalFormatting>
  <conditionalFormatting sqref="AH234:AX234">
    <cfRule type="expression" dxfId="512" priority="342">
      <formula>AG$9&gt;=20/24</formula>
    </cfRule>
    <cfRule type="expression" dxfId="511" priority="343">
      <formula>AND(AG$9&gt;=14/24,AG$9&lt;20/24)</formula>
    </cfRule>
    <cfRule type="expression" dxfId="510" priority="344">
      <formula>AND(AG$9&gt;=8/24,AG$9&lt;14/24)</formula>
    </cfRule>
    <cfRule type="expression" dxfId="509" priority="345">
      <formula>AG$9&lt;8/24</formula>
    </cfRule>
  </conditionalFormatting>
  <conditionalFormatting sqref="T234">
    <cfRule type="expression" dxfId="508" priority="346">
      <formula>AX$9&gt;=20/24</formula>
    </cfRule>
    <cfRule type="expression" dxfId="507" priority="347">
      <formula>AND(AX$9&gt;=14/24,AX$9&lt;20/24)</formula>
    </cfRule>
    <cfRule type="expression" dxfId="506" priority="348">
      <formula>AND(AX$9&gt;=8/24,AX$9&lt;14/24)</formula>
    </cfRule>
    <cfRule type="expression" dxfId="505" priority="349">
      <formula>AX$9&lt;8/24</formula>
    </cfRule>
  </conditionalFormatting>
  <conditionalFormatting sqref="A104:A105">
    <cfRule type="expression" dxfId="504" priority="297">
      <formula>$AH104=0</formula>
    </cfRule>
  </conditionalFormatting>
  <conditionalFormatting sqref="F11 F44:F45 AB44:AF45 C61:F61 H61:AF61 AA36:AF36">
    <cfRule type="expression" dxfId="503" priority="293">
      <formula>C$9&gt;=20/24</formula>
    </cfRule>
    <cfRule type="expression" dxfId="502" priority="294">
      <formula>AND(C$9&gt;=14/24,C$9&lt;20/24)</formula>
    </cfRule>
    <cfRule type="expression" dxfId="501" priority="295">
      <formula>AND(C$9&gt;=8/24,C$9&lt;14/24)</formula>
    </cfRule>
    <cfRule type="expression" dxfId="500" priority="296">
      <formula>C$9&lt;8/24</formula>
    </cfRule>
  </conditionalFormatting>
  <conditionalFormatting sqref="F43 AB43:AF43">
    <cfRule type="expression" dxfId="499" priority="289">
      <formula>F$9&gt;=20/24</formula>
    </cfRule>
    <cfRule type="expression" dxfId="498" priority="290">
      <formula>AND(F$9&gt;=14/24,F$9&lt;20/24)</formula>
    </cfRule>
    <cfRule type="expression" dxfId="497" priority="291">
      <formula>AND(F$9&gt;=8/24,F$9&lt;14/24)</formula>
    </cfRule>
    <cfRule type="expression" dxfId="496" priority="292">
      <formula>F$9&lt;8/24</formula>
    </cfRule>
  </conditionalFormatting>
  <conditionalFormatting sqref="F11 F43:F45 AB43:AF45 AA36:AF36">
    <cfRule type="expression" dxfId="495" priority="288">
      <formula>F11&gt;$AG11</formula>
    </cfRule>
  </conditionalFormatting>
  <conditionalFormatting sqref="C86:F86 C76:F76 F71 F64:F67 F90:F96 F57:F59 M37:R37 F73:F75 C62:F63 H76:AF76 H86:AF86 M62:V63 H62:L67 M18:O18 M25:O25 H57:AF59 M64:S67 T64:V71 V29:Z29 M11:Z14 O36:Z36 H90:AF96 AA12:AF14 P18:AF22 M16:AF16 AA32:AF32 AA28:AF30 P24:AF26 W62:AF71 I73:AF75">
    <cfRule type="expression" dxfId="494" priority="284">
      <formula>C$9&gt;=20/24</formula>
    </cfRule>
    <cfRule type="expression" dxfId="493" priority="285">
      <formula>AND(C$9&gt;=14/24,C$9&lt;20/24)</formula>
    </cfRule>
    <cfRule type="expression" dxfId="492" priority="286">
      <formula>AND(C$9&gt;=8/24,C$9&lt;14/24)</formula>
    </cfRule>
    <cfRule type="expression" dxfId="491" priority="287">
      <formula>C$9&lt;8/24</formula>
    </cfRule>
  </conditionalFormatting>
  <conditionalFormatting sqref="AA33:AF33">
    <cfRule type="expression" dxfId="490" priority="280">
      <formula>AA$9&gt;=20/24</formula>
    </cfRule>
    <cfRule type="expression" dxfId="489" priority="281">
      <formula>AND(AA$9&gt;=14/24,AA$9&lt;20/24)</formula>
    </cfRule>
    <cfRule type="expression" dxfId="488" priority="282">
      <formula>AND(AA$9&gt;=8/24,AA$9&lt;14/24)</formula>
    </cfRule>
    <cfRule type="expression" dxfId="487" priority="283">
      <formula>AA$9&lt;8/24</formula>
    </cfRule>
  </conditionalFormatting>
  <conditionalFormatting sqref="F46:F48 AB46:AF47 C55:F55 F57:F59 C37:F37 H37:R37 H55:AF55 M12:N15 H15:L15 M18:O18 O15 M25:O25 H57:AF59 V29:Z29 M11:Z11 P24:Z26 O36:Z36 P18:AF22 AA32:AF33 AA24:AF30">
    <cfRule type="expression" dxfId="486" priority="279">
      <formula>C11&gt;$AG11</formula>
    </cfRule>
  </conditionalFormatting>
  <conditionalFormatting sqref="O35:AF35">
    <cfRule type="expression" dxfId="485" priority="275">
      <formula>O$9&gt;=20/24</formula>
    </cfRule>
    <cfRule type="expression" dxfId="484" priority="276">
      <formula>AND(O$9&gt;=14/24,O$9&lt;20/24)</formula>
    </cfRule>
    <cfRule type="expression" dxfId="483" priority="277">
      <formula>AND(O$9&gt;=8/24,O$9&lt;14/24)</formula>
    </cfRule>
    <cfRule type="expression" dxfId="482" priority="278">
      <formula>O$9&lt;8/24</formula>
    </cfRule>
  </conditionalFormatting>
  <conditionalFormatting sqref="H15:AF15">
    <cfRule type="expression" dxfId="481" priority="271">
      <formula>H$9&gt;=20/24</formula>
    </cfRule>
    <cfRule type="expression" dxfId="480" priority="272">
      <formula>AND(H$9&gt;=14/24,H$9&lt;20/24)</formula>
    </cfRule>
    <cfRule type="expression" dxfId="479" priority="273">
      <formula>AND(H$9&gt;=8/24,H$9&lt;14/24)</formula>
    </cfRule>
    <cfRule type="expression" dxfId="478" priority="274">
      <formula>H$9&lt;8/24</formula>
    </cfRule>
  </conditionalFormatting>
  <conditionalFormatting sqref="AA34:AF34">
    <cfRule type="expression" dxfId="477" priority="267">
      <formula>AA$9&gt;=20/24</formula>
    </cfRule>
    <cfRule type="expression" dxfId="476" priority="268">
      <formula>AND(AA$9&gt;=14/24,AA$9&lt;20/24)</formula>
    </cfRule>
    <cfRule type="expression" dxfId="475" priority="269">
      <formula>AND(AA$9&gt;=8/24,AA$9&lt;14/24)</formula>
    </cfRule>
    <cfRule type="expression" dxfId="474" priority="270">
      <formula>AA$9&lt;8/24</formula>
    </cfRule>
  </conditionalFormatting>
  <conditionalFormatting sqref="AA34:AF34">
    <cfRule type="expression" dxfId="473" priority="266">
      <formula>AA34&gt;$AG34</formula>
    </cfRule>
  </conditionalFormatting>
  <conditionalFormatting sqref="AB48:AF49">
    <cfRule type="expression" dxfId="472" priority="258">
      <formula>AB$9&gt;=20/24</formula>
    </cfRule>
    <cfRule type="expression" dxfId="471" priority="259">
      <formula>AND(AB$9&gt;=14/24,AB$9&lt;20/24)</formula>
    </cfRule>
    <cfRule type="expression" dxfId="470" priority="260">
      <formula>AND(AB$9&gt;=8/24,AB$9&lt;14/24)</formula>
    </cfRule>
    <cfRule type="expression" dxfId="469" priority="261">
      <formula>AB$9&lt;8/24</formula>
    </cfRule>
  </conditionalFormatting>
  <conditionalFormatting sqref="AB48:AF49">
    <cfRule type="expression" dxfId="468" priority="257">
      <formula>AB48&gt;$AG48</formula>
    </cfRule>
  </conditionalFormatting>
  <conditionalFormatting sqref="M43:AA51 AB50:AF51">
    <cfRule type="expression" dxfId="467" priority="253">
      <formula>M$9&gt;=20/24</formula>
    </cfRule>
    <cfRule type="expression" dxfId="466" priority="254">
      <formula>AND(M$9&gt;=14/24,M$9&lt;20/24)</formula>
    </cfRule>
    <cfRule type="expression" dxfId="465" priority="255">
      <formula>AND(M$9&gt;=8/24,M$9&lt;14/24)</formula>
    </cfRule>
    <cfRule type="expression" dxfId="464" priority="256">
      <formula>M$9&lt;8/24</formula>
    </cfRule>
  </conditionalFormatting>
  <conditionalFormatting sqref="M43:AA51 AB50:AF51">
    <cfRule type="expression" dxfId="463" priority="252">
      <formula>M43&gt;$AG43</formula>
    </cfRule>
  </conditionalFormatting>
  <conditionalFormatting sqref="AA27:AF27">
    <cfRule type="expression" dxfId="462" priority="248">
      <formula>AA$9&gt;=20/24</formula>
    </cfRule>
    <cfRule type="expression" dxfId="461" priority="249">
      <formula>AND(AA$9&gt;=14/24,AA$9&lt;20/24)</formula>
    </cfRule>
    <cfRule type="expression" dxfId="460" priority="250">
      <formula>AND(AA$9&gt;=8/24,AA$9&lt;14/24)</formula>
    </cfRule>
    <cfRule type="expression" dxfId="459" priority="251">
      <formula>AA$9&lt;8/24</formula>
    </cfRule>
  </conditionalFormatting>
  <conditionalFormatting sqref="M17:AF17 P23:AF23">
    <cfRule type="expression" dxfId="458" priority="244">
      <formula>M$9&gt;=20/24</formula>
    </cfRule>
    <cfRule type="expression" dxfId="457" priority="245">
      <formula>AND(M$9&gt;=14/24,M$9&lt;20/24)</formula>
    </cfRule>
    <cfRule type="expression" dxfId="456" priority="246">
      <formula>AND(M$9&gt;=8/24,M$9&lt;14/24)</formula>
    </cfRule>
    <cfRule type="expression" dxfId="455" priority="247">
      <formula>M$9&lt;8/24</formula>
    </cfRule>
  </conditionalFormatting>
  <conditionalFormatting sqref="M17:AF17 P23:AF23">
    <cfRule type="expression" dxfId="454" priority="239">
      <formula>M17&gt;$AG17</formula>
    </cfRule>
  </conditionalFormatting>
  <conditionalFormatting sqref="F68:F70 H68:S68">
    <cfRule type="expression" dxfId="453" priority="213">
      <formula>F$9&gt;=20/24</formula>
    </cfRule>
    <cfRule type="expression" dxfId="452" priority="214">
      <formula>AND(F$9&gt;=14/24,F$9&lt;20/24)</formula>
    </cfRule>
    <cfRule type="expression" dxfId="451" priority="215">
      <formula>AND(F$9&gt;=8/24,F$9&lt;14/24)</formula>
    </cfRule>
    <cfRule type="expression" dxfId="450" priority="216">
      <formula>F$9&lt;8/24</formula>
    </cfRule>
  </conditionalFormatting>
  <conditionalFormatting sqref="F49:F54">
    <cfRule type="expression" dxfId="449" priority="208">
      <formula>F$9&gt;=20/24</formula>
    </cfRule>
    <cfRule type="expression" dxfId="448" priority="209">
      <formula>AND(F$9&gt;=14/24,F$9&lt;20/24)</formula>
    </cfRule>
    <cfRule type="expression" dxfId="447" priority="210">
      <formula>AND(F$9&gt;=8/24,F$9&lt;14/24)</formula>
    </cfRule>
    <cfRule type="expression" dxfId="446" priority="211">
      <formula>F$9&lt;8/24</formula>
    </cfRule>
  </conditionalFormatting>
  <conditionalFormatting sqref="F49:F54">
    <cfRule type="expression" dxfId="445" priority="207">
      <formula>F49&gt;$AG49</formula>
    </cfRule>
  </conditionalFormatting>
  <conditionalFormatting sqref="B99:B105 B78:F78 B87:F87 B11:E11 H87:AF87 H78:AF78">
    <cfRule type="expression" dxfId="444" priority="194">
      <formula>B$9&gt;=20/24</formula>
    </cfRule>
    <cfRule type="expression" dxfId="443" priority="195">
      <formula>AND(B$9&gt;=14/24,B$9&lt;20/24)</formula>
    </cfRule>
    <cfRule type="expression" dxfId="442" priority="196">
      <formula>AND(B$9&gt;=8/24,B$9&lt;14/24)</formula>
    </cfRule>
    <cfRule type="expression" dxfId="441" priority="197">
      <formula>B$9&lt;8/24</formula>
    </cfRule>
  </conditionalFormatting>
  <conditionalFormatting sqref="B37">
    <cfRule type="expression" dxfId="440" priority="190">
      <formula>B$9&gt;=20/24</formula>
    </cfRule>
    <cfRule type="expression" dxfId="439" priority="191">
      <formula>AND(B$9&gt;=14/24,B$9&lt;20/24)</formula>
    </cfRule>
    <cfRule type="expression" dxfId="438" priority="192">
      <formula>AND(B$9&gt;=8/24,B$9&lt;14/24)</formula>
    </cfRule>
    <cfRule type="expression" dxfId="437" priority="193">
      <formula>B$9&lt;8/24</formula>
    </cfRule>
  </conditionalFormatting>
  <conditionalFormatting sqref="B37 B11:E11">
    <cfRule type="expression" dxfId="436" priority="189">
      <formula>B11&gt;$AG11</formula>
    </cfRule>
  </conditionalFormatting>
  <conditionalFormatting sqref="B89:E89">
    <cfRule type="expression" dxfId="435" priority="185">
      <formula>B$9&gt;=20/24</formula>
    </cfRule>
    <cfRule type="expression" dxfId="434" priority="186">
      <formula>AND(B$9&gt;=14/24,B$9&lt;20/24)</formula>
    </cfRule>
    <cfRule type="expression" dxfId="433" priority="187">
      <formula>AND(B$9&gt;=8/24,B$9&lt;14/24)</formula>
    </cfRule>
    <cfRule type="expression" dxfId="432" priority="188">
      <formula>B$9&lt;8/24</formula>
    </cfRule>
  </conditionalFormatting>
  <conditionalFormatting sqref="B61 B36:E36 B44:E45">
    <cfRule type="expression" dxfId="431" priority="181">
      <formula>B$9&gt;=20/24</formula>
    </cfRule>
    <cfRule type="expression" dxfId="430" priority="182">
      <formula>AND(B$9&gt;=14/24,B$9&lt;20/24)</formula>
    </cfRule>
    <cfRule type="expression" dxfId="429" priority="183">
      <formula>AND(B$9&gt;=8/24,B$9&lt;14/24)</formula>
    </cfRule>
    <cfRule type="expression" dxfId="428" priority="184">
      <formula>B$9&lt;8/24</formula>
    </cfRule>
  </conditionalFormatting>
  <conditionalFormatting sqref="B43:E43">
    <cfRule type="expression" dxfId="427" priority="177">
      <formula>B$9&gt;=20/24</formula>
    </cfRule>
    <cfRule type="expression" dxfId="426" priority="178">
      <formula>AND(B$9&gt;=14/24,B$9&lt;20/24)</formula>
    </cfRule>
    <cfRule type="expression" dxfId="425" priority="179">
      <formula>AND(B$9&gt;=8/24,B$9&lt;14/24)</formula>
    </cfRule>
    <cfRule type="expression" dxfId="424" priority="180">
      <formula>B$9&lt;8/24</formula>
    </cfRule>
  </conditionalFormatting>
  <conditionalFormatting sqref="B36:E36 B43:E45">
    <cfRule type="expression" dxfId="423" priority="176">
      <formula>B36&gt;$AG36</formula>
    </cfRule>
  </conditionalFormatting>
  <conditionalFormatting sqref="B57:B60 B73:B77 B79:F79 B86 C60:F60 C77:F77 B88:F88 B62:B71 B12:E14 B16:E16 B28:E30 B18:E22 B32:E32 B24:E26 C57:E59 C64:E71 C73:E75 B90:E96 H88:AF88 H77:AG77 H60:AG60 H79:AF79">
    <cfRule type="expression" dxfId="422" priority="172">
      <formula>B$9&gt;=20/24</formula>
    </cfRule>
    <cfRule type="expression" dxfId="421" priority="173">
      <formula>AND(B$9&gt;=14/24,B$9&lt;20/24)</formula>
    </cfRule>
    <cfRule type="expression" dxfId="420" priority="174">
      <formula>AND(B$9&gt;=8/24,B$9&lt;14/24)</formula>
    </cfRule>
    <cfRule type="expression" dxfId="419" priority="175">
      <formula>B$9&lt;8/24</formula>
    </cfRule>
  </conditionalFormatting>
  <conditionalFormatting sqref="B33:E33">
    <cfRule type="expression" dxfId="418" priority="168">
      <formula>B$9&gt;=20/24</formula>
    </cfRule>
    <cfRule type="expression" dxfId="417" priority="169">
      <formula>AND(B$9&gt;=14/24,B$9&lt;20/24)</formula>
    </cfRule>
    <cfRule type="expression" dxfId="416" priority="170">
      <formula>AND(B$9&gt;=8/24,B$9&lt;14/24)</formula>
    </cfRule>
    <cfRule type="expression" dxfId="415" priority="171">
      <formula>B$9&lt;8/24</formula>
    </cfRule>
  </conditionalFormatting>
  <conditionalFormatting sqref="B55:B60 B38:F38 C56:F56 C60:F60 B18:E22 B32:E33 B24:E30 B46:E47 C57:E59 H60:AG60 H56:AG56 H38:AG38">
    <cfRule type="expression" dxfId="414" priority="167">
      <formula>B18&gt;$AG18</formula>
    </cfRule>
  </conditionalFormatting>
  <conditionalFormatting sqref="B35:E35">
    <cfRule type="expression" dxfId="413" priority="163">
      <formula>B$9&gt;=20/24</formula>
    </cfRule>
    <cfRule type="expression" dxfId="412" priority="164">
      <formula>AND(B$9&gt;=14/24,B$9&lt;20/24)</formula>
    </cfRule>
    <cfRule type="expression" dxfId="411" priority="165">
      <formula>AND(B$9&gt;=8/24,B$9&lt;14/24)</formula>
    </cfRule>
    <cfRule type="expression" dxfId="410" priority="166">
      <formula>B$9&lt;8/24</formula>
    </cfRule>
  </conditionalFormatting>
  <conditionalFormatting sqref="B15:E15">
    <cfRule type="expression" dxfId="409" priority="159">
      <formula>B$9&gt;=20/24</formula>
    </cfRule>
    <cfRule type="expression" dxfId="408" priority="160">
      <formula>AND(B$9&gt;=14/24,B$9&lt;20/24)</formula>
    </cfRule>
    <cfRule type="expression" dxfId="407" priority="161">
      <formula>AND(B$9&gt;=8/24,B$9&lt;14/24)</formula>
    </cfRule>
    <cfRule type="expression" dxfId="406" priority="162">
      <formula>B$9&lt;8/24</formula>
    </cfRule>
  </conditionalFormatting>
  <conditionalFormatting sqref="B34:E34">
    <cfRule type="expression" dxfId="405" priority="155">
      <formula>B$9&gt;=20/24</formula>
    </cfRule>
    <cfRule type="expression" dxfId="404" priority="156">
      <formula>AND(B$9&gt;=14/24,B$9&lt;20/24)</formula>
    </cfRule>
    <cfRule type="expression" dxfId="403" priority="157">
      <formula>AND(B$9&gt;=8/24,B$9&lt;14/24)</formula>
    </cfRule>
    <cfRule type="expression" dxfId="402" priority="158">
      <formula>B$9&lt;8/24</formula>
    </cfRule>
  </conditionalFormatting>
  <conditionalFormatting sqref="B34:E34">
    <cfRule type="expression" dxfId="401" priority="154">
      <formula>B34&gt;$AG34</formula>
    </cfRule>
  </conditionalFormatting>
  <conditionalFormatting sqref="B48:E54">
    <cfRule type="expression" dxfId="400" priority="150">
      <formula>B$9&gt;=20/24</formula>
    </cfRule>
    <cfRule type="expression" dxfId="399" priority="151">
      <formula>AND(B$9&gt;=14/24,B$9&lt;20/24)</formula>
    </cfRule>
    <cfRule type="expression" dxfId="398" priority="152">
      <formula>AND(B$9&gt;=8/24,B$9&lt;14/24)</formula>
    </cfRule>
    <cfRule type="expression" dxfId="397" priority="153">
      <formula>B$9&lt;8/24</formula>
    </cfRule>
  </conditionalFormatting>
  <conditionalFormatting sqref="B48:E54">
    <cfRule type="expression" dxfId="396" priority="149">
      <formula>B48&gt;$AG48</formula>
    </cfRule>
  </conditionalFormatting>
  <conditionalFormatting sqref="B27:E27">
    <cfRule type="expression" dxfId="395" priority="145">
      <formula>B$9&gt;=20/24</formula>
    </cfRule>
    <cfRule type="expression" dxfId="394" priority="146">
      <formula>AND(B$9&gt;=14/24,B$9&lt;20/24)</formula>
    </cfRule>
    <cfRule type="expression" dxfId="393" priority="147">
      <formula>AND(B$9&gt;=8/24,B$9&lt;14/24)</formula>
    </cfRule>
    <cfRule type="expression" dxfId="392" priority="148">
      <formula>B$9&lt;8/24</formula>
    </cfRule>
  </conditionalFormatting>
  <conditionalFormatting sqref="B17:E17 B23:E23">
    <cfRule type="expression" dxfId="391" priority="141">
      <formula>B$9&gt;=20/24</formula>
    </cfRule>
    <cfRule type="expression" dxfId="390" priority="142">
      <formula>AND(B$9&gt;=14/24,B$9&lt;20/24)</formula>
    </cfRule>
    <cfRule type="expression" dxfId="389" priority="143">
      <formula>AND(B$9&gt;=8/24,B$9&lt;14/24)</formula>
    </cfRule>
    <cfRule type="expression" dxfId="388" priority="144">
      <formula>B$9&lt;8/24</formula>
    </cfRule>
  </conditionalFormatting>
  <conditionalFormatting sqref="B17:E17 B23:E23">
    <cfRule type="expression" dxfId="387" priority="140">
      <formula>B17&gt;$AG17</formula>
    </cfRule>
  </conditionalFormatting>
  <conditionalFormatting sqref="A34">
    <cfRule type="expression" dxfId="386" priority="139">
      <formula>$AH34=0</formula>
    </cfRule>
  </conditionalFormatting>
  <conditionalFormatting sqref="B72:F72 H72:AF72">
    <cfRule type="expression" dxfId="385" priority="135">
      <formula>B$9&gt;=20/24</formula>
    </cfRule>
    <cfRule type="expression" dxfId="384" priority="136">
      <formula>AND(B$9&gt;=14/24,B$9&lt;20/24)</formula>
    </cfRule>
    <cfRule type="expression" dxfId="383" priority="137">
      <formula>AND(B$9&gt;=8/24,B$9&lt;14/24)</formula>
    </cfRule>
    <cfRule type="expression" dxfId="382" priority="138">
      <formula>B$9&lt;8/24</formula>
    </cfRule>
  </conditionalFormatting>
  <conditionalFormatting sqref="B81:F85 H81:AF85">
    <cfRule type="expression" dxfId="381" priority="131">
      <formula>B$9&gt;=20/24</formula>
    </cfRule>
    <cfRule type="expression" dxfId="380" priority="132">
      <formula>AND(B$9&gt;=14/24,B$9&lt;20/24)</formula>
    </cfRule>
    <cfRule type="expression" dxfId="379" priority="133">
      <formula>AND(B$9&gt;=8/24,B$9&lt;14/24)</formula>
    </cfRule>
    <cfRule type="expression" dxfId="378" priority="134">
      <formula>B$9&lt;8/24</formula>
    </cfRule>
  </conditionalFormatting>
  <conditionalFormatting sqref="AL35 AL7:AL30 AL32">
    <cfRule type="iconSet" priority="350">
      <iconSet iconSet="3TrafficLights2" reverse="1">
        <cfvo type="percent" val="0"/>
        <cfvo type="num" val="1"/>
        <cfvo type="num" val="1"/>
      </iconSet>
    </cfRule>
  </conditionalFormatting>
  <conditionalFormatting sqref="F39:F41 M39:AF41">
    <cfRule type="expression" dxfId="377" priority="127">
      <formula>F$9&gt;=20/24</formula>
    </cfRule>
    <cfRule type="expression" dxfId="376" priority="128">
      <formula>AND(F$9&gt;=14/24,F$9&lt;20/24)</formula>
    </cfRule>
    <cfRule type="expression" dxfId="375" priority="129">
      <formula>AND(F$9&gt;=8/24,F$9&lt;14/24)</formula>
    </cfRule>
    <cfRule type="expression" dxfId="374" priority="130">
      <formula>F$9&lt;8/24</formula>
    </cfRule>
  </conditionalFormatting>
  <conditionalFormatting sqref="F39:F41 M39:AF41">
    <cfRule type="expression" dxfId="373" priority="126">
      <formula>F39&gt;$AG39</formula>
    </cfRule>
  </conditionalFormatting>
  <conditionalFormatting sqref="B39:B42 C42:F42 C39:E41 H42:AG42">
    <cfRule type="expression" dxfId="372" priority="122">
      <formula>B$9&gt;=20/24</formula>
    </cfRule>
    <cfRule type="expression" dxfId="371" priority="123">
      <formula>AND(B$9&gt;=14/24,B$9&lt;20/24)</formula>
    </cfRule>
    <cfRule type="expression" dxfId="370" priority="124">
      <formula>AND(B$9&gt;=8/24,B$9&lt;14/24)</formula>
    </cfRule>
    <cfRule type="expression" dxfId="369" priority="125">
      <formula>B$9&lt;8/24</formula>
    </cfRule>
  </conditionalFormatting>
  <conditionalFormatting sqref="B39:B42 C42:F42 C39:E41 H42:AG42">
    <cfRule type="expression" dxfId="368" priority="121">
      <formula>B39&gt;$AG39</formula>
    </cfRule>
  </conditionalFormatting>
  <conditionalFormatting sqref="C97:F97 H97:AF97">
    <cfRule type="expression" dxfId="367" priority="117">
      <formula>C$9&gt;=20/24</formula>
    </cfRule>
    <cfRule type="expression" dxfId="366" priority="118">
      <formula>AND(C$9&gt;=14/24,C$9&lt;20/24)</formula>
    </cfRule>
    <cfRule type="expression" dxfId="365" priority="119">
      <formula>AND(C$9&gt;=8/24,C$9&lt;14/24)</formula>
    </cfRule>
    <cfRule type="expression" dxfId="364" priority="120">
      <formula>C$9&lt;8/24</formula>
    </cfRule>
  </conditionalFormatting>
  <conditionalFormatting sqref="B97">
    <cfRule type="expression" dxfId="363" priority="113">
      <formula>B$9&gt;=20/24</formula>
    </cfRule>
    <cfRule type="expression" dxfId="362" priority="114">
      <formula>AND(B$9&gt;=14/24,B$9&lt;20/24)</formula>
    </cfRule>
    <cfRule type="expression" dxfId="361" priority="115">
      <formula>AND(B$9&gt;=8/24,B$9&lt;14/24)</formula>
    </cfRule>
    <cfRule type="expression" dxfId="360" priority="116">
      <formula>B$9&lt;8/24</formula>
    </cfRule>
  </conditionalFormatting>
  <conditionalFormatting sqref="AL31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359" priority="106">
      <formula>$AH31=0</formula>
    </cfRule>
  </conditionalFormatting>
  <conditionalFormatting sqref="A80">
    <cfRule type="expression" dxfId="358" priority="104">
      <formula>$AH80=0</formula>
    </cfRule>
  </conditionalFormatting>
  <conditionalFormatting sqref="A77">
    <cfRule type="expression" dxfId="357" priority="105">
      <formula>$AH77=0</formula>
    </cfRule>
  </conditionalFormatting>
  <conditionalFormatting sqref="A106">
    <cfRule type="expression" dxfId="356" priority="95">
      <formula>$AH106=0</formula>
    </cfRule>
  </conditionalFormatting>
  <conditionalFormatting sqref="G99:G105">
    <cfRule type="expression" dxfId="355" priority="91">
      <formula>G$9&gt;=20/24</formula>
    </cfRule>
    <cfRule type="expression" dxfId="354" priority="92">
      <formula>AND(G$9&gt;=14/24,G$9&lt;20/24)</formula>
    </cfRule>
    <cfRule type="expression" dxfId="353" priority="93">
      <formula>AND(G$9&gt;=8/24,G$9&lt;14/24)</formula>
    </cfRule>
    <cfRule type="expression" dxfId="352" priority="94">
      <formula>G$9&lt;8/24</formula>
    </cfRule>
  </conditionalFormatting>
  <conditionalFormatting sqref="G12:G16 H12:L14 H16:L16 G35:N35">
    <cfRule type="expression" dxfId="351" priority="90">
      <formula>G12&gt;$AG12</formula>
    </cfRule>
  </conditionalFormatting>
  <conditionalFormatting sqref="G61">
    <cfRule type="expression" dxfId="350" priority="86">
      <formula>G$9&gt;=20/24</formula>
    </cfRule>
    <cfRule type="expression" dxfId="349" priority="87">
      <formula>AND(G$9&gt;=14/24,G$9&lt;20/24)</formula>
    </cfRule>
    <cfRule type="expression" dxfId="348" priority="88">
      <formula>AND(G$9&gt;=8/24,G$9&lt;14/24)</formula>
    </cfRule>
    <cfRule type="expression" dxfId="347" priority="89">
      <formula>G$9&lt;8/24</formula>
    </cfRule>
  </conditionalFormatting>
  <conditionalFormatting sqref="G86 G76 G62:G63">
    <cfRule type="expression" dxfId="346" priority="82">
      <formula>G$9&gt;=20/24</formula>
    </cfRule>
    <cfRule type="expression" dxfId="345" priority="83">
      <formula>AND(G$9&gt;=14/24,G$9&lt;20/24)</formula>
    </cfRule>
    <cfRule type="expression" dxfId="344" priority="84">
      <formula>AND(G$9&gt;=8/24,G$9&lt;14/24)</formula>
    </cfRule>
    <cfRule type="expression" dxfId="343" priority="85">
      <formula>G$9&lt;8/24</formula>
    </cfRule>
  </conditionalFormatting>
  <conditionalFormatting sqref="G55 G37">
    <cfRule type="expression" dxfId="342" priority="81">
      <formula>G37&gt;$AG37</formula>
    </cfRule>
  </conditionalFormatting>
  <conditionalFormatting sqref="G78 G87 G11:L11">
    <cfRule type="expression" dxfId="341" priority="77">
      <formula>G$9&gt;=20/24</formula>
    </cfRule>
    <cfRule type="expression" dxfId="340" priority="78">
      <formula>AND(G$9&gt;=14/24,G$9&lt;20/24)</formula>
    </cfRule>
    <cfRule type="expression" dxfId="339" priority="79">
      <formula>AND(G$9&gt;=8/24,G$9&lt;14/24)</formula>
    </cfRule>
    <cfRule type="expression" dxfId="338" priority="80">
      <formula>G$9&lt;8/24</formula>
    </cfRule>
  </conditionalFormatting>
  <conditionalFormatting sqref="G11:L11">
    <cfRule type="expression" dxfId="337" priority="76">
      <formula>G11&gt;$AG11</formula>
    </cfRule>
  </conditionalFormatting>
  <conditionalFormatting sqref="G89">
    <cfRule type="expression" dxfId="336" priority="72">
      <formula>G$9&gt;=20/24</formula>
    </cfRule>
    <cfRule type="expression" dxfId="335" priority="73">
      <formula>AND(G$9&gt;=14/24,G$9&lt;20/24)</formula>
    </cfRule>
    <cfRule type="expression" dxfId="334" priority="74">
      <formula>AND(G$9&gt;=8/24,G$9&lt;14/24)</formula>
    </cfRule>
    <cfRule type="expression" dxfId="333" priority="75">
      <formula>G$9&lt;8/24</formula>
    </cfRule>
  </conditionalFormatting>
  <conditionalFormatting sqref="G44:L45 G36:N36">
    <cfRule type="expression" dxfId="332" priority="68">
      <formula>G$9&gt;=20/24</formula>
    </cfRule>
    <cfRule type="expression" dxfId="331" priority="69">
      <formula>AND(G$9&gt;=14/24,G$9&lt;20/24)</formula>
    </cfRule>
    <cfRule type="expression" dxfId="330" priority="70">
      <formula>AND(G$9&gt;=8/24,G$9&lt;14/24)</formula>
    </cfRule>
    <cfRule type="expression" dxfId="329" priority="71">
      <formula>G$9&lt;8/24</formula>
    </cfRule>
  </conditionalFormatting>
  <conditionalFormatting sqref="G43:L43">
    <cfRule type="expression" dxfId="328" priority="64">
      <formula>G$9&gt;=20/24</formula>
    </cfRule>
    <cfRule type="expression" dxfId="327" priority="65">
      <formula>AND(G$9&gt;=14/24,G$9&lt;20/24)</formula>
    </cfRule>
    <cfRule type="expression" dxfId="326" priority="66">
      <formula>AND(G$9&gt;=8/24,G$9&lt;14/24)</formula>
    </cfRule>
    <cfRule type="expression" dxfId="325" priority="67">
      <formula>G$9&lt;8/24</formula>
    </cfRule>
  </conditionalFormatting>
  <conditionalFormatting sqref="G43:L45 G36:N36">
    <cfRule type="expression" dxfId="324" priority="63">
      <formula>G36&gt;$AG36</formula>
    </cfRule>
  </conditionalFormatting>
  <conditionalFormatting sqref="G79 G77 G88 G57:G60 G64:G71 G90:G96 G73:H75 G12:L14 G16:L16 G18:L22 G24:L26 M19:O22 M24:O24 M26:O26 H69:S71 G28:U30 V28:Z28 G32:Z32 V30:Z30">
    <cfRule type="expression" dxfId="323" priority="59">
      <formula>G$9&gt;=20/24</formula>
    </cfRule>
    <cfRule type="expression" dxfId="322" priority="60">
      <formula>AND(G$9&gt;=14/24,G$9&lt;20/24)</formula>
    </cfRule>
    <cfRule type="expression" dxfId="321" priority="61">
      <formula>AND(G$9&gt;=8/24,G$9&lt;14/24)</formula>
    </cfRule>
    <cfRule type="expression" dxfId="320" priority="62">
      <formula>G$9&lt;8/24</formula>
    </cfRule>
  </conditionalFormatting>
  <conditionalFormatting sqref="G33:Z33">
    <cfRule type="expression" dxfId="319" priority="55">
      <formula>G$9&gt;=20/24</formula>
    </cfRule>
    <cfRule type="expression" dxfId="318" priority="56">
      <formula>AND(G$9&gt;=14/24,G$9&lt;20/24)</formula>
    </cfRule>
    <cfRule type="expression" dxfId="317" priority="57">
      <formula>AND(G$9&gt;=8/24,G$9&lt;14/24)</formula>
    </cfRule>
    <cfRule type="expression" dxfId="316" priority="58">
      <formula>G$9&lt;8/24</formula>
    </cfRule>
  </conditionalFormatting>
  <conditionalFormatting sqref="G38 G56:G60 G18:L22 G24:L30 G46:L47 M19:O22 M24:O24 M26:O30 P27:U30 V27:Z28 G32:Z33 V30:Z30">
    <cfRule type="expression" dxfId="315" priority="54">
      <formula>G18&gt;$AG18</formula>
    </cfRule>
  </conditionalFormatting>
  <conditionalFormatting sqref="G35:N35">
    <cfRule type="expression" dxfId="314" priority="50">
      <formula>G$9&gt;=20/24</formula>
    </cfRule>
    <cfRule type="expression" dxfId="313" priority="51">
      <formula>AND(G$9&gt;=14/24,G$9&lt;20/24)</formula>
    </cfRule>
    <cfRule type="expression" dxfId="312" priority="52">
      <formula>AND(G$9&gt;=8/24,G$9&lt;14/24)</formula>
    </cfRule>
    <cfRule type="expression" dxfId="311" priority="53">
      <formula>G$9&lt;8/24</formula>
    </cfRule>
  </conditionalFormatting>
  <conditionalFormatting sqref="G15">
    <cfRule type="expression" dxfId="310" priority="46">
      <formula>G$9&gt;=20/24</formula>
    </cfRule>
    <cfRule type="expression" dxfId="309" priority="47">
      <formula>AND(G$9&gt;=14/24,G$9&lt;20/24)</formula>
    </cfRule>
    <cfRule type="expression" dxfId="308" priority="48">
      <formula>AND(G$9&gt;=8/24,G$9&lt;14/24)</formula>
    </cfRule>
    <cfRule type="expression" dxfId="307" priority="49">
      <formula>G$9&lt;8/24</formula>
    </cfRule>
  </conditionalFormatting>
  <conditionalFormatting sqref="G34:Z34">
    <cfRule type="expression" dxfId="306" priority="42">
      <formula>G$9&gt;=20/24</formula>
    </cfRule>
    <cfRule type="expression" dxfId="305" priority="43">
      <formula>AND(G$9&gt;=14/24,G$9&lt;20/24)</formula>
    </cfRule>
    <cfRule type="expression" dxfId="304" priority="44">
      <formula>AND(G$9&gt;=8/24,G$9&lt;14/24)</formula>
    </cfRule>
    <cfRule type="expression" dxfId="303" priority="45">
      <formula>G$9&lt;8/24</formula>
    </cfRule>
  </conditionalFormatting>
  <conditionalFormatting sqref="G34:Z34">
    <cfRule type="expression" dxfId="302" priority="41">
      <formula>G34&gt;$AG34</formula>
    </cfRule>
  </conditionalFormatting>
  <conditionalFormatting sqref="G48:L54 M52:AF54">
    <cfRule type="expression" dxfId="301" priority="37">
      <formula>G$9&gt;=20/24</formula>
    </cfRule>
    <cfRule type="expression" dxfId="300" priority="38">
      <formula>AND(G$9&gt;=14/24,G$9&lt;20/24)</formula>
    </cfRule>
    <cfRule type="expression" dxfId="299" priority="39">
      <formula>AND(G$9&gt;=8/24,G$9&lt;14/24)</formula>
    </cfRule>
    <cfRule type="expression" dxfId="298" priority="40">
      <formula>G$9&lt;8/24</formula>
    </cfRule>
  </conditionalFormatting>
  <conditionalFormatting sqref="G48:L54 M52:AF54">
    <cfRule type="expression" dxfId="297" priority="36">
      <formula>G48&gt;$AG48</formula>
    </cfRule>
  </conditionalFormatting>
  <conditionalFormatting sqref="G27:Z27">
    <cfRule type="expression" dxfId="296" priority="32">
      <formula>G$9&gt;=20/24</formula>
    </cfRule>
    <cfRule type="expression" dxfId="295" priority="33">
      <formula>AND(G$9&gt;=14/24,G$9&lt;20/24)</formula>
    </cfRule>
    <cfRule type="expression" dxfId="294" priority="34">
      <formula>AND(G$9&gt;=8/24,G$9&lt;14/24)</formula>
    </cfRule>
    <cfRule type="expression" dxfId="293" priority="35">
      <formula>G$9&lt;8/24</formula>
    </cfRule>
  </conditionalFormatting>
  <conditionalFormatting sqref="G17:L17 G23:O23">
    <cfRule type="expression" dxfId="292" priority="28">
      <formula>G$9&gt;=20/24</formula>
    </cfRule>
    <cfRule type="expression" dxfId="291" priority="29">
      <formula>AND(G$9&gt;=14/24,G$9&lt;20/24)</formula>
    </cfRule>
    <cfRule type="expression" dxfId="290" priority="30">
      <formula>AND(G$9&gt;=8/24,G$9&lt;14/24)</formula>
    </cfRule>
    <cfRule type="expression" dxfId="289" priority="31">
      <formula>G$9&lt;8/24</formula>
    </cfRule>
  </conditionalFormatting>
  <conditionalFormatting sqref="G17:L17 G23:O23">
    <cfRule type="expression" dxfId="288" priority="27">
      <formula>G17&gt;$AG17</formula>
    </cfRule>
  </conditionalFormatting>
  <conditionalFormatting sqref="G72">
    <cfRule type="expression" dxfId="287" priority="23">
      <formula>G$9&gt;=20/24</formula>
    </cfRule>
    <cfRule type="expression" dxfId="286" priority="24">
      <formula>AND(G$9&gt;=14/24,G$9&lt;20/24)</formula>
    </cfRule>
    <cfRule type="expression" dxfId="285" priority="25">
      <formula>AND(G$9&gt;=8/24,G$9&lt;14/24)</formula>
    </cfRule>
    <cfRule type="expression" dxfId="284" priority="26">
      <formula>G$9&lt;8/24</formula>
    </cfRule>
  </conditionalFormatting>
  <conditionalFormatting sqref="G81:G85">
    <cfRule type="expression" dxfId="283" priority="19">
      <formula>G$9&gt;=20/24</formula>
    </cfRule>
    <cfRule type="expression" dxfId="282" priority="20">
      <formula>AND(G$9&gt;=14/24,G$9&lt;20/24)</formula>
    </cfRule>
    <cfRule type="expression" dxfId="281" priority="21">
      <formula>AND(G$9&gt;=8/24,G$9&lt;14/24)</formula>
    </cfRule>
    <cfRule type="expression" dxfId="280" priority="22">
      <formula>G$9&lt;8/24</formula>
    </cfRule>
  </conditionalFormatting>
  <conditionalFormatting sqref="G39:G42 H39:L41">
    <cfRule type="expression" dxfId="279" priority="15">
      <formula>G$9&gt;=20/24</formula>
    </cfRule>
    <cfRule type="expression" dxfId="278" priority="16">
      <formula>AND(G$9&gt;=14/24,G$9&lt;20/24)</formula>
    </cfRule>
    <cfRule type="expression" dxfId="277" priority="17">
      <formula>AND(G$9&gt;=8/24,G$9&lt;14/24)</formula>
    </cfRule>
    <cfRule type="expression" dxfId="276" priority="18">
      <formula>G$9&lt;8/24</formula>
    </cfRule>
  </conditionalFormatting>
  <conditionalFormatting sqref="G39:G42 H39:L41">
    <cfRule type="expression" dxfId="275" priority="14">
      <formula>G39&gt;$AG39</formula>
    </cfRule>
  </conditionalFormatting>
  <conditionalFormatting sqref="G97">
    <cfRule type="expression" dxfId="274" priority="10">
      <formula>G$9&gt;=20/24</formula>
    </cfRule>
    <cfRule type="expression" dxfId="273" priority="11">
      <formula>AND(G$9&gt;=14/24,G$9&lt;20/24)</formula>
    </cfRule>
    <cfRule type="expression" dxfId="272" priority="12">
      <formula>AND(G$9&gt;=8/24,G$9&lt;14/24)</formula>
    </cfRule>
    <cfRule type="expression" dxfId="271" priority="13">
      <formula>G$9&lt;8/24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8" id="{820F2DC6-FD46-4C5B-97D9-B3B0C26D94E4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9" id="{FF443F75-A3C1-4EE0-9EE2-F19D20BE1D55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10" id="{F6ED6E10-A7E8-41C6-AD86-BF93DFAF9086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11" id="{77BC2D23-1E4C-4271-8359-574B2F36D2EA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B80:F80 B31:E31 H80:AF80 AA31:AF31</xm:sqref>
        </x14:conditionalFormatting>
        <x14:conditionalFormatting xmlns:xm="http://schemas.microsoft.com/office/excel/2006/main">
          <x14:cfRule type="expression" priority="107" id="{1EF83EED-459D-4C43-9F79-DE4B889BE68F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B31:E31 AA31:AF31</xm:sqref>
        </x14:conditionalFormatting>
        <x14:conditionalFormatting xmlns:xm="http://schemas.microsoft.com/office/excel/2006/main">
          <x14:cfRule type="expression" priority="100" id="{D5246F31-CBC5-4992-A2D8-493836B212A9}">
            <xm:f>'28'!C$9&gt;=20/24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1" id="{F5AA34A3-6930-43EC-907B-CBC68D32E9AB}">
            <xm:f>AND('28'!C$9&gt;=14/24,'28'!C$9&lt;20/24)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2" id="{7E3CC264-B6E9-455B-89E5-6CCEB8804623}">
            <xm:f>AND('28'!C$9&gt;=8/24,'28'!C$9&lt;14/24)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03" id="{D9C4F672-60F6-4EA1-A0E6-5E7DF4FEFE3C}">
            <xm:f>'28'!C$9&lt;8/24</xm:f>
            <x14:dxf>
              <fill>
                <patternFill>
                  <bgColor rgb="FFFFFF66"/>
                </patternFill>
              </fill>
            </x14:dxf>
          </x14:cfRule>
          <xm:sqref>C106:F106 H106:AF106</xm:sqref>
        </x14:conditionalFormatting>
        <x14:conditionalFormatting xmlns:xm="http://schemas.microsoft.com/office/excel/2006/main">
          <x14:cfRule type="expression" priority="96" id="{939BB4CF-034D-4A07-8BCE-03616747D4F9}">
            <xm:f>'28'!B$9&gt;=20/24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97" id="{A0676AD0-BA2A-4F17-87CC-78F439000182}">
            <xm:f>AND('28'!B$9&gt;=14/24,'28'!B$9&lt;20/24)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8" id="{148A7227-8950-4392-B0C5-543A208AE904}">
            <xm:f>AND('28'!B$9&gt;=8/24,'28'!B$9&lt;14/24)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9" id="{3CE55AEB-3092-49A0-B30C-37864588DECF}">
            <xm:f>'28'!B$9&lt;8/24</xm:f>
            <x14:dxf>
              <fill>
                <patternFill>
                  <bgColor rgb="FFFFFF66"/>
                </patternFill>
              </fill>
            </x14:dxf>
          </x14:cfRule>
          <xm:sqref>B106</xm:sqref>
        </x14:conditionalFormatting>
        <x14:conditionalFormatting xmlns:xm="http://schemas.microsoft.com/office/excel/2006/main">
          <x14:cfRule type="expression" priority="6" id="{7E16D2B3-3BB8-456C-AFE2-F46EFABCD3E6}">
            <xm:f>'2'!G$9&gt;=20/24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" id="{DFF6D624-05A0-4D68-BD9A-F35D85CC13A8}">
            <xm:f>AND('2'!G$9&gt;=14/24,'2'!G$9&lt;20/24)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id="{9837DA0A-283B-4618-808F-D4054951F02D}">
            <xm:f>AND('2'!G$9&gt;=8/24,'2'!G$9&lt;14/24)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" id="{40FCA5E6-CFF5-40F1-8AF2-82BCE798D389}">
            <xm:f>'2'!G$9&lt;8/24</xm:f>
            <x14:dxf>
              <fill>
                <patternFill>
                  <bgColor rgb="FFFFFF66"/>
                </patternFill>
              </fill>
            </x14:dxf>
          </x14:cfRule>
          <xm:sqref>G80 G31:Z31</xm:sqref>
        </x14:conditionalFormatting>
        <x14:conditionalFormatting xmlns:xm="http://schemas.microsoft.com/office/excel/2006/main">
          <x14:cfRule type="expression" priority="5" id="{70FE239A-2EEE-4DB4-A0E8-9F9976AC5CE5}">
            <xm:f>'2'!G31&gt;'2'!$AG31</xm:f>
            <x14:dxf>
              <fill>
                <patternFill>
                  <bgColor rgb="FFFF0000"/>
                </patternFill>
              </fill>
            </x14:dxf>
          </x14:cfRule>
          <xm:sqref>G31:Z31</xm:sqref>
        </x14:conditionalFormatting>
        <x14:conditionalFormatting xmlns:xm="http://schemas.microsoft.com/office/excel/2006/main">
          <x14:cfRule type="expression" priority="1" id="{1478677C-5DC2-40FF-BE79-D726D3B8E232}">
            <xm:f>'28'!G$9&gt;=20/24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" id="{DF74D1E6-AAF7-4157-95BB-32F5122FA6FF}">
            <xm:f>AND('28'!G$9&gt;=14/24,'28'!G$9&lt;20/24)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" id="{39925011-B78D-41AB-9EF5-EB2ABFE1030B}">
            <xm:f>AND('28'!G$9&gt;=8/24,'28'!G$9&lt;14/24)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" id="{F987780C-4175-4B9C-9928-FA2B52493C72}">
            <xm:f>'28'!G$9&lt;8/24</xm:f>
            <x14:dxf>
              <fill>
                <patternFill>
                  <bgColor rgb="FFFFFF66"/>
                </patternFill>
              </fill>
            </x14:dxf>
          </x14:cfRule>
          <xm:sqref>G106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3"/>
  <sheetViews>
    <sheetView zoomScale="90" zoomScaleNormal="90" workbookViewId="0">
      <pane xSplit="1" ySplit="10" topLeftCell="B44" activePane="bottomRight" state="frozen"/>
      <selection activeCell="AF88" sqref="AF88"/>
      <selection pane="topRight" activeCell="AF88" sqref="AF88"/>
      <selection pane="bottomLeft" activeCell="AF88" sqref="AF88"/>
      <selection pane="bottomRight" activeCell="B31" sqref="B31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8.7109375" style="1"/>
    <col min="38" max="41" width="9.140625" customWidth="1"/>
  </cols>
  <sheetData>
    <row r="1" spans="1:88" ht="36" customHeight="1" thickBot="1" x14ac:dyDescent="0.4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 t="s">
        <v>1</v>
      </c>
      <c r="AH1" s="185"/>
      <c r="AI1" s="185"/>
      <c r="AL1" s="2"/>
      <c r="AM1" s="3"/>
    </row>
    <row r="2" spans="1:88" ht="20.25" x14ac:dyDescent="0.25">
      <c r="A2" s="4"/>
      <c r="B2" s="186" t="s">
        <v>2</v>
      </c>
      <c r="C2" s="5"/>
      <c r="D2" s="188" t="s">
        <v>3</v>
      </c>
      <c r="E2" s="5"/>
      <c r="F2" s="188" t="s">
        <v>4</v>
      </c>
      <c r="G2" s="5"/>
      <c r="H2" s="188" t="s">
        <v>5</v>
      </c>
      <c r="I2" s="6"/>
      <c r="J2" s="19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87"/>
      <c r="C3" s="18"/>
      <c r="D3" s="189"/>
      <c r="E3" s="18"/>
      <c r="F3" s="189"/>
      <c r="G3" s="18"/>
      <c r="H3" s="189"/>
      <c r="I3" s="19"/>
      <c r="J3" s="19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7.45" x14ac:dyDescent="0.35">
      <c r="A4" s="27" t="s">
        <v>11</v>
      </c>
      <c r="B4" s="191" t="e">
        <f ca="1">"2079/"&amp;"02/"&amp;INT(MID(CELL("filename",D6),FIND("]",CELL("filename",D6))+1,200))</f>
        <v>#VALUE!</v>
      </c>
      <c r="C4" s="191"/>
      <c r="D4" s="191"/>
      <c r="E4" s="192" t="str">
        <f ca="1">IFERROR([1]!DateBStoAD(B4),"")</f>
        <v/>
      </c>
      <c r="F4" s="192"/>
      <c r="G4" s="192"/>
      <c r="H4" s="192" t="str">
        <f ca="1">TEXT(E4,"dddd")</f>
        <v/>
      </c>
      <c r="I4" s="192"/>
      <c r="J4" s="28"/>
      <c r="K4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35">
      <c r="A5" s="31"/>
      <c r="B5" s="32">
        <f t="shared" ref="B5:AE5" si="0">C72</f>
        <v>0</v>
      </c>
      <c r="C5" s="32">
        <f t="shared" si="0"/>
        <v>0</v>
      </c>
      <c r="D5" s="32">
        <f t="shared" si="0"/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0</v>
      </c>
      <c r="O5" s="32">
        <f t="shared" si="0"/>
        <v>0</v>
      </c>
      <c r="P5" s="32">
        <f t="shared" si="0"/>
        <v>0</v>
      </c>
      <c r="Q5" s="32">
        <f t="shared" si="0"/>
        <v>0</v>
      </c>
      <c r="R5" s="32">
        <f t="shared" si="0"/>
        <v>0</v>
      </c>
      <c r="S5" s="32">
        <f t="shared" si="0"/>
        <v>0</v>
      </c>
      <c r="T5" s="32">
        <f t="shared" si="0"/>
        <v>0</v>
      </c>
      <c r="U5" s="32">
        <f t="shared" si="0"/>
        <v>0</v>
      </c>
      <c r="V5" s="32">
        <f t="shared" si="0"/>
        <v>0</v>
      </c>
      <c r="W5" s="32">
        <f t="shared" si="0"/>
        <v>0</v>
      </c>
      <c r="X5" s="32">
        <f t="shared" si="0"/>
        <v>0</v>
      </c>
      <c r="Y5" s="32">
        <f t="shared" si="0"/>
        <v>0</v>
      </c>
      <c r="Z5" s="32">
        <f t="shared" si="0"/>
        <v>0</v>
      </c>
      <c r="AA5" s="32">
        <f t="shared" si="0"/>
        <v>0</v>
      </c>
      <c r="AB5" s="32">
        <f t="shared" si="0"/>
        <v>0</v>
      </c>
      <c r="AC5" s="32">
        <f t="shared" si="0"/>
        <v>0</v>
      </c>
      <c r="AD5" s="32">
        <f t="shared" si="0"/>
        <v>0</v>
      </c>
      <c r="AE5" s="32">
        <f t="shared" si="0"/>
        <v>0</v>
      </c>
      <c r="AF5" s="32">
        <f>B72</f>
        <v>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7.45" x14ac:dyDescent="0.3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4MW at 4:60hr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5.95" thickBot="1" x14ac:dyDescent="0.4">
      <c r="A7" s="36" t="str">
        <f>"Base Load="&amp;ROUND(MIN($B$7:$AF$7),0)</f>
        <v>Base Load=4</v>
      </c>
      <c r="B7" s="37">
        <f>B79</f>
        <v>3.54</v>
      </c>
      <c r="C7" s="37">
        <f t="shared" ref="C7:AF7" si="1">C79</f>
        <v>3.54</v>
      </c>
      <c r="D7" s="37">
        <f t="shared" si="1"/>
        <v>3.54</v>
      </c>
      <c r="E7" s="37">
        <f t="shared" si="1"/>
        <v>3.54</v>
      </c>
      <c r="F7" s="37">
        <f t="shared" si="1"/>
        <v>3.54</v>
      </c>
      <c r="G7" s="37">
        <f t="shared" si="1"/>
        <v>3.54</v>
      </c>
      <c r="H7" s="37">
        <f t="shared" si="1"/>
        <v>3.54</v>
      </c>
      <c r="I7" s="37">
        <f t="shared" si="1"/>
        <v>3.54</v>
      </c>
      <c r="J7" s="37">
        <f t="shared" si="1"/>
        <v>3.54</v>
      </c>
      <c r="K7" s="37">
        <f t="shared" si="1"/>
        <v>3.54</v>
      </c>
      <c r="L7" s="37">
        <f t="shared" si="1"/>
        <v>3.54</v>
      </c>
      <c r="M7" s="37">
        <f t="shared" si="1"/>
        <v>3.54</v>
      </c>
      <c r="N7" s="37">
        <f t="shared" si="1"/>
        <v>3.54</v>
      </c>
      <c r="O7" s="37">
        <f t="shared" si="1"/>
        <v>3.54</v>
      </c>
      <c r="P7" s="37">
        <f t="shared" si="1"/>
        <v>3.54</v>
      </c>
      <c r="Q7" s="37">
        <f t="shared" si="1"/>
        <v>3.54</v>
      </c>
      <c r="R7" s="37">
        <f t="shared" si="1"/>
        <v>3.54</v>
      </c>
      <c r="S7" s="37">
        <f t="shared" si="1"/>
        <v>3.54</v>
      </c>
      <c r="T7" s="37">
        <f t="shared" si="1"/>
        <v>3.54</v>
      </c>
      <c r="U7" s="37">
        <f t="shared" si="1"/>
        <v>3.54</v>
      </c>
      <c r="V7" s="37">
        <f t="shared" si="1"/>
        <v>3.54</v>
      </c>
      <c r="W7" s="37">
        <f t="shared" si="1"/>
        <v>3.54</v>
      </c>
      <c r="X7" s="37">
        <f t="shared" si="1"/>
        <v>3.54</v>
      </c>
      <c r="Y7" s="37">
        <f t="shared" si="1"/>
        <v>3.54</v>
      </c>
      <c r="Z7" s="37">
        <f t="shared" si="1"/>
        <v>3.54</v>
      </c>
      <c r="AA7" s="37">
        <f t="shared" si="1"/>
        <v>3.54</v>
      </c>
      <c r="AB7" s="37">
        <f t="shared" si="1"/>
        <v>3.54</v>
      </c>
      <c r="AC7" s="37">
        <f t="shared" si="1"/>
        <v>3.54</v>
      </c>
      <c r="AD7" s="37">
        <f t="shared" si="1"/>
        <v>3.54</v>
      </c>
      <c r="AE7" s="37">
        <f t="shared" si="1"/>
        <v>3.54</v>
      </c>
      <c r="AF7" s="37">
        <f t="shared" si="1"/>
        <v>3.54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6.5" thickTop="1" thickBot="1" x14ac:dyDescent="0.4">
      <c r="A8" s="42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1" t="s">
        <v>18</v>
      </c>
      <c r="B9" s="203">
        <v>0</v>
      </c>
      <c r="C9" s="203">
        <v>4.1666666666666664E-2</v>
      </c>
      <c r="D9" s="203">
        <v>8.3333333333333301E-2</v>
      </c>
      <c r="E9" s="203">
        <v>0.125</v>
      </c>
      <c r="F9" s="203">
        <v>0.16666666666666699</v>
      </c>
      <c r="G9" s="203">
        <v>0.20833333333333301</v>
      </c>
      <c r="H9" s="203">
        <v>0.22916666666666666</v>
      </c>
      <c r="I9" s="203">
        <v>0.25</v>
      </c>
      <c r="J9" s="203">
        <v>0.27083333333333331</v>
      </c>
      <c r="K9" s="203">
        <v>0.29166666666666669</v>
      </c>
      <c r="L9" s="203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5">
        <v>0.58333333333333304</v>
      </c>
      <c r="T9" s="205">
        <v>0.625</v>
      </c>
      <c r="U9" s="205">
        <v>0.66666666666666696</v>
      </c>
      <c r="V9" s="205">
        <v>0.70833333333333304</v>
      </c>
      <c r="W9" s="205">
        <v>0.72916666666666663</v>
      </c>
      <c r="X9" s="205">
        <v>0.75</v>
      </c>
      <c r="Y9" s="205">
        <v>0.77083333333333337</v>
      </c>
      <c r="Z9" s="205">
        <v>0.79166666666666663</v>
      </c>
      <c r="AA9" s="205">
        <v>0.8125</v>
      </c>
      <c r="AB9" s="205">
        <v>0.83333333333333337</v>
      </c>
      <c r="AC9" s="205">
        <v>0.85416666666666663</v>
      </c>
      <c r="AD9" s="205">
        <v>0.875</v>
      </c>
      <c r="AE9" s="205">
        <v>0.91666666666666696</v>
      </c>
      <c r="AF9" s="205">
        <v>0.95833333333333304</v>
      </c>
      <c r="AG9" s="20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2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0"/>
      <c r="N10" s="200"/>
      <c r="O10" s="200"/>
      <c r="P10" s="200"/>
      <c r="Q10" s="200"/>
      <c r="R10" s="200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thickTop="1" x14ac:dyDescent="0.35">
      <c r="A11" s="57" t="s">
        <v>107</v>
      </c>
      <c r="B11" s="50"/>
      <c r="C11" s="49"/>
      <c r="D11" s="49"/>
      <c r="E11" s="50"/>
      <c r="F11" s="50"/>
      <c r="G11" s="50"/>
      <c r="H11" s="50"/>
      <c r="I11" s="50"/>
      <c r="J11" s="51"/>
      <c r="K11" s="51"/>
      <c r="L11" s="51"/>
      <c r="M11" s="50"/>
      <c r="N11" s="50"/>
      <c r="O11" s="50"/>
      <c r="P11" s="50"/>
      <c r="Q11" s="50"/>
      <c r="R11" s="50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133">
        <v>52.4</v>
      </c>
      <c r="AH11" s="54">
        <f>MAX(B11:AF11)</f>
        <v>0</v>
      </c>
      <c r="AI11" s="55">
        <f>MIN(B11:AF11)</f>
        <v>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ht="14.45" x14ac:dyDescent="0.35">
      <c r="A12" s="57" t="s">
        <v>108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134">
        <v>50</v>
      </c>
      <c r="AH12" s="54">
        <f t="shared" ref="AH12:AH79" si="2">MAX(B12:AF12)</f>
        <v>0</v>
      </c>
      <c r="AI12" s="55">
        <f t="shared" ref="AI12:AI79" si="3">MIN(B12:AF12)</f>
        <v>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45" x14ac:dyDescent="0.35">
      <c r="A13" s="57" t="s">
        <v>109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134">
        <v>45</v>
      </c>
      <c r="AH13" s="54">
        <f t="shared" si="2"/>
        <v>0</v>
      </c>
      <c r="AI13" s="55">
        <f t="shared" si="3"/>
        <v>0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ht="14.45" x14ac:dyDescent="0.35">
      <c r="A14" s="57" t="s">
        <v>110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134">
        <v>42</v>
      </c>
      <c r="AH14" s="54">
        <f t="shared" si="2"/>
        <v>0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ht="14.45" x14ac:dyDescent="0.35">
      <c r="A15" s="57" t="s">
        <v>111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135">
        <v>30</v>
      </c>
      <c r="AH15" s="54">
        <f t="shared" si="2"/>
        <v>0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ht="14.45" x14ac:dyDescent="0.35">
      <c r="A16" s="57" t="s">
        <v>112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134">
        <v>25</v>
      </c>
      <c r="AH16" s="54">
        <f t="shared" si="2"/>
        <v>0</v>
      </c>
      <c r="AI16" s="55">
        <f t="shared" si="3"/>
        <v>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45" x14ac:dyDescent="0.35">
      <c r="A17" s="57" t="s">
        <v>113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134">
        <v>25</v>
      </c>
      <c r="AH17" s="54">
        <f t="shared" si="2"/>
        <v>0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ht="14.45" x14ac:dyDescent="0.35">
      <c r="A18" s="57" t="s">
        <v>114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134">
        <v>25</v>
      </c>
      <c r="AH18" s="54">
        <f t="shared" si="2"/>
        <v>0</v>
      </c>
      <c r="AI18" s="55">
        <f t="shared" si="3"/>
        <v>0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ht="14.45" x14ac:dyDescent="0.35">
      <c r="A19" s="57" t="s">
        <v>115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134">
        <v>24.2</v>
      </c>
      <c r="AH19" s="54">
        <f t="shared" si="2"/>
        <v>0</v>
      </c>
      <c r="AI19" s="55">
        <f t="shared" si="3"/>
        <v>0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ht="14.45" x14ac:dyDescent="0.35">
      <c r="A20" s="57" t="s">
        <v>116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134">
        <v>23.5</v>
      </c>
      <c r="AH20" s="54">
        <f t="shared" si="2"/>
        <v>0</v>
      </c>
      <c r="AI20" s="55">
        <f t="shared" si="3"/>
        <v>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ht="14.45" x14ac:dyDescent="0.35">
      <c r="A21" s="57" t="s">
        <v>117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134">
        <v>22.2</v>
      </c>
      <c r="AH21" s="54">
        <f t="shared" si="2"/>
        <v>0</v>
      </c>
      <c r="AI21" s="55">
        <f t="shared" si="3"/>
        <v>0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ht="14.45" x14ac:dyDescent="0.35">
      <c r="A22" s="57" t="s">
        <v>118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134">
        <v>22.1</v>
      </c>
      <c r="AH22" s="54">
        <f t="shared" si="2"/>
        <v>0</v>
      </c>
      <c r="AI22" s="55">
        <f t="shared" si="3"/>
        <v>0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ht="14.45" x14ac:dyDescent="0.35">
      <c r="A23" s="57" t="s">
        <v>240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134">
        <v>22</v>
      </c>
      <c r="AH23" s="54">
        <f t="shared" si="2"/>
        <v>0</v>
      </c>
      <c r="AI23" s="55">
        <f t="shared" si="3"/>
        <v>0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ht="14.45" x14ac:dyDescent="0.35">
      <c r="A24" s="57" t="s">
        <v>119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134">
        <v>22</v>
      </c>
      <c r="AH24" s="54">
        <f t="shared" si="2"/>
        <v>0</v>
      </c>
      <c r="AI24" s="55">
        <f t="shared" si="3"/>
        <v>0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ht="14.45" x14ac:dyDescent="0.35">
      <c r="A25" s="57" t="s">
        <v>19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134">
        <v>20</v>
      </c>
      <c r="AH25" s="54">
        <f t="shared" si="2"/>
        <v>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ht="14.45" x14ac:dyDescent="0.35">
      <c r="A26" s="57" t="s">
        <v>120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134">
        <v>14.9</v>
      </c>
      <c r="AH26" s="54">
        <f t="shared" si="2"/>
        <v>0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ht="14.45" x14ac:dyDescent="0.35">
      <c r="A27" s="57" t="s">
        <v>121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134">
        <v>13.6</v>
      </c>
      <c r="AH27" s="54">
        <f t="shared" si="2"/>
        <v>0</v>
      </c>
      <c r="AI27" s="55">
        <f t="shared" si="3"/>
        <v>0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ht="14.45" x14ac:dyDescent="0.35">
      <c r="A28" s="57" t="s">
        <v>122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134">
        <v>13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123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134">
        <v>12</v>
      </c>
      <c r="AH29" s="54">
        <f t="shared" si="2"/>
        <v>0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124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134">
        <v>12</v>
      </c>
      <c r="AH30" s="54">
        <f t="shared" si="2"/>
        <v>0</v>
      </c>
      <c r="AI30" s="55">
        <f t="shared" si="3"/>
        <v>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238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178">
        <v>22</v>
      </c>
      <c r="AH31" s="54">
        <f>MAX(B31:AF31)</f>
        <v>0</v>
      </c>
      <c r="AI31" s="55">
        <f>MIN(B31:AF31)</f>
        <v>0</v>
      </c>
      <c r="AK31" s="56"/>
      <c r="AL31" s="30"/>
      <c r="AM31" s="26"/>
      <c r="AN31" s="26"/>
      <c r="AO31" s="26"/>
      <c r="AP31" s="26"/>
      <c r="AQ31" s="58"/>
      <c r="AR31" s="59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57" t="s">
        <v>125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135">
        <v>11.88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58"/>
      <c r="AR32" s="59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0" t="s">
        <v>126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136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58"/>
      <c r="AR33" s="59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0" t="s">
        <v>127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136">
        <v>10</v>
      </c>
      <c r="AH34" s="54">
        <f t="shared" si="2"/>
        <v>0</v>
      </c>
      <c r="AI34" s="55">
        <f t="shared" si="3"/>
        <v>0</v>
      </c>
      <c r="AK34" s="56"/>
      <c r="AL34" s="30"/>
      <c r="AM34" s="26"/>
      <c r="AN34" s="26"/>
      <c r="AO34" s="26"/>
      <c r="AP34" s="26"/>
      <c r="AQ34" s="58"/>
      <c r="AR34" s="59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0" t="s">
        <v>128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136">
        <v>10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58"/>
      <c r="AR35" s="59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1" t="s">
        <v>20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136">
        <v>85</v>
      </c>
      <c r="AH36" s="54">
        <f t="shared" si="2"/>
        <v>0</v>
      </c>
      <c r="AI36" s="55">
        <f t="shared" si="3"/>
        <v>0</v>
      </c>
      <c r="AK36" s="56"/>
    </row>
    <row r="37" spans="1:88" ht="15.75" thickBot="1" x14ac:dyDescent="0.3">
      <c r="A37" s="63" t="s">
        <v>21</v>
      </c>
      <c r="B37" s="64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136">
        <v>240</v>
      </c>
      <c r="AH37" s="54">
        <f t="shared" si="2"/>
        <v>0</v>
      </c>
      <c r="AI37" s="55">
        <f t="shared" si="3"/>
        <v>0</v>
      </c>
      <c r="AK37" s="56"/>
    </row>
    <row r="38" spans="1:88" ht="15.75" thickBot="1" x14ac:dyDescent="0.3">
      <c r="A38" s="131" t="s">
        <v>22</v>
      </c>
      <c r="B38" s="66">
        <f t="shared" ref="B38:AG38" si="4">SUM(B11:B36)</f>
        <v>0</v>
      </c>
      <c r="C38" s="66">
        <f t="shared" si="4"/>
        <v>0</v>
      </c>
      <c r="D38" s="66">
        <f t="shared" si="4"/>
        <v>0</v>
      </c>
      <c r="E38" s="66">
        <f t="shared" si="4"/>
        <v>0</v>
      </c>
      <c r="F38" s="66">
        <f t="shared" si="4"/>
        <v>0</v>
      </c>
      <c r="G38" s="66">
        <f t="shared" si="4"/>
        <v>0</v>
      </c>
      <c r="H38" s="66">
        <f t="shared" si="4"/>
        <v>0</v>
      </c>
      <c r="I38" s="66">
        <f t="shared" si="4"/>
        <v>0</v>
      </c>
      <c r="J38" s="66">
        <f t="shared" si="4"/>
        <v>0</v>
      </c>
      <c r="K38" s="66">
        <f t="shared" si="4"/>
        <v>0</v>
      </c>
      <c r="L38" s="66">
        <f t="shared" si="4"/>
        <v>0</v>
      </c>
      <c r="M38" s="66">
        <f t="shared" si="4"/>
        <v>0</v>
      </c>
      <c r="N38" s="66">
        <f t="shared" si="4"/>
        <v>0</v>
      </c>
      <c r="O38" s="66">
        <f t="shared" si="4"/>
        <v>0</v>
      </c>
      <c r="P38" s="66">
        <f t="shared" si="4"/>
        <v>0</v>
      </c>
      <c r="Q38" s="66">
        <f t="shared" si="4"/>
        <v>0</v>
      </c>
      <c r="R38" s="66">
        <f t="shared" si="4"/>
        <v>0</v>
      </c>
      <c r="S38" s="66">
        <f t="shared" si="4"/>
        <v>0</v>
      </c>
      <c r="T38" s="66">
        <f t="shared" si="4"/>
        <v>0</v>
      </c>
      <c r="U38" s="66">
        <f t="shared" si="4"/>
        <v>0</v>
      </c>
      <c r="V38" s="66">
        <f t="shared" si="4"/>
        <v>0</v>
      </c>
      <c r="W38" s="66">
        <f t="shared" si="4"/>
        <v>0</v>
      </c>
      <c r="X38" s="66">
        <f t="shared" si="4"/>
        <v>0</v>
      </c>
      <c r="Y38" s="66">
        <f t="shared" si="4"/>
        <v>0</v>
      </c>
      <c r="Z38" s="66">
        <f t="shared" si="4"/>
        <v>0</v>
      </c>
      <c r="AA38" s="66">
        <f t="shared" si="4"/>
        <v>0</v>
      </c>
      <c r="AB38" s="66">
        <f t="shared" si="4"/>
        <v>0</v>
      </c>
      <c r="AC38" s="66">
        <f t="shared" si="4"/>
        <v>0</v>
      </c>
      <c r="AD38" s="66">
        <f t="shared" si="4"/>
        <v>0</v>
      </c>
      <c r="AE38" s="66">
        <f t="shared" si="4"/>
        <v>0</v>
      </c>
      <c r="AF38" s="66">
        <f t="shared" si="4"/>
        <v>0</v>
      </c>
      <c r="AG38" s="143">
        <f t="shared" si="4"/>
        <v>665.78</v>
      </c>
      <c r="AH38" s="54">
        <f t="shared" si="2"/>
        <v>0</v>
      </c>
      <c r="AI38" s="55">
        <f t="shared" si="3"/>
        <v>0</v>
      </c>
      <c r="AK38" s="56"/>
    </row>
    <row r="39" spans="1:88" x14ac:dyDescent="0.25">
      <c r="A39" s="159" t="s">
        <v>130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135">
        <v>456</v>
      </c>
      <c r="AH39" s="54">
        <f t="shared" ref="AH39:AH42" si="5">MAX(B39:AF39)</f>
        <v>0</v>
      </c>
      <c r="AI39" s="55">
        <f t="shared" ref="AI39:AI42" si="6">MIN(B39:AF39)</f>
        <v>0</v>
      </c>
      <c r="AK39" s="56"/>
    </row>
    <row r="40" spans="1:88" x14ac:dyDescent="0.25">
      <c r="A40" s="160" t="s">
        <v>131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136">
        <v>60</v>
      </c>
      <c r="AH40" s="54">
        <f t="shared" si="5"/>
        <v>0</v>
      </c>
      <c r="AI40" s="55">
        <f t="shared" si="6"/>
        <v>0</v>
      </c>
      <c r="AK40" s="56"/>
    </row>
    <row r="41" spans="1:88" ht="15.75" thickBot="1" x14ac:dyDescent="0.3">
      <c r="A41" s="161" t="s">
        <v>132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137">
        <v>22.1</v>
      </c>
      <c r="AH41" s="54">
        <f t="shared" si="5"/>
        <v>0</v>
      </c>
      <c r="AI41" s="55">
        <f t="shared" si="6"/>
        <v>0</v>
      </c>
      <c r="AK41" s="56"/>
    </row>
    <row r="42" spans="1:88" ht="15.75" thickBot="1" x14ac:dyDescent="0.3">
      <c r="A42" s="132" t="s">
        <v>129</v>
      </c>
      <c r="B42" s="66">
        <f>SUM(B39:B41)</f>
        <v>0</v>
      </c>
      <c r="C42" s="66">
        <f t="shared" ref="C42:AG42" si="7">SUM(C39:C41)</f>
        <v>0</v>
      </c>
      <c r="D42" s="66">
        <f t="shared" si="7"/>
        <v>0</v>
      </c>
      <c r="E42" s="66">
        <f t="shared" si="7"/>
        <v>0</v>
      </c>
      <c r="F42" s="66">
        <f t="shared" si="7"/>
        <v>0</v>
      </c>
      <c r="G42" s="66">
        <f t="shared" si="7"/>
        <v>0</v>
      </c>
      <c r="H42" s="66">
        <f t="shared" si="7"/>
        <v>0</v>
      </c>
      <c r="I42" s="66">
        <f t="shared" si="7"/>
        <v>0</v>
      </c>
      <c r="J42" s="66">
        <f t="shared" si="7"/>
        <v>0</v>
      </c>
      <c r="K42" s="66">
        <f t="shared" si="7"/>
        <v>0</v>
      </c>
      <c r="L42" s="66">
        <f t="shared" si="7"/>
        <v>0</v>
      </c>
      <c r="M42" s="66">
        <f t="shared" si="7"/>
        <v>0</v>
      </c>
      <c r="N42" s="66">
        <f t="shared" si="7"/>
        <v>0</v>
      </c>
      <c r="O42" s="66">
        <f t="shared" si="7"/>
        <v>0</v>
      </c>
      <c r="P42" s="66">
        <f t="shared" si="7"/>
        <v>0</v>
      </c>
      <c r="Q42" s="66">
        <f t="shared" si="7"/>
        <v>0</v>
      </c>
      <c r="R42" s="66">
        <f t="shared" si="7"/>
        <v>0</v>
      </c>
      <c r="S42" s="66">
        <f t="shared" si="7"/>
        <v>0</v>
      </c>
      <c r="T42" s="66">
        <f t="shared" si="7"/>
        <v>0</v>
      </c>
      <c r="U42" s="66">
        <f t="shared" si="7"/>
        <v>0</v>
      </c>
      <c r="V42" s="66">
        <f t="shared" si="7"/>
        <v>0</v>
      </c>
      <c r="W42" s="66">
        <f t="shared" si="7"/>
        <v>0</v>
      </c>
      <c r="X42" s="66">
        <f t="shared" si="7"/>
        <v>0</v>
      </c>
      <c r="Y42" s="66">
        <f t="shared" si="7"/>
        <v>0</v>
      </c>
      <c r="Z42" s="66">
        <f t="shared" si="7"/>
        <v>0</v>
      </c>
      <c r="AA42" s="66">
        <f t="shared" si="7"/>
        <v>0</v>
      </c>
      <c r="AB42" s="66">
        <f t="shared" si="7"/>
        <v>0</v>
      </c>
      <c r="AC42" s="66">
        <f t="shared" si="7"/>
        <v>0</v>
      </c>
      <c r="AD42" s="66">
        <f t="shared" si="7"/>
        <v>0</v>
      </c>
      <c r="AE42" s="66">
        <f t="shared" si="7"/>
        <v>0</v>
      </c>
      <c r="AF42" s="66">
        <f t="shared" si="7"/>
        <v>0</v>
      </c>
      <c r="AG42" s="143">
        <f t="shared" si="7"/>
        <v>538.1</v>
      </c>
      <c r="AH42" s="54">
        <f t="shared" si="5"/>
        <v>0</v>
      </c>
      <c r="AI42" s="55">
        <f t="shared" si="6"/>
        <v>0</v>
      </c>
      <c r="AK42" s="56"/>
    </row>
    <row r="43" spans="1:88" x14ac:dyDescent="0.25">
      <c r="A43" s="57" t="s">
        <v>23</v>
      </c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135">
        <v>144</v>
      </c>
      <c r="AH43" s="54">
        <f t="shared" si="2"/>
        <v>0</v>
      </c>
      <c r="AI43" s="55">
        <f t="shared" si="3"/>
        <v>0</v>
      </c>
      <c r="AK43" s="56"/>
    </row>
    <row r="44" spans="1:88" x14ac:dyDescent="0.25">
      <c r="A44" s="60" t="s">
        <v>24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50"/>
      <c r="N44" s="50"/>
      <c r="O44" s="50"/>
      <c r="P44" s="50"/>
      <c r="Q44" s="50"/>
      <c r="R44" s="50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136">
        <v>70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0" t="s">
        <v>25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50"/>
      <c r="N45" s="50"/>
      <c r="O45" s="50"/>
      <c r="P45" s="50"/>
      <c r="Q45" s="50"/>
      <c r="R45" s="50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136">
        <v>69</v>
      </c>
      <c r="AH45" s="54">
        <f t="shared" si="2"/>
        <v>0</v>
      </c>
      <c r="AI45" s="55">
        <f t="shared" si="3"/>
        <v>0</v>
      </c>
      <c r="AK45" s="56"/>
    </row>
    <row r="46" spans="1:88" x14ac:dyDescent="0.25">
      <c r="A46" s="60" t="s">
        <v>26</v>
      </c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50"/>
      <c r="N46" s="50"/>
      <c r="O46" s="50"/>
      <c r="P46" s="50"/>
      <c r="Q46" s="50"/>
      <c r="R46" s="50"/>
      <c r="S46" s="50"/>
      <c r="T46" s="50"/>
      <c r="U46" s="50"/>
      <c r="V46" s="48"/>
      <c r="W46" s="48"/>
      <c r="X46" s="48"/>
      <c r="Y46" s="48"/>
      <c r="Z46" s="48"/>
      <c r="AA46" s="48"/>
      <c r="AB46" s="62"/>
      <c r="AC46" s="62"/>
      <c r="AD46" s="62"/>
      <c r="AE46" s="62"/>
      <c r="AF46" s="62"/>
      <c r="AG46" s="136">
        <v>60</v>
      </c>
      <c r="AH46" s="54">
        <f t="shared" si="2"/>
        <v>0</v>
      </c>
      <c r="AI46" s="55">
        <f t="shared" si="3"/>
        <v>0</v>
      </c>
      <c r="AK46" s="56"/>
    </row>
    <row r="47" spans="1:88" x14ac:dyDescent="0.25">
      <c r="A47" s="60" t="s">
        <v>27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50"/>
      <c r="N47" s="50"/>
      <c r="O47" s="50"/>
      <c r="P47" s="50"/>
      <c r="Q47" s="50"/>
      <c r="R47" s="50"/>
      <c r="S47" s="50"/>
      <c r="T47" s="50"/>
      <c r="U47" s="50"/>
      <c r="V47" s="48"/>
      <c r="W47" s="48"/>
      <c r="X47" s="48"/>
      <c r="Y47" s="48"/>
      <c r="Z47" s="48"/>
      <c r="AA47" s="48"/>
      <c r="AB47" s="62"/>
      <c r="AC47" s="62"/>
      <c r="AD47" s="62"/>
      <c r="AE47" s="62"/>
      <c r="AF47" s="62"/>
      <c r="AG47" s="136">
        <v>30</v>
      </c>
      <c r="AH47" s="54">
        <f t="shared" si="2"/>
        <v>0</v>
      </c>
      <c r="AI47" s="55">
        <f t="shared" si="3"/>
        <v>0</v>
      </c>
      <c r="AK47" s="56"/>
    </row>
    <row r="48" spans="1:88" x14ac:dyDescent="0.25">
      <c r="A48" s="60" t="s">
        <v>28</v>
      </c>
      <c r="B48" s="48"/>
      <c r="C48" s="48"/>
      <c r="D48" s="48"/>
      <c r="E48" s="48"/>
      <c r="F48" s="62"/>
      <c r="G48" s="62"/>
      <c r="H48" s="62"/>
      <c r="I48" s="62"/>
      <c r="J48" s="62"/>
      <c r="K48" s="62"/>
      <c r="L48" s="62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48"/>
      <c r="AC48" s="48"/>
      <c r="AD48" s="48"/>
      <c r="AE48" s="48"/>
      <c r="AF48" s="48"/>
      <c r="AG48" s="136">
        <v>25</v>
      </c>
      <c r="AH48" s="54">
        <f t="shared" si="2"/>
        <v>0</v>
      </c>
      <c r="AI48" s="55">
        <f t="shared" si="3"/>
        <v>0</v>
      </c>
      <c r="AK48" s="56"/>
    </row>
    <row r="49" spans="1:41" x14ac:dyDescent="0.25">
      <c r="A49" s="60" t="s">
        <v>29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48"/>
      <c r="AC49" s="48"/>
      <c r="AD49" s="48"/>
      <c r="AE49" s="48"/>
      <c r="AF49" s="48"/>
      <c r="AG49" s="136">
        <v>24</v>
      </c>
      <c r="AH49" s="54">
        <f t="shared" si="2"/>
        <v>0</v>
      </c>
      <c r="AI49" s="55">
        <f t="shared" si="3"/>
        <v>0</v>
      </c>
      <c r="AK49" s="56"/>
    </row>
    <row r="50" spans="1:41" x14ac:dyDescent="0.25">
      <c r="A50" s="60" t="s">
        <v>30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48"/>
      <c r="AC50" s="48"/>
      <c r="AD50" s="48"/>
      <c r="AE50" s="48"/>
      <c r="AF50" s="48"/>
      <c r="AG50" s="136">
        <v>15</v>
      </c>
      <c r="AH50" s="54">
        <f t="shared" si="2"/>
        <v>0</v>
      </c>
      <c r="AI50" s="55">
        <f t="shared" si="3"/>
        <v>0</v>
      </c>
      <c r="AK50" s="56"/>
      <c r="AL50" s="67"/>
      <c r="AO50" s="67"/>
    </row>
    <row r="51" spans="1:41" s="67" customFormat="1" x14ac:dyDescent="0.25">
      <c r="A51" s="60" t="s">
        <v>31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48"/>
      <c r="AC51" s="48"/>
      <c r="AD51" s="48"/>
      <c r="AE51" s="48"/>
      <c r="AF51" s="48"/>
      <c r="AG51" s="136">
        <v>14.1</v>
      </c>
      <c r="AH51" s="54">
        <f t="shared" si="2"/>
        <v>0</v>
      </c>
      <c r="AI51" s="55">
        <f t="shared" si="3"/>
        <v>0</v>
      </c>
      <c r="AJ51" s="1"/>
      <c r="AK51" s="56"/>
      <c r="AL51"/>
      <c r="AM51"/>
      <c r="AN51"/>
      <c r="AO51"/>
    </row>
    <row r="52" spans="1:41" x14ac:dyDescent="0.25">
      <c r="A52" s="68" t="s">
        <v>32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48"/>
      <c r="AC52" s="48"/>
      <c r="AD52" s="48"/>
      <c r="AE52" s="48"/>
      <c r="AF52" s="48"/>
      <c r="AG52" s="136">
        <v>14</v>
      </c>
      <c r="AH52" s="54">
        <f t="shared" si="2"/>
        <v>0</v>
      </c>
      <c r="AI52" s="55">
        <f t="shared" si="3"/>
        <v>0</v>
      </c>
      <c r="AK52" s="56"/>
    </row>
    <row r="53" spans="1:41" x14ac:dyDescent="0.25">
      <c r="A53" s="60" t="s">
        <v>33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48"/>
      <c r="AC53" s="48"/>
      <c r="AD53" s="48"/>
      <c r="AE53" s="48"/>
      <c r="AF53" s="48"/>
      <c r="AG53" s="136">
        <v>10.050000000000001</v>
      </c>
      <c r="AH53" s="54">
        <f t="shared" si="2"/>
        <v>0</v>
      </c>
      <c r="AI53" s="55">
        <f t="shared" si="3"/>
        <v>0</v>
      </c>
      <c r="AK53" s="56"/>
    </row>
    <row r="54" spans="1:41" x14ac:dyDescent="0.25">
      <c r="A54" s="60" t="s">
        <v>34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48"/>
      <c r="AC54" s="48"/>
      <c r="AD54" s="48"/>
      <c r="AE54" s="48"/>
      <c r="AF54" s="48"/>
      <c r="AG54" s="136">
        <v>6.2</v>
      </c>
      <c r="AH54" s="54">
        <f t="shared" si="2"/>
        <v>0</v>
      </c>
      <c r="AI54" s="55">
        <f t="shared" si="3"/>
        <v>0</v>
      </c>
      <c r="AK54" s="56"/>
    </row>
    <row r="55" spans="1:41" ht="15.75" thickBot="1" x14ac:dyDescent="0.3">
      <c r="A55" s="61" t="s">
        <v>35</v>
      </c>
      <c r="B55" s="69">
        <v>3.54</v>
      </c>
      <c r="C55" s="69">
        <v>3.54</v>
      </c>
      <c r="D55" s="69">
        <v>3.54</v>
      </c>
      <c r="E55" s="69">
        <v>3.54</v>
      </c>
      <c r="F55" s="69">
        <v>3.54</v>
      </c>
      <c r="G55" s="69">
        <v>3.54</v>
      </c>
      <c r="H55" s="69">
        <v>3.54</v>
      </c>
      <c r="I55" s="69">
        <v>3.54</v>
      </c>
      <c r="J55" s="69">
        <v>3.54</v>
      </c>
      <c r="K55" s="69">
        <v>3.54</v>
      </c>
      <c r="L55" s="69">
        <v>3.54</v>
      </c>
      <c r="M55" s="69">
        <v>3.54</v>
      </c>
      <c r="N55" s="69">
        <v>3.54</v>
      </c>
      <c r="O55" s="69">
        <v>3.54</v>
      </c>
      <c r="P55" s="69">
        <v>3.54</v>
      </c>
      <c r="Q55" s="69">
        <v>3.54</v>
      </c>
      <c r="R55" s="69">
        <v>3.54</v>
      </c>
      <c r="S55" s="69">
        <v>3.54</v>
      </c>
      <c r="T55" s="69">
        <v>3.54</v>
      </c>
      <c r="U55" s="69">
        <v>3.54</v>
      </c>
      <c r="V55" s="69">
        <v>3.54</v>
      </c>
      <c r="W55" s="69">
        <v>3.54</v>
      </c>
      <c r="X55" s="69">
        <v>3.54</v>
      </c>
      <c r="Y55" s="69">
        <v>3.54</v>
      </c>
      <c r="Z55" s="69">
        <v>3.54</v>
      </c>
      <c r="AA55" s="69">
        <v>3.54</v>
      </c>
      <c r="AB55" s="69">
        <v>3.54</v>
      </c>
      <c r="AC55" s="69">
        <v>3.54</v>
      </c>
      <c r="AD55" s="69">
        <v>3.54</v>
      </c>
      <c r="AE55" s="69">
        <v>3.54</v>
      </c>
      <c r="AF55" s="69">
        <v>3.54</v>
      </c>
      <c r="AG55" s="139">
        <f t="shared" ref="AG55" si="8">AG221</f>
        <v>8.56</v>
      </c>
      <c r="AH55" s="54">
        <f t="shared" si="2"/>
        <v>3.54</v>
      </c>
      <c r="AI55" s="55">
        <f t="shared" si="3"/>
        <v>3.54</v>
      </c>
      <c r="AK55" s="56"/>
    </row>
    <row r="56" spans="1:41" ht="15.75" thickBot="1" x14ac:dyDescent="0.3">
      <c r="A56" s="65" t="s">
        <v>36</v>
      </c>
      <c r="B56" s="66">
        <f>SUM(B43:B55)</f>
        <v>3.54</v>
      </c>
      <c r="C56" s="66">
        <f t="shared" ref="C56:AG56" si="9">SUM(C43:C55)</f>
        <v>3.54</v>
      </c>
      <c r="D56" s="66">
        <f t="shared" si="9"/>
        <v>3.54</v>
      </c>
      <c r="E56" s="66">
        <f t="shared" si="9"/>
        <v>3.54</v>
      </c>
      <c r="F56" s="66">
        <f t="shared" si="9"/>
        <v>3.54</v>
      </c>
      <c r="G56" s="66">
        <f t="shared" si="9"/>
        <v>3.54</v>
      </c>
      <c r="H56" s="66">
        <f t="shared" si="9"/>
        <v>3.54</v>
      </c>
      <c r="I56" s="66">
        <f t="shared" si="9"/>
        <v>3.54</v>
      </c>
      <c r="J56" s="66">
        <f t="shared" si="9"/>
        <v>3.54</v>
      </c>
      <c r="K56" s="66">
        <f t="shared" si="9"/>
        <v>3.54</v>
      </c>
      <c r="L56" s="66">
        <f t="shared" si="9"/>
        <v>3.54</v>
      </c>
      <c r="M56" s="66">
        <f t="shared" si="9"/>
        <v>3.54</v>
      </c>
      <c r="N56" s="66">
        <f t="shared" si="9"/>
        <v>3.54</v>
      </c>
      <c r="O56" s="66">
        <f t="shared" si="9"/>
        <v>3.54</v>
      </c>
      <c r="P56" s="66">
        <f t="shared" si="9"/>
        <v>3.54</v>
      </c>
      <c r="Q56" s="66">
        <f t="shared" si="9"/>
        <v>3.54</v>
      </c>
      <c r="R56" s="66">
        <f t="shared" si="9"/>
        <v>3.54</v>
      </c>
      <c r="S56" s="66">
        <f t="shared" si="9"/>
        <v>3.54</v>
      </c>
      <c r="T56" s="66">
        <f t="shared" si="9"/>
        <v>3.54</v>
      </c>
      <c r="U56" s="66">
        <f t="shared" si="9"/>
        <v>3.54</v>
      </c>
      <c r="V56" s="66">
        <f t="shared" si="9"/>
        <v>3.54</v>
      </c>
      <c r="W56" s="66">
        <f t="shared" si="9"/>
        <v>3.54</v>
      </c>
      <c r="X56" s="66">
        <f t="shared" si="9"/>
        <v>3.54</v>
      </c>
      <c r="Y56" s="66">
        <f t="shared" si="9"/>
        <v>3.54</v>
      </c>
      <c r="Z56" s="66">
        <f t="shared" si="9"/>
        <v>3.54</v>
      </c>
      <c r="AA56" s="66">
        <f t="shared" si="9"/>
        <v>3.54</v>
      </c>
      <c r="AB56" s="66">
        <f t="shared" si="9"/>
        <v>3.54</v>
      </c>
      <c r="AC56" s="66">
        <f t="shared" si="9"/>
        <v>3.54</v>
      </c>
      <c r="AD56" s="66">
        <f t="shared" si="9"/>
        <v>3.54</v>
      </c>
      <c r="AE56" s="66">
        <f t="shared" si="9"/>
        <v>3.54</v>
      </c>
      <c r="AF56" s="66">
        <f t="shared" si="9"/>
        <v>3.54</v>
      </c>
      <c r="AG56" s="143">
        <f t="shared" si="9"/>
        <v>489.91</v>
      </c>
      <c r="AH56" s="54">
        <f t="shared" si="2"/>
        <v>3.54</v>
      </c>
      <c r="AI56" s="55">
        <f t="shared" si="3"/>
        <v>3.54</v>
      </c>
      <c r="AK56" s="56"/>
    </row>
    <row r="57" spans="1:41" x14ac:dyDescent="0.25">
      <c r="A57" s="57" t="s">
        <v>37</v>
      </c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135">
        <v>60</v>
      </c>
      <c r="AH57" s="54">
        <f t="shared" si="2"/>
        <v>0</v>
      </c>
      <c r="AI57" s="55">
        <f t="shared" si="3"/>
        <v>0</v>
      </c>
      <c r="AK57" s="56"/>
    </row>
    <row r="58" spans="1:41" x14ac:dyDescent="0.25">
      <c r="A58" s="60" t="s">
        <v>38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136">
        <v>32</v>
      </c>
      <c r="AH58" s="54">
        <f t="shared" si="2"/>
        <v>0</v>
      </c>
      <c r="AI58" s="55">
        <f t="shared" si="3"/>
        <v>0</v>
      </c>
      <c r="AK58" s="56"/>
    </row>
    <row r="59" spans="1:41" ht="15.75" thickBot="1" x14ac:dyDescent="0.3">
      <c r="A59" s="68" t="s">
        <v>39</v>
      </c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137">
        <v>14</v>
      </c>
      <c r="AH59" s="54">
        <f t="shared" si="2"/>
        <v>0</v>
      </c>
      <c r="AI59" s="55">
        <f t="shared" si="3"/>
        <v>0</v>
      </c>
      <c r="AK59" s="56"/>
    </row>
    <row r="60" spans="1:41" ht="15.75" thickBot="1" x14ac:dyDescent="0.3">
      <c r="A60" s="65" t="s">
        <v>40</v>
      </c>
      <c r="B60" s="66">
        <f>SUM(B57:B59)</f>
        <v>0</v>
      </c>
      <c r="C60" s="66">
        <f t="shared" ref="C60:AG60" si="10">SUM(C57:C59)</f>
        <v>0</v>
      </c>
      <c r="D60" s="66">
        <f t="shared" si="10"/>
        <v>0</v>
      </c>
      <c r="E60" s="66">
        <f t="shared" si="10"/>
        <v>0</v>
      </c>
      <c r="F60" s="66">
        <f t="shared" si="10"/>
        <v>0</v>
      </c>
      <c r="G60" s="66">
        <f t="shared" si="10"/>
        <v>0</v>
      </c>
      <c r="H60" s="66">
        <f t="shared" si="10"/>
        <v>0</v>
      </c>
      <c r="I60" s="66">
        <f t="shared" si="10"/>
        <v>0</v>
      </c>
      <c r="J60" s="66">
        <f t="shared" si="10"/>
        <v>0</v>
      </c>
      <c r="K60" s="66">
        <f t="shared" si="10"/>
        <v>0</v>
      </c>
      <c r="L60" s="66">
        <f t="shared" si="10"/>
        <v>0</v>
      </c>
      <c r="M60" s="66">
        <f t="shared" si="10"/>
        <v>0</v>
      </c>
      <c r="N60" s="66">
        <f t="shared" si="10"/>
        <v>0</v>
      </c>
      <c r="O60" s="66">
        <f t="shared" si="10"/>
        <v>0</v>
      </c>
      <c r="P60" s="66">
        <f t="shared" si="10"/>
        <v>0</v>
      </c>
      <c r="Q60" s="66">
        <f t="shared" si="10"/>
        <v>0</v>
      </c>
      <c r="R60" s="66">
        <f t="shared" si="10"/>
        <v>0</v>
      </c>
      <c r="S60" s="66">
        <f t="shared" si="10"/>
        <v>0</v>
      </c>
      <c r="T60" s="66">
        <f t="shared" si="10"/>
        <v>0</v>
      </c>
      <c r="U60" s="66">
        <f t="shared" si="10"/>
        <v>0</v>
      </c>
      <c r="V60" s="66">
        <f t="shared" si="10"/>
        <v>0</v>
      </c>
      <c r="W60" s="66">
        <f t="shared" si="10"/>
        <v>0</v>
      </c>
      <c r="X60" s="66">
        <f t="shared" si="10"/>
        <v>0</v>
      </c>
      <c r="Y60" s="66">
        <f t="shared" si="10"/>
        <v>0</v>
      </c>
      <c r="Z60" s="66">
        <f t="shared" si="10"/>
        <v>0</v>
      </c>
      <c r="AA60" s="66">
        <f t="shared" si="10"/>
        <v>0</v>
      </c>
      <c r="AB60" s="66">
        <f t="shared" si="10"/>
        <v>0</v>
      </c>
      <c r="AC60" s="66">
        <f t="shared" si="10"/>
        <v>0</v>
      </c>
      <c r="AD60" s="66">
        <f t="shared" si="10"/>
        <v>0</v>
      </c>
      <c r="AE60" s="66">
        <f t="shared" si="10"/>
        <v>0</v>
      </c>
      <c r="AF60" s="66">
        <f t="shared" si="10"/>
        <v>0</v>
      </c>
      <c r="AG60" s="143">
        <f t="shared" si="10"/>
        <v>106</v>
      </c>
      <c r="AH60" s="54">
        <f t="shared" si="2"/>
        <v>0</v>
      </c>
      <c r="AI60" s="55">
        <f t="shared" si="3"/>
        <v>0</v>
      </c>
      <c r="AK60" s="56"/>
    </row>
    <row r="61" spans="1:41" x14ac:dyDescent="0.25">
      <c r="A61" s="57" t="s">
        <v>41</v>
      </c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135"/>
      <c r="AH61" s="54">
        <f t="shared" si="2"/>
        <v>0</v>
      </c>
      <c r="AI61" s="55">
        <f t="shared" si="3"/>
        <v>0</v>
      </c>
      <c r="AK61" s="56"/>
    </row>
    <row r="62" spans="1:41" x14ac:dyDescent="0.25">
      <c r="A62" s="60" t="s">
        <v>42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136"/>
      <c r="AH62" s="54">
        <f t="shared" si="2"/>
        <v>0</v>
      </c>
      <c r="AI62" s="55">
        <f t="shared" si="3"/>
        <v>0</v>
      </c>
      <c r="AK62" s="56"/>
    </row>
    <row r="63" spans="1:41" x14ac:dyDescent="0.25">
      <c r="A63" s="60" t="s">
        <v>43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140"/>
      <c r="AH63" s="54">
        <f t="shared" si="2"/>
        <v>0</v>
      </c>
      <c r="AI63" s="55">
        <f t="shared" si="3"/>
        <v>0</v>
      </c>
      <c r="AK63" s="56"/>
    </row>
    <row r="64" spans="1:41" x14ac:dyDescent="0.25">
      <c r="A64" s="60" t="s">
        <v>44</v>
      </c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140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0" t="s">
        <v>45</v>
      </c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140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60" t="s">
        <v>46</v>
      </c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140"/>
      <c r="AH66" s="54">
        <f t="shared" si="2"/>
        <v>0</v>
      </c>
      <c r="AI66" s="55">
        <f t="shared" si="3"/>
        <v>0</v>
      </c>
      <c r="AK66" s="56"/>
    </row>
    <row r="67" spans="1:88" x14ac:dyDescent="0.25">
      <c r="A67" s="60" t="s">
        <v>47</v>
      </c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140"/>
      <c r="AH67" s="54">
        <f t="shared" si="2"/>
        <v>0</v>
      </c>
      <c r="AI67" s="55">
        <f t="shared" si="3"/>
        <v>0</v>
      </c>
      <c r="AK67" s="56"/>
    </row>
    <row r="68" spans="1:88" x14ac:dyDescent="0.25">
      <c r="A68" s="60" t="s">
        <v>48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140"/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60" t="s">
        <v>49</v>
      </c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140"/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73" t="s">
        <v>50</v>
      </c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141"/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73" t="s">
        <v>51</v>
      </c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141"/>
      <c r="AH71" s="54">
        <f t="shared" si="2"/>
        <v>0</v>
      </c>
      <c r="AI71" s="55">
        <f t="shared" si="3"/>
        <v>0</v>
      </c>
      <c r="AK71" s="56"/>
    </row>
    <row r="72" spans="1:88" ht="15.75" thickBot="1" x14ac:dyDescent="0.3">
      <c r="A72" s="65" t="s">
        <v>52</v>
      </c>
      <c r="B72" s="66">
        <f>SUMIF(B61:B71,"&gt;0")</f>
        <v>0</v>
      </c>
      <c r="C72" s="66">
        <f t="shared" ref="C72:L72" si="11">SUMIF(C61:C71,"&gt;0")</f>
        <v>0</v>
      </c>
      <c r="D72" s="66">
        <f t="shared" si="11"/>
        <v>0</v>
      </c>
      <c r="E72" s="66">
        <f t="shared" si="11"/>
        <v>0</v>
      </c>
      <c r="F72" s="66">
        <f t="shared" si="11"/>
        <v>0</v>
      </c>
      <c r="G72" s="66">
        <f t="shared" si="11"/>
        <v>0</v>
      </c>
      <c r="H72" s="66">
        <f t="shared" si="11"/>
        <v>0</v>
      </c>
      <c r="I72" s="66">
        <f t="shared" si="11"/>
        <v>0</v>
      </c>
      <c r="J72" s="66">
        <f t="shared" si="11"/>
        <v>0</v>
      </c>
      <c r="K72" s="66">
        <f t="shared" si="11"/>
        <v>0</v>
      </c>
      <c r="L72" s="66">
        <f t="shared" si="11"/>
        <v>0</v>
      </c>
      <c r="M72" s="66">
        <f>SUMIF(M61:M71,"&gt;0")</f>
        <v>0</v>
      </c>
      <c r="N72" s="66">
        <f t="shared" ref="N72:AF72" si="12">SUMIF(N61:N71,"&gt;0")</f>
        <v>0</v>
      </c>
      <c r="O72" s="66">
        <f t="shared" si="12"/>
        <v>0</v>
      </c>
      <c r="P72" s="66">
        <f t="shared" si="12"/>
        <v>0</v>
      </c>
      <c r="Q72" s="66">
        <f t="shared" si="12"/>
        <v>0</v>
      </c>
      <c r="R72" s="66">
        <f t="shared" si="12"/>
        <v>0</v>
      </c>
      <c r="S72" s="66">
        <f t="shared" si="12"/>
        <v>0</v>
      </c>
      <c r="T72" s="66">
        <f t="shared" si="12"/>
        <v>0</v>
      </c>
      <c r="U72" s="66">
        <f t="shared" si="12"/>
        <v>0</v>
      </c>
      <c r="V72" s="66">
        <f t="shared" si="12"/>
        <v>0</v>
      </c>
      <c r="W72" s="66">
        <f t="shared" si="12"/>
        <v>0</v>
      </c>
      <c r="X72" s="66">
        <f t="shared" si="12"/>
        <v>0</v>
      </c>
      <c r="Y72" s="66">
        <f t="shared" si="12"/>
        <v>0</v>
      </c>
      <c r="Z72" s="66">
        <f t="shared" si="12"/>
        <v>0</v>
      </c>
      <c r="AA72" s="66">
        <f t="shared" si="12"/>
        <v>0</v>
      </c>
      <c r="AB72" s="66">
        <f t="shared" si="12"/>
        <v>0</v>
      </c>
      <c r="AC72" s="66">
        <f t="shared" si="12"/>
        <v>0</v>
      </c>
      <c r="AD72" s="66">
        <f t="shared" si="12"/>
        <v>0</v>
      </c>
      <c r="AE72" s="66">
        <f t="shared" si="12"/>
        <v>0</v>
      </c>
      <c r="AF72" s="66">
        <f t="shared" si="12"/>
        <v>0</v>
      </c>
      <c r="AG72" s="138">
        <f>SUM(AG61:AG71)</f>
        <v>0</v>
      </c>
      <c r="AH72" s="54">
        <f t="shared" si="2"/>
        <v>0</v>
      </c>
      <c r="AI72" s="55">
        <f t="shared" si="3"/>
        <v>0</v>
      </c>
      <c r="AK72" s="56"/>
    </row>
    <row r="73" spans="1:88" x14ac:dyDescent="0.25">
      <c r="A73" s="57" t="s">
        <v>53</v>
      </c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142">
        <v>39</v>
      </c>
      <c r="AH73" s="54">
        <f t="shared" si="2"/>
        <v>0</v>
      </c>
      <c r="AI73" s="55">
        <f t="shared" si="3"/>
        <v>0</v>
      </c>
      <c r="AK73" s="56"/>
    </row>
    <row r="74" spans="1:88" x14ac:dyDescent="0.25">
      <c r="A74" s="60" t="s">
        <v>54</v>
      </c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140">
        <v>14.4</v>
      </c>
      <c r="AH74" s="54">
        <f t="shared" si="2"/>
        <v>0</v>
      </c>
      <c r="AI74" s="55">
        <f t="shared" si="3"/>
        <v>0</v>
      </c>
      <c r="AK74" s="56"/>
    </row>
    <row r="75" spans="1:88" ht="15.75" thickBot="1" x14ac:dyDescent="0.3">
      <c r="A75" s="73" t="s">
        <v>55</v>
      </c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141">
        <v>2</v>
      </c>
      <c r="AH75" s="54">
        <f t="shared" si="2"/>
        <v>0</v>
      </c>
      <c r="AI75" s="55">
        <f t="shared" si="3"/>
        <v>0</v>
      </c>
    </row>
    <row r="76" spans="1:88" s="1" customFormat="1" ht="15.75" thickBot="1" x14ac:dyDescent="0.3">
      <c r="A76" s="65" t="s">
        <v>56</v>
      </c>
      <c r="B76" s="66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138">
        <f>SUM(AG73:AG75)</f>
        <v>55.4</v>
      </c>
      <c r="AH76" s="54">
        <f t="shared" si="2"/>
        <v>0</v>
      </c>
      <c r="AI76" s="55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65" t="s">
        <v>57</v>
      </c>
      <c r="B77" s="75">
        <f>B38+B42+B60+B56+B72+B76</f>
        <v>3.54</v>
      </c>
      <c r="C77" s="75">
        <f t="shared" ref="C77:AF77" si="13">C38+C42+C60+C56+C72+C76</f>
        <v>3.54</v>
      </c>
      <c r="D77" s="75">
        <f t="shared" si="13"/>
        <v>3.54</v>
      </c>
      <c r="E77" s="75">
        <f t="shared" si="13"/>
        <v>3.54</v>
      </c>
      <c r="F77" s="75">
        <f t="shared" si="13"/>
        <v>3.54</v>
      </c>
      <c r="G77" s="75">
        <f t="shared" si="13"/>
        <v>3.54</v>
      </c>
      <c r="H77" s="75">
        <f t="shared" si="13"/>
        <v>3.54</v>
      </c>
      <c r="I77" s="75">
        <f t="shared" si="13"/>
        <v>3.54</v>
      </c>
      <c r="J77" s="75">
        <f t="shared" si="13"/>
        <v>3.54</v>
      </c>
      <c r="K77" s="75">
        <f t="shared" si="13"/>
        <v>3.54</v>
      </c>
      <c r="L77" s="75">
        <f t="shared" si="13"/>
        <v>3.54</v>
      </c>
      <c r="M77" s="75">
        <f t="shared" si="13"/>
        <v>3.54</v>
      </c>
      <c r="N77" s="75">
        <f t="shared" si="13"/>
        <v>3.54</v>
      </c>
      <c r="O77" s="75">
        <f t="shared" si="13"/>
        <v>3.54</v>
      </c>
      <c r="P77" s="75">
        <f t="shared" si="13"/>
        <v>3.54</v>
      </c>
      <c r="Q77" s="75">
        <f t="shared" si="13"/>
        <v>3.54</v>
      </c>
      <c r="R77" s="75">
        <f t="shared" si="13"/>
        <v>3.54</v>
      </c>
      <c r="S77" s="75">
        <f t="shared" si="13"/>
        <v>3.54</v>
      </c>
      <c r="T77" s="75">
        <f t="shared" si="13"/>
        <v>3.54</v>
      </c>
      <c r="U77" s="75">
        <f t="shared" si="13"/>
        <v>3.54</v>
      </c>
      <c r="V77" s="75">
        <f t="shared" si="13"/>
        <v>3.54</v>
      </c>
      <c r="W77" s="75">
        <f t="shared" si="13"/>
        <v>3.54</v>
      </c>
      <c r="X77" s="75">
        <f t="shared" si="13"/>
        <v>3.54</v>
      </c>
      <c r="Y77" s="75">
        <f t="shared" si="13"/>
        <v>3.54</v>
      </c>
      <c r="Z77" s="75">
        <f t="shared" si="13"/>
        <v>3.54</v>
      </c>
      <c r="AA77" s="75">
        <f t="shared" si="13"/>
        <v>3.54</v>
      </c>
      <c r="AB77" s="75">
        <f t="shared" si="13"/>
        <v>3.54</v>
      </c>
      <c r="AC77" s="75">
        <f t="shared" si="13"/>
        <v>3.54</v>
      </c>
      <c r="AD77" s="75">
        <f t="shared" si="13"/>
        <v>3.54</v>
      </c>
      <c r="AE77" s="75">
        <f t="shared" si="13"/>
        <v>3.54</v>
      </c>
      <c r="AF77" s="75">
        <f t="shared" si="13"/>
        <v>3.54</v>
      </c>
      <c r="AG77" s="143">
        <f>AG38+AG42+AG60+AG56+AG72+AG76</f>
        <v>1855.1900000000003</v>
      </c>
      <c r="AH77" s="54">
        <f t="shared" si="2"/>
        <v>3.54</v>
      </c>
      <c r="AI77" s="55">
        <f t="shared" si="3"/>
        <v>3.54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76" t="s">
        <v>58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138"/>
      <c r="AH78" s="54">
        <f t="shared" si="2"/>
        <v>0</v>
      </c>
      <c r="AI78" s="55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65" t="s">
        <v>59</v>
      </c>
      <c r="B79" s="75">
        <f>B77+B78</f>
        <v>3.54</v>
      </c>
      <c r="C79" s="75">
        <f t="shared" ref="C79:AF79" si="14">C77+C78</f>
        <v>3.54</v>
      </c>
      <c r="D79" s="75">
        <f t="shared" si="14"/>
        <v>3.54</v>
      </c>
      <c r="E79" s="75">
        <f t="shared" si="14"/>
        <v>3.54</v>
      </c>
      <c r="F79" s="75">
        <f t="shared" si="14"/>
        <v>3.54</v>
      </c>
      <c r="G79" s="75">
        <f t="shared" si="14"/>
        <v>3.54</v>
      </c>
      <c r="H79" s="75">
        <f t="shared" si="14"/>
        <v>3.54</v>
      </c>
      <c r="I79" s="75">
        <f t="shared" si="14"/>
        <v>3.54</v>
      </c>
      <c r="J79" s="75">
        <f t="shared" si="14"/>
        <v>3.54</v>
      </c>
      <c r="K79" s="75">
        <f t="shared" si="14"/>
        <v>3.54</v>
      </c>
      <c r="L79" s="75">
        <f t="shared" si="14"/>
        <v>3.54</v>
      </c>
      <c r="M79" s="75">
        <f t="shared" si="14"/>
        <v>3.54</v>
      </c>
      <c r="N79" s="75">
        <f t="shared" si="14"/>
        <v>3.54</v>
      </c>
      <c r="O79" s="75">
        <f t="shared" si="14"/>
        <v>3.54</v>
      </c>
      <c r="P79" s="75">
        <f t="shared" si="14"/>
        <v>3.54</v>
      </c>
      <c r="Q79" s="75">
        <f t="shared" si="14"/>
        <v>3.54</v>
      </c>
      <c r="R79" s="75">
        <f t="shared" si="14"/>
        <v>3.54</v>
      </c>
      <c r="S79" s="75">
        <f t="shared" si="14"/>
        <v>3.54</v>
      </c>
      <c r="T79" s="75">
        <f t="shared" si="14"/>
        <v>3.54</v>
      </c>
      <c r="U79" s="75">
        <f t="shared" si="14"/>
        <v>3.54</v>
      </c>
      <c r="V79" s="75">
        <f t="shared" si="14"/>
        <v>3.54</v>
      </c>
      <c r="W79" s="75">
        <f t="shared" si="14"/>
        <v>3.54</v>
      </c>
      <c r="X79" s="75">
        <f t="shared" si="14"/>
        <v>3.54</v>
      </c>
      <c r="Y79" s="75">
        <f t="shared" si="14"/>
        <v>3.54</v>
      </c>
      <c r="Z79" s="75">
        <f t="shared" si="14"/>
        <v>3.54</v>
      </c>
      <c r="AA79" s="75">
        <f t="shared" si="14"/>
        <v>3.54</v>
      </c>
      <c r="AB79" s="75">
        <f t="shared" si="14"/>
        <v>3.54</v>
      </c>
      <c r="AC79" s="75">
        <f t="shared" si="14"/>
        <v>3.54</v>
      </c>
      <c r="AD79" s="75">
        <f t="shared" si="14"/>
        <v>3.54</v>
      </c>
      <c r="AE79" s="75">
        <f t="shared" si="14"/>
        <v>3.54</v>
      </c>
      <c r="AF79" s="75">
        <f t="shared" si="14"/>
        <v>3.54</v>
      </c>
      <c r="AG79" s="138">
        <f>AG76+AG72+AG60+AG56+AG38+AG78</f>
        <v>1317.0900000000001</v>
      </c>
      <c r="AH79" s="54">
        <f t="shared" si="2"/>
        <v>3.54</v>
      </c>
      <c r="AI79" s="55">
        <f t="shared" si="3"/>
        <v>3.54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65" t="s">
        <v>237</v>
      </c>
      <c r="B80" s="75">
        <f t="shared" ref="B80:AF80" si="15">B79-B87</f>
        <v>3.54</v>
      </c>
      <c r="C80" s="75">
        <f t="shared" si="15"/>
        <v>3.54</v>
      </c>
      <c r="D80" s="75">
        <f t="shared" si="15"/>
        <v>3.54</v>
      </c>
      <c r="E80" s="75">
        <f t="shared" si="15"/>
        <v>3.54</v>
      </c>
      <c r="F80" s="75">
        <f t="shared" si="15"/>
        <v>3.54</v>
      </c>
      <c r="G80" s="75">
        <f t="shared" si="15"/>
        <v>3.54</v>
      </c>
      <c r="H80" s="75">
        <f t="shared" si="15"/>
        <v>3.54</v>
      </c>
      <c r="I80" s="75">
        <f t="shared" si="15"/>
        <v>3.54</v>
      </c>
      <c r="J80" s="75">
        <f t="shared" si="15"/>
        <v>3.54</v>
      </c>
      <c r="K80" s="75">
        <f t="shared" si="15"/>
        <v>3.54</v>
      </c>
      <c r="L80" s="75">
        <f t="shared" si="15"/>
        <v>3.54</v>
      </c>
      <c r="M80" s="75">
        <f t="shared" si="15"/>
        <v>3.54</v>
      </c>
      <c r="N80" s="75">
        <f t="shared" si="15"/>
        <v>3.54</v>
      </c>
      <c r="O80" s="75">
        <f t="shared" si="15"/>
        <v>3.54</v>
      </c>
      <c r="P80" s="75">
        <f t="shared" si="15"/>
        <v>3.54</v>
      </c>
      <c r="Q80" s="75">
        <f t="shared" si="15"/>
        <v>3.54</v>
      </c>
      <c r="R80" s="75">
        <f t="shared" si="15"/>
        <v>3.54</v>
      </c>
      <c r="S80" s="75">
        <f t="shared" si="15"/>
        <v>3.54</v>
      </c>
      <c r="T80" s="75">
        <f t="shared" si="15"/>
        <v>3.54</v>
      </c>
      <c r="U80" s="75">
        <f t="shared" si="15"/>
        <v>3.54</v>
      </c>
      <c r="V80" s="75">
        <f t="shared" si="15"/>
        <v>3.54</v>
      </c>
      <c r="W80" s="75">
        <f t="shared" si="15"/>
        <v>3.54</v>
      </c>
      <c r="X80" s="75">
        <f t="shared" si="15"/>
        <v>3.54</v>
      </c>
      <c r="Y80" s="75">
        <f t="shared" si="15"/>
        <v>3.54</v>
      </c>
      <c r="Z80" s="75">
        <f t="shared" si="15"/>
        <v>3.54</v>
      </c>
      <c r="AA80" s="75">
        <f t="shared" si="15"/>
        <v>3.54</v>
      </c>
      <c r="AB80" s="75">
        <f t="shared" si="15"/>
        <v>3.54</v>
      </c>
      <c r="AC80" s="75">
        <f t="shared" si="15"/>
        <v>3.54</v>
      </c>
      <c r="AD80" s="75">
        <f t="shared" si="15"/>
        <v>3.54</v>
      </c>
      <c r="AE80" s="75">
        <f t="shared" si="15"/>
        <v>3.54</v>
      </c>
      <c r="AF80" s="75">
        <f t="shared" si="15"/>
        <v>3.54</v>
      </c>
      <c r="AG80" s="138"/>
      <c r="AH80" s="54">
        <f t="shared" ref="AH80" si="16">MAX(B80:AF80)</f>
        <v>3.54</v>
      </c>
      <c r="AI80" s="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57" t="s">
        <v>44</v>
      </c>
      <c r="B81" s="71">
        <f>IF(B64&lt;0,B64*-1,0)</f>
        <v>0</v>
      </c>
      <c r="C81" s="71">
        <f t="shared" ref="C81:AF81" si="17">IF(C64&lt;0,C64*-1,0)</f>
        <v>0</v>
      </c>
      <c r="D81" s="71">
        <f t="shared" si="17"/>
        <v>0</v>
      </c>
      <c r="E81" s="71">
        <f t="shared" si="17"/>
        <v>0</v>
      </c>
      <c r="F81" s="71">
        <f t="shared" si="17"/>
        <v>0</v>
      </c>
      <c r="G81" s="71">
        <f t="shared" si="17"/>
        <v>0</v>
      </c>
      <c r="H81" s="71">
        <f t="shared" si="17"/>
        <v>0</v>
      </c>
      <c r="I81" s="71">
        <f t="shared" si="17"/>
        <v>0</v>
      </c>
      <c r="J81" s="71">
        <f t="shared" si="17"/>
        <v>0</v>
      </c>
      <c r="K81" s="71">
        <f t="shared" si="17"/>
        <v>0</v>
      </c>
      <c r="L81" s="71">
        <f t="shared" si="17"/>
        <v>0</v>
      </c>
      <c r="M81" s="71">
        <f t="shared" si="17"/>
        <v>0</v>
      </c>
      <c r="N81" s="71">
        <f t="shared" si="17"/>
        <v>0</v>
      </c>
      <c r="O81" s="71">
        <f t="shared" si="17"/>
        <v>0</v>
      </c>
      <c r="P81" s="71">
        <f t="shared" si="17"/>
        <v>0</v>
      </c>
      <c r="Q81" s="71">
        <f t="shared" si="17"/>
        <v>0</v>
      </c>
      <c r="R81" s="71">
        <f t="shared" si="17"/>
        <v>0</v>
      </c>
      <c r="S81" s="71">
        <f t="shared" si="17"/>
        <v>0</v>
      </c>
      <c r="T81" s="71">
        <f t="shared" si="17"/>
        <v>0</v>
      </c>
      <c r="U81" s="71">
        <f t="shared" si="17"/>
        <v>0</v>
      </c>
      <c r="V81" s="71">
        <f t="shared" si="17"/>
        <v>0</v>
      </c>
      <c r="W81" s="71">
        <f t="shared" si="17"/>
        <v>0</v>
      </c>
      <c r="X81" s="71">
        <f t="shared" si="17"/>
        <v>0</v>
      </c>
      <c r="Y81" s="71">
        <f t="shared" si="17"/>
        <v>0</v>
      </c>
      <c r="Z81" s="71">
        <f t="shared" si="17"/>
        <v>0</v>
      </c>
      <c r="AA81" s="71">
        <f t="shared" si="17"/>
        <v>0</v>
      </c>
      <c r="AB81" s="71">
        <f t="shared" si="17"/>
        <v>0</v>
      </c>
      <c r="AC81" s="71">
        <f t="shared" si="17"/>
        <v>0</v>
      </c>
      <c r="AD81" s="71">
        <f t="shared" si="17"/>
        <v>0</v>
      </c>
      <c r="AE81" s="71">
        <f t="shared" si="17"/>
        <v>0</v>
      </c>
      <c r="AF81" s="71">
        <f t="shared" si="17"/>
        <v>0</v>
      </c>
      <c r="AG81" s="135"/>
      <c r="AH81" s="54">
        <f t="shared" ref="AH81:AH96" si="18">MAX(B81:AF81)</f>
        <v>0</v>
      </c>
      <c r="AI81" s="55">
        <f t="shared" ref="AI81:AI96" si="19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0" t="s">
        <v>42</v>
      </c>
      <c r="B82" s="71">
        <f>IF(B62&lt;0,B62*-1,0)</f>
        <v>0</v>
      </c>
      <c r="C82" s="71">
        <f t="shared" ref="C82:AF82" si="20">IF(C62&lt;0,C62*-1,0)</f>
        <v>0</v>
      </c>
      <c r="D82" s="71">
        <f t="shared" si="20"/>
        <v>0</v>
      </c>
      <c r="E82" s="71">
        <f t="shared" si="20"/>
        <v>0</v>
      </c>
      <c r="F82" s="71">
        <f t="shared" si="20"/>
        <v>0</v>
      </c>
      <c r="G82" s="71">
        <f t="shared" si="20"/>
        <v>0</v>
      </c>
      <c r="H82" s="71">
        <f t="shared" si="20"/>
        <v>0</v>
      </c>
      <c r="I82" s="71">
        <f t="shared" si="20"/>
        <v>0</v>
      </c>
      <c r="J82" s="71">
        <f t="shared" si="20"/>
        <v>0</v>
      </c>
      <c r="K82" s="71">
        <f t="shared" si="20"/>
        <v>0</v>
      </c>
      <c r="L82" s="71">
        <f t="shared" si="20"/>
        <v>0</v>
      </c>
      <c r="M82" s="71">
        <f t="shared" si="20"/>
        <v>0</v>
      </c>
      <c r="N82" s="71">
        <f t="shared" si="20"/>
        <v>0</v>
      </c>
      <c r="O82" s="71">
        <f t="shared" si="20"/>
        <v>0</v>
      </c>
      <c r="P82" s="71">
        <f t="shared" si="20"/>
        <v>0</v>
      </c>
      <c r="Q82" s="71">
        <f t="shared" si="20"/>
        <v>0</v>
      </c>
      <c r="R82" s="71">
        <f t="shared" si="20"/>
        <v>0</v>
      </c>
      <c r="S82" s="71">
        <f t="shared" si="20"/>
        <v>0</v>
      </c>
      <c r="T82" s="71">
        <f t="shared" si="20"/>
        <v>0</v>
      </c>
      <c r="U82" s="71">
        <f t="shared" si="20"/>
        <v>0</v>
      </c>
      <c r="V82" s="71">
        <f t="shared" si="20"/>
        <v>0</v>
      </c>
      <c r="W82" s="71">
        <f t="shared" si="20"/>
        <v>0</v>
      </c>
      <c r="X82" s="71">
        <f t="shared" si="20"/>
        <v>0</v>
      </c>
      <c r="Y82" s="71">
        <f t="shared" si="20"/>
        <v>0</v>
      </c>
      <c r="Z82" s="71">
        <f t="shared" si="20"/>
        <v>0</v>
      </c>
      <c r="AA82" s="71">
        <f t="shared" si="20"/>
        <v>0</v>
      </c>
      <c r="AB82" s="71">
        <f t="shared" si="20"/>
        <v>0</v>
      </c>
      <c r="AC82" s="71">
        <f t="shared" si="20"/>
        <v>0</v>
      </c>
      <c r="AD82" s="71">
        <f t="shared" si="20"/>
        <v>0</v>
      </c>
      <c r="AE82" s="71">
        <f t="shared" si="20"/>
        <v>0</v>
      </c>
      <c r="AF82" s="71">
        <f t="shared" si="20"/>
        <v>0</v>
      </c>
      <c r="AG82" s="136"/>
      <c r="AH82" s="54">
        <f t="shared" si="18"/>
        <v>0</v>
      </c>
      <c r="AI82" s="55">
        <f t="shared" si="19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73" t="s">
        <v>60</v>
      </c>
      <c r="B83" s="71">
        <f>IF(B65&lt;0,B65*-1,0)</f>
        <v>0</v>
      </c>
      <c r="C83" s="71">
        <f t="shared" ref="C83:AF83" si="21">IF(C65&lt;0,C65*-1,0)</f>
        <v>0</v>
      </c>
      <c r="D83" s="71">
        <f t="shared" si="21"/>
        <v>0</v>
      </c>
      <c r="E83" s="71">
        <f t="shared" si="21"/>
        <v>0</v>
      </c>
      <c r="F83" s="71">
        <f t="shared" si="21"/>
        <v>0</v>
      </c>
      <c r="G83" s="71">
        <f t="shared" si="21"/>
        <v>0</v>
      </c>
      <c r="H83" s="71">
        <f t="shared" si="21"/>
        <v>0</v>
      </c>
      <c r="I83" s="71">
        <f t="shared" si="21"/>
        <v>0</v>
      </c>
      <c r="J83" s="71">
        <f t="shared" si="21"/>
        <v>0</v>
      </c>
      <c r="K83" s="71">
        <f t="shared" si="21"/>
        <v>0</v>
      </c>
      <c r="L83" s="71">
        <f t="shared" si="21"/>
        <v>0</v>
      </c>
      <c r="M83" s="71">
        <f t="shared" si="21"/>
        <v>0</v>
      </c>
      <c r="N83" s="71">
        <f t="shared" si="21"/>
        <v>0</v>
      </c>
      <c r="O83" s="71">
        <f t="shared" si="21"/>
        <v>0</v>
      </c>
      <c r="P83" s="71">
        <f t="shared" si="21"/>
        <v>0</v>
      </c>
      <c r="Q83" s="71">
        <f t="shared" si="21"/>
        <v>0</v>
      </c>
      <c r="R83" s="71">
        <f t="shared" si="21"/>
        <v>0</v>
      </c>
      <c r="S83" s="71">
        <f t="shared" si="21"/>
        <v>0</v>
      </c>
      <c r="T83" s="71">
        <f t="shared" si="21"/>
        <v>0</v>
      </c>
      <c r="U83" s="71">
        <f t="shared" si="21"/>
        <v>0</v>
      </c>
      <c r="V83" s="71">
        <f t="shared" si="21"/>
        <v>0</v>
      </c>
      <c r="W83" s="71">
        <f t="shared" si="21"/>
        <v>0</v>
      </c>
      <c r="X83" s="71">
        <f t="shared" si="21"/>
        <v>0</v>
      </c>
      <c r="Y83" s="71">
        <f t="shared" si="21"/>
        <v>0</v>
      </c>
      <c r="Z83" s="71">
        <f t="shared" si="21"/>
        <v>0</v>
      </c>
      <c r="AA83" s="71">
        <f t="shared" si="21"/>
        <v>0</v>
      </c>
      <c r="AB83" s="71">
        <f t="shared" si="21"/>
        <v>0</v>
      </c>
      <c r="AC83" s="71">
        <f t="shared" si="21"/>
        <v>0</v>
      </c>
      <c r="AD83" s="71">
        <f t="shared" si="21"/>
        <v>0</v>
      </c>
      <c r="AE83" s="71">
        <f t="shared" si="21"/>
        <v>0</v>
      </c>
      <c r="AF83" s="71">
        <f t="shared" si="21"/>
        <v>0</v>
      </c>
      <c r="AG83" s="144"/>
      <c r="AH83" s="54">
        <f t="shared" si="18"/>
        <v>0</v>
      </c>
      <c r="AI83" s="55">
        <f t="shared" si="19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73" t="s">
        <v>61</v>
      </c>
      <c r="B84" s="71">
        <f>IF(B63&lt;0,B63*-1,0)</f>
        <v>0</v>
      </c>
      <c r="C84" s="71">
        <f t="shared" ref="C84:AF84" si="22">IF(C63&lt;0,C63*-1,0)</f>
        <v>0</v>
      </c>
      <c r="D84" s="71">
        <f t="shared" si="22"/>
        <v>0</v>
      </c>
      <c r="E84" s="71">
        <f t="shared" si="22"/>
        <v>0</v>
      </c>
      <c r="F84" s="71">
        <f t="shared" si="22"/>
        <v>0</v>
      </c>
      <c r="G84" s="71">
        <f t="shared" si="22"/>
        <v>0</v>
      </c>
      <c r="H84" s="71">
        <f t="shared" si="22"/>
        <v>0</v>
      </c>
      <c r="I84" s="71">
        <f t="shared" si="22"/>
        <v>0</v>
      </c>
      <c r="J84" s="71">
        <f t="shared" si="22"/>
        <v>0</v>
      </c>
      <c r="K84" s="71">
        <f t="shared" si="22"/>
        <v>0</v>
      </c>
      <c r="L84" s="71">
        <f t="shared" si="22"/>
        <v>0</v>
      </c>
      <c r="M84" s="71">
        <f t="shared" si="22"/>
        <v>0</v>
      </c>
      <c r="N84" s="71">
        <f t="shared" si="22"/>
        <v>0</v>
      </c>
      <c r="O84" s="71">
        <f t="shared" si="22"/>
        <v>0</v>
      </c>
      <c r="P84" s="71">
        <f t="shared" si="22"/>
        <v>0</v>
      </c>
      <c r="Q84" s="71">
        <f t="shared" si="22"/>
        <v>0</v>
      </c>
      <c r="R84" s="71">
        <f t="shared" si="22"/>
        <v>0</v>
      </c>
      <c r="S84" s="71">
        <f t="shared" si="22"/>
        <v>0</v>
      </c>
      <c r="T84" s="71">
        <f t="shared" si="22"/>
        <v>0</v>
      </c>
      <c r="U84" s="71">
        <f t="shared" si="22"/>
        <v>0</v>
      </c>
      <c r="V84" s="71">
        <f t="shared" si="22"/>
        <v>0</v>
      </c>
      <c r="W84" s="71">
        <f t="shared" si="22"/>
        <v>0</v>
      </c>
      <c r="X84" s="71">
        <f t="shared" si="22"/>
        <v>0</v>
      </c>
      <c r="Y84" s="71">
        <f t="shared" si="22"/>
        <v>0</v>
      </c>
      <c r="Z84" s="71">
        <f t="shared" si="22"/>
        <v>0</v>
      </c>
      <c r="AA84" s="71">
        <f t="shared" si="22"/>
        <v>0</v>
      </c>
      <c r="AB84" s="71">
        <f t="shared" si="22"/>
        <v>0</v>
      </c>
      <c r="AC84" s="71">
        <f t="shared" si="22"/>
        <v>0</v>
      </c>
      <c r="AD84" s="71">
        <f t="shared" si="22"/>
        <v>0</v>
      </c>
      <c r="AE84" s="71">
        <f t="shared" si="22"/>
        <v>0</v>
      </c>
      <c r="AF84" s="71">
        <f t="shared" si="22"/>
        <v>0</v>
      </c>
      <c r="AG84" s="144"/>
      <c r="AH84" s="54">
        <f t="shared" si="18"/>
        <v>0</v>
      </c>
      <c r="AI84" s="55">
        <f t="shared" si="19"/>
        <v>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73" t="s">
        <v>41</v>
      </c>
      <c r="B85" s="71">
        <f>IF(B61&lt;0,B61*-1,0)</f>
        <v>0</v>
      </c>
      <c r="C85" s="71">
        <f t="shared" ref="C85:AF85" si="23">IF(C61&lt;0,C61*-1,0)</f>
        <v>0</v>
      </c>
      <c r="D85" s="71">
        <f t="shared" si="23"/>
        <v>0</v>
      </c>
      <c r="E85" s="71">
        <f t="shared" si="23"/>
        <v>0</v>
      </c>
      <c r="F85" s="71">
        <f t="shared" si="23"/>
        <v>0</v>
      </c>
      <c r="G85" s="71">
        <f t="shared" si="23"/>
        <v>0</v>
      </c>
      <c r="H85" s="71">
        <f t="shared" si="23"/>
        <v>0</v>
      </c>
      <c r="I85" s="71">
        <f t="shared" si="23"/>
        <v>0</v>
      </c>
      <c r="J85" s="71">
        <f t="shared" si="23"/>
        <v>0</v>
      </c>
      <c r="K85" s="71">
        <f t="shared" si="23"/>
        <v>0</v>
      </c>
      <c r="L85" s="71">
        <f t="shared" si="23"/>
        <v>0</v>
      </c>
      <c r="M85" s="71">
        <f t="shared" si="23"/>
        <v>0</v>
      </c>
      <c r="N85" s="71">
        <f t="shared" si="23"/>
        <v>0</v>
      </c>
      <c r="O85" s="71">
        <f t="shared" si="23"/>
        <v>0</v>
      </c>
      <c r="P85" s="71">
        <f t="shared" si="23"/>
        <v>0</v>
      </c>
      <c r="Q85" s="71">
        <f t="shared" si="23"/>
        <v>0</v>
      </c>
      <c r="R85" s="71">
        <f t="shared" si="23"/>
        <v>0</v>
      </c>
      <c r="S85" s="71">
        <f t="shared" si="23"/>
        <v>0</v>
      </c>
      <c r="T85" s="71">
        <f t="shared" si="23"/>
        <v>0</v>
      </c>
      <c r="U85" s="71">
        <f t="shared" si="23"/>
        <v>0</v>
      </c>
      <c r="V85" s="71">
        <f t="shared" si="23"/>
        <v>0</v>
      </c>
      <c r="W85" s="71">
        <f t="shared" si="23"/>
        <v>0</v>
      </c>
      <c r="X85" s="71">
        <f t="shared" si="23"/>
        <v>0</v>
      </c>
      <c r="Y85" s="71">
        <f t="shared" si="23"/>
        <v>0</v>
      </c>
      <c r="Z85" s="71">
        <f t="shared" si="23"/>
        <v>0</v>
      </c>
      <c r="AA85" s="71">
        <f t="shared" si="23"/>
        <v>0</v>
      </c>
      <c r="AB85" s="71">
        <f t="shared" si="23"/>
        <v>0</v>
      </c>
      <c r="AC85" s="71">
        <f t="shared" si="23"/>
        <v>0</v>
      </c>
      <c r="AD85" s="71">
        <f t="shared" si="23"/>
        <v>0</v>
      </c>
      <c r="AE85" s="71">
        <f t="shared" si="23"/>
        <v>0</v>
      </c>
      <c r="AF85" s="71">
        <f t="shared" si="23"/>
        <v>0</v>
      </c>
      <c r="AG85" s="144"/>
      <c r="AH85" s="54">
        <f t="shared" si="18"/>
        <v>0</v>
      </c>
      <c r="AI85" s="55">
        <f t="shared" si="19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73" t="s">
        <v>62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>
        <v>0</v>
      </c>
      <c r="AA86" s="74">
        <v>0</v>
      </c>
      <c r="AB86" s="74">
        <v>0</v>
      </c>
      <c r="AC86" s="74"/>
      <c r="AD86" s="74"/>
      <c r="AE86" s="74"/>
      <c r="AF86" s="74"/>
      <c r="AG86" s="141"/>
      <c r="AH86" s="54">
        <f t="shared" si="18"/>
        <v>0</v>
      </c>
      <c r="AI86" s="55">
        <f t="shared" si="19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78" t="s">
        <v>63</v>
      </c>
      <c r="B87" s="66">
        <f>SUM(B81:B86)</f>
        <v>0</v>
      </c>
      <c r="C87" s="66">
        <f t="shared" ref="C87:AF87" si="24">SUM(C81:C86)</f>
        <v>0</v>
      </c>
      <c r="D87" s="66">
        <f t="shared" si="24"/>
        <v>0</v>
      </c>
      <c r="E87" s="66">
        <f t="shared" si="24"/>
        <v>0</v>
      </c>
      <c r="F87" s="66">
        <f t="shared" si="24"/>
        <v>0</v>
      </c>
      <c r="G87" s="66">
        <f t="shared" si="24"/>
        <v>0</v>
      </c>
      <c r="H87" s="66">
        <f t="shared" si="24"/>
        <v>0</v>
      </c>
      <c r="I87" s="66">
        <f t="shared" si="24"/>
        <v>0</v>
      </c>
      <c r="J87" s="66">
        <f t="shared" si="24"/>
        <v>0</v>
      </c>
      <c r="K87" s="66">
        <f t="shared" si="24"/>
        <v>0</v>
      </c>
      <c r="L87" s="66">
        <f t="shared" si="24"/>
        <v>0</v>
      </c>
      <c r="M87" s="66">
        <f t="shared" si="24"/>
        <v>0</v>
      </c>
      <c r="N87" s="66">
        <f t="shared" si="24"/>
        <v>0</v>
      </c>
      <c r="O87" s="66">
        <f t="shared" si="24"/>
        <v>0</v>
      </c>
      <c r="P87" s="66">
        <f t="shared" si="24"/>
        <v>0</v>
      </c>
      <c r="Q87" s="66">
        <f t="shared" si="24"/>
        <v>0</v>
      </c>
      <c r="R87" s="66">
        <f t="shared" si="24"/>
        <v>0</v>
      </c>
      <c r="S87" s="66">
        <f t="shared" si="24"/>
        <v>0</v>
      </c>
      <c r="T87" s="66">
        <f t="shared" si="24"/>
        <v>0</v>
      </c>
      <c r="U87" s="66">
        <f t="shared" si="24"/>
        <v>0</v>
      </c>
      <c r="V87" s="66">
        <f t="shared" si="24"/>
        <v>0</v>
      </c>
      <c r="W87" s="66">
        <f t="shared" si="24"/>
        <v>0</v>
      </c>
      <c r="X87" s="66">
        <f t="shared" si="24"/>
        <v>0</v>
      </c>
      <c r="Y87" s="66">
        <f t="shared" si="24"/>
        <v>0</v>
      </c>
      <c r="Z87" s="66">
        <f t="shared" si="24"/>
        <v>0</v>
      </c>
      <c r="AA87" s="66">
        <f t="shared" si="24"/>
        <v>0</v>
      </c>
      <c r="AB87" s="66">
        <f t="shared" si="24"/>
        <v>0</v>
      </c>
      <c r="AC87" s="66">
        <f t="shared" si="24"/>
        <v>0</v>
      </c>
      <c r="AD87" s="66">
        <f t="shared" si="24"/>
        <v>0</v>
      </c>
      <c r="AE87" s="66">
        <f t="shared" si="24"/>
        <v>0</v>
      </c>
      <c r="AF87" s="66">
        <f t="shared" si="24"/>
        <v>0</v>
      </c>
      <c r="AG87" s="138"/>
      <c r="AH87" s="54">
        <f t="shared" si="18"/>
        <v>0</v>
      </c>
      <c r="AI87" s="55">
        <f t="shared" si="19"/>
        <v>0</v>
      </c>
      <c r="AK87" s="56"/>
    </row>
    <row r="88" spans="1:88" s="1" customFormat="1" ht="15.75" thickBot="1" x14ac:dyDescent="0.3">
      <c r="A88" s="65" t="s">
        <v>64</v>
      </c>
      <c r="B88" s="66">
        <f>B72-B87</f>
        <v>0</v>
      </c>
      <c r="C88" s="66">
        <f t="shared" ref="C88:AF88" si="25">C72-C87</f>
        <v>0</v>
      </c>
      <c r="D88" s="66">
        <f t="shared" si="25"/>
        <v>0</v>
      </c>
      <c r="E88" s="66">
        <f t="shared" si="25"/>
        <v>0</v>
      </c>
      <c r="F88" s="66">
        <f t="shared" si="25"/>
        <v>0</v>
      </c>
      <c r="G88" s="66">
        <f t="shared" si="25"/>
        <v>0</v>
      </c>
      <c r="H88" s="66">
        <f t="shared" si="25"/>
        <v>0</v>
      </c>
      <c r="I88" s="66">
        <f t="shared" si="25"/>
        <v>0</v>
      </c>
      <c r="J88" s="66">
        <f t="shared" si="25"/>
        <v>0</v>
      </c>
      <c r="K88" s="66">
        <f t="shared" si="25"/>
        <v>0</v>
      </c>
      <c r="L88" s="66">
        <f t="shared" si="25"/>
        <v>0</v>
      </c>
      <c r="M88" s="66">
        <f t="shared" si="25"/>
        <v>0</v>
      </c>
      <c r="N88" s="66">
        <f t="shared" si="25"/>
        <v>0</v>
      </c>
      <c r="O88" s="66">
        <f t="shared" si="25"/>
        <v>0</v>
      </c>
      <c r="P88" s="66">
        <f t="shared" si="25"/>
        <v>0</v>
      </c>
      <c r="Q88" s="66">
        <f t="shared" si="25"/>
        <v>0</v>
      </c>
      <c r="R88" s="66">
        <f t="shared" si="25"/>
        <v>0</v>
      </c>
      <c r="S88" s="66">
        <f t="shared" si="25"/>
        <v>0</v>
      </c>
      <c r="T88" s="66">
        <f t="shared" si="25"/>
        <v>0</v>
      </c>
      <c r="U88" s="66">
        <f t="shared" si="25"/>
        <v>0</v>
      </c>
      <c r="V88" s="66">
        <f t="shared" si="25"/>
        <v>0</v>
      </c>
      <c r="W88" s="66">
        <f t="shared" si="25"/>
        <v>0</v>
      </c>
      <c r="X88" s="66">
        <f t="shared" si="25"/>
        <v>0</v>
      </c>
      <c r="Y88" s="66">
        <f t="shared" si="25"/>
        <v>0</v>
      </c>
      <c r="Z88" s="66">
        <f t="shared" si="25"/>
        <v>0</v>
      </c>
      <c r="AA88" s="66">
        <f t="shared" si="25"/>
        <v>0</v>
      </c>
      <c r="AB88" s="66">
        <f t="shared" si="25"/>
        <v>0</v>
      </c>
      <c r="AC88" s="66">
        <f t="shared" si="25"/>
        <v>0</v>
      </c>
      <c r="AD88" s="66">
        <f t="shared" si="25"/>
        <v>0</v>
      </c>
      <c r="AE88" s="66">
        <f t="shared" si="25"/>
        <v>0</v>
      </c>
      <c r="AF88" s="66">
        <f t="shared" si="25"/>
        <v>0</v>
      </c>
      <c r="AG88" s="138"/>
      <c r="AH88" s="54">
        <f t="shared" si="18"/>
        <v>0</v>
      </c>
      <c r="AI88" s="55">
        <f t="shared" si="19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70" t="s">
        <v>65</v>
      </c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145"/>
      <c r="AH89" s="54">
        <f t="shared" si="18"/>
        <v>0</v>
      </c>
      <c r="AI89" s="55">
        <f t="shared" si="19"/>
        <v>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163" t="s">
        <v>66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146"/>
      <c r="AH90" s="54">
        <f t="shared" si="18"/>
        <v>0</v>
      </c>
      <c r="AI90" s="55">
        <f t="shared" si="19"/>
        <v>0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163" t="s">
        <v>67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146"/>
      <c r="AH91" s="54">
        <f t="shared" si="18"/>
        <v>0</v>
      </c>
      <c r="AI91" s="55">
        <f t="shared" si="19"/>
        <v>0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163" t="s">
        <v>68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146"/>
      <c r="AH92" s="54">
        <f t="shared" si="18"/>
        <v>0</v>
      </c>
      <c r="AI92" s="55">
        <f t="shared" si="19"/>
        <v>0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74" t="s">
        <v>69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146"/>
      <c r="AH93" s="54">
        <f t="shared" si="18"/>
        <v>0</v>
      </c>
      <c r="AI93" s="55">
        <f t="shared" si="19"/>
        <v>0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74" t="s">
        <v>70</v>
      </c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147"/>
      <c r="AH94" s="54">
        <f t="shared" si="18"/>
        <v>0</v>
      </c>
      <c r="AI94" s="55">
        <f t="shared" si="19"/>
        <v>0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163" t="s">
        <v>71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146"/>
      <c r="AH95" s="54">
        <f t="shared" si="18"/>
        <v>0</v>
      </c>
      <c r="AI95" s="55">
        <f t="shared" si="19"/>
        <v>0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163" t="s">
        <v>72</v>
      </c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148"/>
      <c r="AH96" s="54">
        <f t="shared" si="18"/>
        <v>0</v>
      </c>
      <c r="AI96" s="55">
        <f t="shared" si="19"/>
        <v>0</v>
      </c>
    </row>
    <row r="97" spans="1:37" ht="15.75" thickBot="1" x14ac:dyDescent="0.3">
      <c r="A97" s="17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148"/>
      <c r="AH97" s="54">
        <f t="shared" ref="AH97" si="26">MAX(B97:AF97)</f>
        <v>0</v>
      </c>
      <c r="AI97" s="55">
        <f t="shared" ref="AI97" si="27">MIN(B97:AF97)</f>
        <v>0</v>
      </c>
    </row>
    <row r="98" spans="1:37" ht="15.75" thickBot="1" x14ac:dyDescent="0.3">
      <c r="A98" s="85" t="s">
        <v>73</v>
      </c>
      <c r="B98" s="86">
        <f t="shared" ref="B98:AF98" si="28">SUM(B15,B18,B21:B22,B46,B48:B49,B51,B53,B99:B102,B124,B130,B136,B145,B147,B159,B166,B169:B170,B177,B179,B181,B185:B187,B189:B191,B196,B202:B203,B205:B207,B215,B220)</f>
        <v>0</v>
      </c>
      <c r="C98" s="86">
        <f t="shared" si="28"/>
        <v>0.94</v>
      </c>
      <c r="D98" s="86">
        <f t="shared" si="28"/>
        <v>0.94</v>
      </c>
      <c r="E98" s="86">
        <f t="shared" si="28"/>
        <v>0.94</v>
      </c>
      <c r="F98" s="86">
        <f t="shared" si="28"/>
        <v>0.94</v>
      </c>
      <c r="G98" s="86">
        <f t="shared" si="28"/>
        <v>0.94</v>
      </c>
      <c r="H98" s="86">
        <f t="shared" si="28"/>
        <v>0.94</v>
      </c>
      <c r="I98" s="86">
        <f t="shared" si="28"/>
        <v>0.94</v>
      </c>
      <c r="J98" s="86">
        <f t="shared" si="28"/>
        <v>0.94</v>
      </c>
      <c r="K98" s="86">
        <f t="shared" si="28"/>
        <v>0.94</v>
      </c>
      <c r="L98" s="86">
        <f t="shared" si="28"/>
        <v>0.94</v>
      </c>
      <c r="M98" s="86">
        <f t="shared" si="28"/>
        <v>0.94</v>
      </c>
      <c r="N98" s="86">
        <f t="shared" si="28"/>
        <v>0.94</v>
      </c>
      <c r="O98" s="86">
        <f t="shared" si="28"/>
        <v>0.94</v>
      </c>
      <c r="P98" s="86">
        <f t="shared" si="28"/>
        <v>0.94</v>
      </c>
      <c r="Q98" s="86">
        <f t="shared" si="28"/>
        <v>0</v>
      </c>
      <c r="R98" s="86">
        <f t="shared" si="28"/>
        <v>0</v>
      </c>
      <c r="S98" s="86">
        <f t="shared" si="28"/>
        <v>0</v>
      </c>
      <c r="T98" s="86">
        <f t="shared" si="28"/>
        <v>0</v>
      </c>
      <c r="U98" s="86">
        <f t="shared" si="28"/>
        <v>0</v>
      </c>
      <c r="V98" s="86">
        <f t="shared" si="28"/>
        <v>0</v>
      </c>
      <c r="W98" s="86">
        <f t="shared" si="28"/>
        <v>0</v>
      </c>
      <c r="X98" s="86">
        <f t="shared" si="28"/>
        <v>0</v>
      </c>
      <c r="Y98" s="86">
        <f t="shared" si="28"/>
        <v>0</v>
      </c>
      <c r="Z98" s="86">
        <f t="shared" si="28"/>
        <v>0</v>
      </c>
      <c r="AA98" s="86">
        <f t="shared" si="28"/>
        <v>0</v>
      </c>
      <c r="AB98" s="86">
        <f t="shared" si="28"/>
        <v>0</v>
      </c>
      <c r="AC98" s="86">
        <f t="shared" si="28"/>
        <v>0</v>
      </c>
      <c r="AD98" s="86">
        <f t="shared" si="28"/>
        <v>0</v>
      </c>
      <c r="AE98" s="86">
        <f t="shared" si="28"/>
        <v>0</v>
      </c>
      <c r="AF98" s="86">
        <f t="shared" si="28"/>
        <v>0</v>
      </c>
      <c r="AG98" s="150"/>
      <c r="AH98" s="54">
        <f>MAX(C98:AF98)</f>
        <v>0.94</v>
      </c>
      <c r="AI98" s="55">
        <f>MIN(C98:AF98)</f>
        <v>0</v>
      </c>
    </row>
    <row r="99" spans="1:37" x14ac:dyDescent="0.25">
      <c r="A99" s="170" t="s">
        <v>74</v>
      </c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151">
        <v>75</v>
      </c>
      <c r="AH99" s="54">
        <f t="shared" ref="AH99:AH106" si="29">IF(ABS(MAX(C99:AF99))&gt;ABS(MIN(C99:AF99)),MAX(C99:AF99),MIN(C99:AF99))</f>
        <v>0</v>
      </c>
      <c r="AI99" s="89" t="e">
        <f t="shared" ref="AI99:AI106" si="30">INDEX($C$9:$AF$9,1,MATCH(AH99,C99:AF99,0))</f>
        <v>#N/A</v>
      </c>
    </row>
    <row r="100" spans="1:37" x14ac:dyDescent="0.25">
      <c r="A100" s="163" t="s">
        <v>75</v>
      </c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151">
        <v>240</v>
      </c>
      <c r="AH100" s="54">
        <f t="shared" si="29"/>
        <v>0</v>
      </c>
      <c r="AI100" s="89" t="e">
        <f t="shared" si="30"/>
        <v>#N/A</v>
      </c>
    </row>
    <row r="101" spans="1:37" x14ac:dyDescent="0.25">
      <c r="A101" s="163" t="s">
        <v>76</v>
      </c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151">
        <v>60</v>
      </c>
      <c r="AH101" s="54">
        <f t="shared" si="29"/>
        <v>0</v>
      </c>
      <c r="AI101" s="89" t="e">
        <f t="shared" si="30"/>
        <v>#N/A</v>
      </c>
    </row>
    <row r="102" spans="1:37" x14ac:dyDescent="0.25">
      <c r="A102" s="164" t="s">
        <v>77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152">
        <v>120</v>
      </c>
      <c r="AH102" s="54">
        <f t="shared" si="29"/>
        <v>0</v>
      </c>
      <c r="AI102" s="89" t="e">
        <f t="shared" si="30"/>
        <v>#N/A</v>
      </c>
    </row>
    <row r="103" spans="1:37" x14ac:dyDescent="0.25">
      <c r="A103" s="164" t="s">
        <v>78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152"/>
      <c r="AH103" s="54">
        <f t="shared" si="29"/>
        <v>0</v>
      </c>
      <c r="AI103" s="89" t="e">
        <f t="shared" si="30"/>
        <v>#N/A</v>
      </c>
    </row>
    <row r="104" spans="1:37" x14ac:dyDescent="0.25">
      <c r="A104" s="164" t="s">
        <v>105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153"/>
      <c r="AH104" s="54">
        <f t="shared" si="29"/>
        <v>0</v>
      </c>
      <c r="AI104" s="89" t="e">
        <f t="shared" si="30"/>
        <v>#N/A</v>
      </c>
    </row>
    <row r="105" spans="1:37" x14ac:dyDescent="0.25">
      <c r="A105" s="171" t="s">
        <v>106</v>
      </c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153"/>
      <c r="AH105" s="54">
        <f t="shared" si="29"/>
        <v>0</v>
      </c>
      <c r="AI105" s="89" t="e">
        <f t="shared" si="30"/>
        <v>#N/A</v>
      </c>
    </row>
    <row r="106" spans="1:37" ht="15.75" thickBot="1" x14ac:dyDescent="0.3">
      <c r="A106" s="171" t="s">
        <v>280</v>
      </c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153"/>
      <c r="AH106" s="54">
        <f t="shared" si="29"/>
        <v>0</v>
      </c>
      <c r="AI106" s="89" t="e">
        <f t="shared" si="30"/>
        <v>#N/A</v>
      </c>
    </row>
    <row r="107" spans="1:37" ht="15.75" thickBot="1" x14ac:dyDescent="0.3">
      <c r="A107" s="92" t="s">
        <v>79</v>
      </c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154"/>
      <c r="AH107" s="94"/>
      <c r="AI107" s="55"/>
      <c r="AK107" s="56"/>
    </row>
    <row r="108" spans="1:37" x14ac:dyDescent="0.25">
      <c r="A108" s="162" t="s">
        <v>133</v>
      </c>
      <c r="B108" s="95"/>
      <c r="C108" s="53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>
        <v>9.94</v>
      </c>
      <c r="AH108" s="54"/>
      <c r="AI108" s="55"/>
      <c r="AK108" s="56"/>
    </row>
    <row r="109" spans="1:37" x14ac:dyDescent="0.25">
      <c r="A109" s="163" t="s">
        <v>134</v>
      </c>
      <c r="B109" s="95"/>
      <c r="C109" s="53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54"/>
      <c r="AI109" s="55"/>
      <c r="AK109" s="56"/>
    </row>
    <row r="110" spans="1:37" x14ac:dyDescent="0.25">
      <c r="A110" s="163" t="s">
        <v>135</v>
      </c>
      <c r="B110" s="95"/>
      <c r="C110" s="53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54"/>
      <c r="AI110" s="55"/>
      <c r="AK110" s="56"/>
    </row>
    <row r="111" spans="1:37" x14ac:dyDescent="0.25">
      <c r="A111" s="163" t="s">
        <v>136</v>
      </c>
      <c r="B111" s="95"/>
      <c r="C111" s="53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54"/>
      <c r="AI111" s="55"/>
      <c r="AK111" s="56"/>
    </row>
    <row r="112" spans="1:37" x14ac:dyDescent="0.25">
      <c r="A112" s="163" t="s">
        <v>137</v>
      </c>
      <c r="B112" s="95"/>
      <c r="C112" s="53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54"/>
      <c r="AI112" s="55"/>
      <c r="AK112" s="56"/>
    </row>
    <row r="113" spans="1:37" x14ac:dyDescent="0.25">
      <c r="A113" s="163" t="s">
        <v>138</v>
      </c>
      <c r="B113" s="95"/>
      <c r="C113" s="53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54"/>
      <c r="AI113" s="55"/>
      <c r="AK113" s="56"/>
    </row>
    <row r="114" spans="1:37" x14ac:dyDescent="0.25">
      <c r="A114" s="163" t="s">
        <v>139</v>
      </c>
      <c r="B114" s="95"/>
      <c r="C114" s="53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54"/>
      <c r="AI114" s="55"/>
      <c r="AK114" s="56"/>
    </row>
    <row r="115" spans="1:37" x14ac:dyDescent="0.25">
      <c r="A115" s="163" t="s">
        <v>140</v>
      </c>
      <c r="B115" s="95"/>
      <c r="C115" s="53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54"/>
      <c r="AI115" s="55"/>
      <c r="AK115" s="56"/>
    </row>
    <row r="116" spans="1:37" x14ac:dyDescent="0.25">
      <c r="A116" s="163" t="s">
        <v>141</v>
      </c>
      <c r="B116" s="95"/>
      <c r="C116" s="53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54"/>
      <c r="AI116" s="55"/>
      <c r="AK116" s="56"/>
    </row>
    <row r="117" spans="1:37" x14ac:dyDescent="0.25">
      <c r="A117" s="163" t="s">
        <v>142</v>
      </c>
      <c r="B117" s="95"/>
      <c r="C117" s="53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54"/>
      <c r="AI117" s="55"/>
      <c r="AK117" s="56"/>
    </row>
    <row r="118" spans="1:37" x14ac:dyDescent="0.25">
      <c r="A118" s="163" t="s">
        <v>143</v>
      </c>
      <c r="B118" s="95"/>
      <c r="C118" s="53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54"/>
      <c r="AI118" s="55"/>
      <c r="AK118" s="56"/>
    </row>
    <row r="119" spans="1:37" x14ac:dyDescent="0.25">
      <c r="A119" s="163" t="s">
        <v>144</v>
      </c>
      <c r="B119" s="95"/>
      <c r="C119" s="53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54"/>
      <c r="AI119" s="55"/>
      <c r="AK119" s="56"/>
    </row>
    <row r="120" spans="1:37" x14ac:dyDescent="0.25">
      <c r="A120" s="163" t="s">
        <v>145</v>
      </c>
      <c r="B120" s="95"/>
      <c r="C120" s="53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54"/>
      <c r="AI120" s="55"/>
      <c r="AK120" s="56"/>
    </row>
    <row r="121" spans="1:37" x14ac:dyDescent="0.25">
      <c r="A121" s="163" t="s">
        <v>146</v>
      </c>
      <c r="B121" s="95"/>
      <c r="C121" s="53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54"/>
      <c r="AI121" s="55"/>
      <c r="AK121" s="56"/>
    </row>
    <row r="122" spans="1:37" x14ac:dyDescent="0.25">
      <c r="A122" s="163" t="s">
        <v>147</v>
      </c>
      <c r="B122" s="95"/>
      <c r="C122" s="53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54"/>
      <c r="AI122" s="55"/>
      <c r="AK122" s="56"/>
    </row>
    <row r="123" spans="1:37" x14ac:dyDescent="0.25">
      <c r="A123" s="163" t="s">
        <v>148</v>
      </c>
      <c r="B123" s="95"/>
      <c r="C123" s="53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6"/>
      <c r="AH123" s="54"/>
      <c r="AI123" s="55"/>
      <c r="AK123" s="56"/>
    </row>
    <row r="124" spans="1:37" x14ac:dyDescent="0.25">
      <c r="A124" s="163" t="s">
        <v>149</v>
      </c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9">
        <v>9.9</v>
      </c>
      <c r="AH124" s="54"/>
      <c r="AI124" s="55"/>
      <c r="AK124" s="56"/>
    </row>
    <row r="125" spans="1:37" x14ac:dyDescent="0.25">
      <c r="A125" s="164" t="s">
        <v>80</v>
      </c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100">
        <v>9.6579999999999995</v>
      </c>
      <c r="AH125" s="54"/>
      <c r="AI125" s="55"/>
      <c r="AK125" s="56"/>
    </row>
    <row r="126" spans="1:37" x14ac:dyDescent="0.25">
      <c r="A126" s="164" t="s">
        <v>150</v>
      </c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100">
        <v>9.6</v>
      </c>
      <c r="AH126" s="54"/>
      <c r="AI126" s="55"/>
      <c r="AK126" s="56"/>
    </row>
    <row r="127" spans="1:37" x14ac:dyDescent="0.25">
      <c r="A127" s="164" t="s">
        <v>151</v>
      </c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100">
        <v>9.51</v>
      </c>
      <c r="AH127" s="54"/>
      <c r="AI127" s="55"/>
      <c r="AK127" s="56"/>
    </row>
    <row r="128" spans="1:37" x14ac:dyDescent="0.25">
      <c r="A128" s="164" t="s">
        <v>152</v>
      </c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100">
        <v>9.4</v>
      </c>
      <c r="AH128" s="54"/>
      <c r="AI128" s="55"/>
      <c r="AK128" s="56"/>
    </row>
    <row r="129" spans="1:37" x14ac:dyDescent="0.25">
      <c r="A129" s="164" t="s">
        <v>153</v>
      </c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100">
        <v>8.8000000000000007</v>
      </c>
      <c r="AH129" s="54"/>
      <c r="AI129" s="55"/>
      <c r="AK129" s="56"/>
    </row>
    <row r="130" spans="1:37" x14ac:dyDescent="0.25">
      <c r="A130" s="164" t="s">
        <v>154</v>
      </c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100">
        <v>8.5</v>
      </c>
      <c r="AH130" s="54"/>
      <c r="AI130" s="55"/>
      <c r="AK130" s="56"/>
    </row>
    <row r="131" spans="1:37" x14ac:dyDescent="0.25">
      <c r="A131" s="164" t="s">
        <v>155</v>
      </c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100">
        <v>8.5</v>
      </c>
      <c r="AH131" s="54"/>
      <c r="AI131" s="55"/>
      <c r="AK131" s="56"/>
    </row>
    <row r="132" spans="1:37" x14ac:dyDescent="0.25">
      <c r="A132" s="164" t="s">
        <v>156</v>
      </c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100">
        <v>8.4</v>
      </c>
      <c r="AH132" s="54"/>
      <c r="AI132" s="55"/>
      <c r="AK132" s="56"/>
    </row>
    <row r="133" spans="1:37" ht="13.5" customHeight="1" x14ac:dyDescent="0.25">
      <c r="A133" s="164" t="s">
        <v>157</v>
      </c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100">
        <v>8</v>
      </c>
      <c r="AH133" s="54"/>
      <c r="AI133" s="55"/>
      <c r="AK133" s="56"/>
    </row>
    <row r="134" spans="1:37" x14ac:dyDescent="0.25">
      <c r="A134" s="164" t="s">
        <v>158</v>
      </c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100">
        <v>8</v>
      </c>
      <c r="AH134" s="54"/>
      <c r="AI134" s="55"/>
      <c r="AK134" s="56"/>
    </row>
    <row r="135" spans="1:37" x14ac:dyDescent="0.25">
      <c r="A135" s="164" t="s">
        <v>159</v>
      </c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100">
        <v>8</v>
      </c>
      <c r="AH135" s="54"/>
      <c r="AI135" s="55"/>
      <c r="AK135" s="56"/>
    </row>
    <row r="136" spans="1:37" x14ac:dyDescent="0.25">
      <c r="A136" s="164" t="s">
        <v>160</v>
      </c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100">
        <v>7.8</v>
      </c>
      <c r="AH136" s="54"/>
      <c r="AI136" s="55"/>
      <c r="AK136" s="56"/>
    </row>
    <row r="137" spans="1:37" x14ac:dyDescent="0.25">
      <c r="A137" s="164" t="s">
        <v>161</v>
      </c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100">
        <v>7.6</v>
      </c>
      <c r="AH137" s="54"/>
      <c r="AI137" s="55"/>
      <c r="AK137" s="56"/>
    </row>
    <row r="138" spans="1:37" x14ac:dyDescent="0.25">
      <c r="A138" s="164" t="s">
        <v>162</v>
      </c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100">
        <v>7.5</v>
      </c>
      <c r="AH138" s="54"/>
      <c r="AI138" s="55"/>
      <c r="AK138" s="56"/>
    </row>
    <row r="139" spans="1:37" x14ac:dyDescent="0.25">
      <c r="A139" s="164" t="s">
        <v>163</v>
      </c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100">
        <v>7.5</v>
      </c>
      <c r="AH139" s="54"/>
      <c r="AI139" s="55"/>
      <c r="AK139" s="56"/>
    </row>
    <row r="140" spans="1:37" x14ac:dyDescent="0.25">
      <c r="A140" s="164" t="s">
        <v>164</v>
      </c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100">
        <v>7</v>
      </c>
      <c r="AH140" s="54"/>
      <c r="AI140" s="55"/>
      <c r="AK140" s="56"/>
    </row>
    <row r="141" spans="1:37" x14ac:dyDescent="0.25">
      <c r="A141" s="164" t="s">
        <v>165</v>
      </c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100">
        <v>7</v>
      </c>
      <c r="AH141" s="54"/>
      <c r="AI141" s="55"/>
      <c r="AK141" s="56"/>
    </row>
    <row r="142" spans="1:37" x14ac:dyDescent="0.25">
      <c r="A142" s="164" t="s">
        <v>166</v>
      </c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100">
        <v>7</v>
      </c>
      <c r="AH142" s="54"/>
      <c r="AI142" s="55"/>
      <c r="AK142" s="56"/>
    </row>
    <row r="143" spans="1:37" x14ac:dyDescent="0.25">
      <c r="A143" s="164" t="s">
        <v>167</v>
      </c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100">
        <v>7</v>
      </c>
      <c r="AH143" s="54"/>
      <c r="AI143" s="55"/>
      <c r="AK143" s="56"/>
    </row>
    <row r="144" spans="1:37" x14ac:dyDescent="0.25">
      <c r="A144" s="164" t="s">
        <v>168</v>
      </c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100">
        <v>6.6</v>
      </c>
      <c r="AH144" s="54"/>
      <c r="AI144" s="55"/>
      <c r="AK144" s="56"/>
    </row>
    <row r="145" spans="1:37" x14ac:dyDescent="0.25">
      <c r="A145" s="164" t="s">
        <v>169</v>
      </c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100">
        <v>6.6</v>
      </c>
      <c r="AH145" s="54"/>
      <c r="AI145" s="55"/>
      <c r="AK145" s="56"/>
    </row>
    <row r="146" spans="1:37" x14ac:dyDescent="0.25">
      <c r="A146" s="164" t="s">
        <v>170</v>
      </c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100">
        <v>6.4</v>
      </c>
      <c r="AH146" s="54"/>
      <c r="AI146" s="55"/>
      <c r="AK146" s="56"/>
    </row>
    <row r="147" spans="1:37" x14ac:dyDescent="0.25">
      <c r="A147" s="164" t="s">
        <v>171</v>
      </c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100">
        <v>6</v>
      </c>
      <c r="AH147" s="54"/>
      <c r="AI147" s="55"/>
      <c r="AK147" s="56"/>
    </row>
    <row r="148" spans="1:37" x14ac:dyDescent="0.25">
      <c r="A148" s="164" t="s">
        <v>172</v>
      </c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100">
        <v>5.0999999999999996</v>
      </c>
      <c r="AH148" s="54"/>
      <c r="AI148" s="55"/>
      <c r="AK148" s="56"/>
    </row>
    <row r="149" spans="1:37" x14ac:dyDescent="0.25">
      <c r="A149" s="164" t="s">
        <v>173</v>
      </c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100">
        <v>5</v>
      </c>
      <c r="AH149" s="54"/>
      <c r="AI149" s="55"/>
      <c r="AK149" s="56"/>
    </row>
    <row r="150" spans="1:37" x14ac:dyDescent="0.25">
      <c r="A150" s="163" t="s">
        <v>174</v>
      </c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99">
        <v>5</v>
      </c>
      <c r="AH150" s="54"/>
      <c r="AI150" s="55"/>
      <c r="AK150" s="56"/>
    </row>
    <row r="151" spans="1:37" x14ac:dyDescent="0.25">
      <c r="A151" s="164" t="s">
        <v>175</v>
      </c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100">
        <v>5</v>
      </c>
      <c r="AH151" s="54"/>
      <c r="AI151" s="55"/>
      <c r="AK151" s="56"/>
    </row>
    <row r="152" spans="1:37" x14ac:dyDescent="0.25">
      <c r="A152" s="164" t="s">
        <v>176</v>
      </c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100">
        <v>5</v>
      </c>
      <c r="AH152" s="54"/>
      <c r="AI152" s="55"/>
      <c r="AK152" s="56"/>
    </row>
    <row r="153" spans="1:37" x14ac:dyDescent="0.25">
      <c r="A153" s="164" t="s">
        <v>177</v>
      </c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100">
        <v>5</v>
      </c>
      <c r="AH153" s="54"/>
      <c r="AI153" s="55"/>
      <c r="AK153" s="56"/>
    </row>
    <row r="154" spans="1:37" x14ac:dyDescent="0.25">
      <c r="A154" s="164" t="s">
        <v>178</v>
      </c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100">
        <v>5</v>
      </c>
      <c r="AH154" s="54"/>
      <c r="AI154" s="55"/>
      <c r="AK154" s="56"/>
    </row>
    <row r="155" spans="1:37" x14ac:dyDescent="0.25">
      <c r="A155" s="164" t="s">
        <v>179</v>
      </c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100">
        <v>5</v>
      </c>
      <c r="AH155" s="54"/>
      <c r="AI155" s="55"/>
      <c r="AK155" s="56"/>
    </row>
    <row r="156" spans="1:37" x14ac:dyDescent="0.25">
      <c r="A156" s="164" t="s">
        <v>180</v>
      </c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100">
        <v>4.9930000000000003</v>
      </c>
      <c r="AH156" s="54"/>
      <c r="AI156" s="55"/>
      <c r="AK156" s="56"/>
    </row>
    <row r="157" spans="1:37" x14ac:dyDescent="0.25">
      <c r="A157" s="164" t="s">
        <v>181</v>
      </c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100">
        <v>4.9800000000000004</v>
      </c>
      <c r="AH157" s="54"/>
      <c r="AI157" s="55"/>
      <c r="AK157" s="56"/>
    </row>
    <row r="158" spans="1:37" x14ac:dyDescent="0.25">
      <c r="A158" s="164" t="s">
        <v>182</v>
      </c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100">
        <v>4.95</v>
      </c>
      <c r="AH158" s="54"/>
      <c r="AI158" s="55"/>
      <c r="AK158" s="56"/>
    </row>
    <row r="159" spans="1:37" x14ac:dyDescent="0.25">
      <c r="A159" s="164" t="s">
        <v>81</v>
      </c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100">
        <v>4.95</v>
      </c>
      <c r="AH159" s="54"/>
      <c r="AI159" s="55"/>
      <c r="AK159" s="56"/>
    </row>
    <row r="160" spans="1:37" x14ac:dyDescent="0.25">
      <c r="A160" s="164" t="s">
        <v>183</v>
      </c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100">
        <v>4.8</v>
      </c>
      <c r="AH160" s="54"/>
      <c r="AI160" s="55"/>
      <c r="AK160" s="56"/>
    </row>
    <row r="161" spans="1:37" x14ac:dyDescent="0.25">
      <c r="A161" s="164" t="s">
        <v>184</v>
      </c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100">
        <v>4.8</v>
      </c>
      <c r="AH161" s="54"/>
      <c r="AI161" s="55"/>
      <c r="AK161" s="56"/>
    </row>
    <row r="162" spans="1:37" x14ac:dyDescent="0.25">
      <c r="A162" s="164" t="s">
        <v>185</v>
      </c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100">
        <v>4.8</v>
      </c>
      <c r="AH162" s="54"/>
      <c r="AI162" s="55"/>
      <c r="AK162" s="56"/>
    </row>
    <row r="163" spans="1:37" x14ac:dyDescent="0.25">
      <c r="A163" s="164" t="s">
        <v>186</v>
      </c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100">
        <v>4.5</v>
      </c>
      <c r="AH163" s="54"/>
      <c r="AI163" s="55"/>
      <c r="AK163" s="56"/>
    </row>
    <row r="164" spans="1:37" x14ac:dyDescent="0.25">
      <c r="A164" s="164" t="s">
        <v>187</v>
      </c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100">
        <v>4.5</v>
      </c>
      <c r="AH164" s="54"/>
      <c r="AI164" s="55"/>
      <c r="AK164" s="56"/>
    </row>
    <row r="165" spans="1:37" x14ac:dyDescent="0.25">
      <c r="A165" s="164" t="s">
        <v>188</v>
      </c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100">
        <v>4.4550000000000001</v>
      </c>
      <c r="AH165" s="54"/>
      <c r="AI165" s="55"/>
      <c r="AK165" s="56"/>
    </row>
    <row r="166" spans="1:37" x14ac:dyDescent="0.25">
      <c r="A166" s="164" t="s">
        <v>189</v>
      </c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100">
        <v>4.41</v>
      </c>
      <c r="AH166" s="54"/>
      <c r="AI166" s="55"/>
      <c r="AK166" s="56"/>
    </row>
    <row r="167" spans="1:37" x14ac:dyDescent="0.25">
      <c r="A167" s="164" t="s">
        <v>190</v>
      </c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100">
        <v>4.4000000000000004</v>
      </c>
      <c r="AH167" s="54"/>
      <c r="AI167" s="55"/>
      <c r="AK167" s="56"/>
    </row>
    <row r="168" spans="1:37" x14ac:dyDescent="0.25">
      <c r="A168" s="164" t="s">
        <v>191</v>
      </c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100">
        <v>4.3600000000000003</v>
      </c>
      <c r="AH168" s="54"/>
      <c r="AI168" s="55"/>
      <c r="AK168" s="56"/>
    </row>
    <row r="169" spans="1:37" x14ac:dyDescent="0.25">
      <c r="A169" s="164" t="s">
        <v>192</v>
      </c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100">
        <v>4.2</v>
      </c>
      <c r="AH169" s="54"/>
      <c r="AI169" s="55"/>
      <c r="AK169" s="56"/>
    </row>
    <row r="170" spans="1:37" x14ac:dyDescent="0.25">
      <c r="A170" s="164" t="s">
        <v>193</v>
      </c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100">
        <v>4</v>
      </c>
      <c r="AH170" s="54"/>
      <c r="AI170" s="55"/>
      <c r="AK170" s="56"/>
    </row>
    <row r="171" spans="1:37" x14ac:dyDescent="0.25">
      <c r="A171" s="164" t="s">
        <v>194</v>
      </c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100">
        <v>4</v>
      </c>
      <c r="AH171" s="54"/>
      <c r="AI171" s="55"/>
      <c r="AK171" s="56"/>
    </row>
    <row r="172" spans="1:37" x14ac:dyDescent="0.25">
      <c r="A172" s="164" t="s">
        <v>195</v>
      </c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100">
        <v>4</v>
      </c>
      <c r="AH172" s="54"/>
      <c r="AI172" s="55"/>
      <c r="AK172" s="56"/>
    </row>
    <row r="173" spans="1:37" x14ac:dyDescent="0.25">
      <c r="A173" s="164" t="s">
        <v>196</v>
      </c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100">
        <v>4</v>
      </c>
      <c r="AH173" s="54"/>
      <c r="AI173" s="55"/>
      <c r="AK173" s="56"/>
    </row>
    <row r="174" spans="1:37" x14ac:dyDescent="0.25">
      <c r="A174" s="164" t="s">
        <v>197</v>
      </c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100">
        <v>4</v>
      </c>
      <c r="AH174" s="54"/>
      <c r="AI174" s="55"/>
      <c r="AK174" s="56"/>
    </row>
    <row r="175" spans="1:37" x14ac:dyDescent="0.25">
      <c r="A175" s="164" t="s">
        <v>198</v>
      </c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100">
        <v>4</v>
      </c>
      <c r="AH175" s="54"/>
      <c r="AI175" s="55"/>
      <c r="AK175" s="56"/>
    </row>
    <row r="176" spans="1:37" x14ac:dyDescent="0.25">
      <c r="A176" s="164" t="s">
        <v>199</v>
      </c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100">
        <v>4</v>
      </c>
      <c r="AH176" s="54"/>
      <c r="AI176" s="55"/>
      <c r="AK176" s="56"/>
    </row>
    <row r="177" spans="1:37" x14ac:dyDescent="0.25">
      <c r="A177" s="164" t="s">
        <v>200</v>
      </c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100">
        <v>4</v>
      </c>
      <c r="AH177" s="54"/>
      <c r="AI177" s="55"/>
      <c r="AK177" s="56"/>
    </row>
    <row r="178" spans="1:37" x14ac:dyDescent="0.25">
      <c r="A178" s="164" t="s">
        <v>201</v>
      </c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100">
        <v>3.75</v>
      </c>
      <c r="AH178" s="54"/>
      <c r="AI178" s="55"/>
      <c r="AK178" s="56"/>
    </row>
    <row r="179" spans="1:37" x14ac:dyDescent="0.25">
      <c r="A179" s="164" t="s">
        <v>202</v>
      </c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100">
        <v>3.52</v>
      </c>
      <c r="AH179" s="54"/>
      <c r="AI179" s="55"/>
      <c r="AK179" s="56"/>
    </row>
    <row r="180" spans="1:37" x14ac:dyDescent="0.25">
      <c r="A180" s="164" t="s">
        <v>203</v>
      </c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100">
        <v>3.33</v>
      </c>
      <c r="AH180" s="54"/>
      <c r="AI180" s="55"/>
      <c r="AK180" s="56"/>
    </row>
    <row r="181" spans="1:37" x14ac:dyDescent="0.25">
      <c r="A181" s="164" t="s">
        <v>204</v>
      </c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100">
        <v>3.2</v>
      </c>
      <c r="AH181" s="54"/>
      <c r="AI181" s="55"/>
      <c r="AK181" s="56"/>
    </row>
    <row r="182" spans="1:37" x14ac:dyDescent="0.25">
      <c r="A182" s="164" t="s">
        <v>205</v>
      </c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100">
        <v>3</v>
      </c>
      <c r="AH182" s="54"/>
      <c r="AI182" s="55"/>
      <c r="AK182" s="56"/>
    </row>
    <row r="183" spans="1:37" x14ac:dyDescent="0.25">
      <c r="A183" s="164" t="s">
        <v>206</v>
      </c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100">
        <v>3</v>
      </c>
      <c r="AH183" s="54"/>
      <c r="AI183" s="55"/>
      <c r="AK183" s="56"/>
    </row>
    <row r="184" spans="1:37" x14ac:dyDescent="0.25">
      <c r="A184" s="164" t="s">
        <v>207</v>
      </c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100">
        <v>3</v>
      </c>
      <c r="AH184" s="54"/>
      <c r="AI184" s="55"/>
      <c r="AK184" s="56"/>
    </row>
    <row r="185" spans="1:37" x14ac:dyDescent="0.25">
      <c r="A185" s="164" t="s">
        <v>208</v>
      </c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100">
        <v>3</v>
      </c>
      <c r="AH185" s="54"/>
      <c r="AI185" s="55"/>
      <c r="AK185" s="56"/>
    </row>
    <row r="186" spans="1:37" x14ac:dyDescent="0.25">
      <c r="A186" s="164" t="s">
        <v>209</v>
      </c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100">
        <v>3</v>
      </c>
      <c r="AH186" s="54"/>
      <c r="AI186" s="55"/>
      <c r="AK186" s="56"/>
    </row>
    <row r="187" spans="1:37" x14ac:dyDescent="0.25">
      <c r="A187" s="164" t="s">
        <v>210</v>
      </c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100">
        <v>3</v>
      </c>
      <c r="AH187" s="54"/>
      <c r="AI187" s="55"/>
      <c r="AK187" s="56"/>
    </row>
    <row r="188" spans="1:37" x14ac:dyDescent="0.25">
      <c r="A188" s="164" t="s">
        <v>211</v>
      </c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100">
        <v>3</v>
      </c>
      <c r="AH188" s="54"/>
      <c r="AI188" s="55"/>
      <c r="AK188" s="56"/>
    </row>
    <row r="189" spans="1:37" x14ac:dyDescent="0.25">
      <c r="A189" s="164" t="s">
        <v>212</v>
      </c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100">
        <v>3</v>
      </c>
      <c r="AH189" s="54"/>
      <c r="AI189" s="55"/>
      <c r="AK189" s="56"/>
    </row>
    <row r="190" spans="1:37" x14ac:dyDescent="0.25">
      <c r="A190" s="164" t="s">
        <v>213</v>
      </c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100">
        <v>2.83</v>
      </c>
      <c r="AH190" s="54"/>
      <c r="AI190" s="55"/>
      <c r="AK190" s="56"/>
    </row>
    <row r="191" spans="1:37" x14ac:dyDescent="0.25">
      <c r="A191" s="164" t="s">
        <v>214</v>
      </c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100">
        <v>2.5</v>
      </c>
      <c r="AH191" s="54"/>
      <c r="AI191" s="55"/>
      <c r="AK191" s="56"/>
    </row>
    <row r="192" spans="1:37" x14ac:dyDescent="0.25">
      <c r="A192" s="164" t="s">
        <v>215</v>
      </c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100">
        <v>2.5</v>
      </c>
      <c r="AH192" s="54"/>
      <c r="AI192" s="55"/>
      <c r="AK192" s="56"/>
    </row>
    <row r="193" spans="1:37" x14ac:dyDescent="0.25">
      <c r="A193" s="164" t="s">
        <v>216</v>
      </c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100">
        <v>2.4</v>
      </c>
      <c r="AH193" s="54"/>
      <c r="AI193" s="55"/>
      <c r="AK193" s="56"/>
    </row>
    <row r="194" spans="1:37" x14ac:dyDescent="0.25">
      <c r="A194" s="164" t="s">
        <v>217</v>
      </c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100">
        <v>2.4</v>
      </c>
      <c r="AH194" s="54"/>
      <c r="AI194" s="55"/>
      <c r="AK194" s="56"/>
    </row>
    <row r="195" spans="1:37" x14ac:dyDescent="0.25">
      <c r="A195" s="164" t="s">
        <v>218</v>
      </c>
      <c r="B195" s="97"/>
      <c r="C195" s="9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100">
        <v>2.2000000000000002</v>
      </c>
      <c r="AH195" s="54"/>
      <c r="AI195" s="55"/>
      <c r="AK195" s="56"/>
    </row>
    <row r="196" spans="1:37" x14ac:dyDescent="0.25">
      <c r="A196" s="164" t="s">
        <v>219</v>
      </c>
      <c r="B196" s="97"/>
      <c r="C196" s="9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100">
        <v>2</v>
      </c>
      <c r="AH196" s="54"/>
      <c r="AI196" s="55"/>
      <c r="AK196" s="56"/>
    </row>
    <row r="197" spans="1:37" x14ac:dyDescent="0.25">
      <c r="A197" s="164" t="s">
        <v>220</v>
      </c>
      <c r="B197" s="97"/>
      <c r="C197" s="9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100">
        <v>2</v>
      </c>
      <c r="AH197" s="54"/>
      <c r="AI197" s="55"/>
      <c r="AK197" s="56"/>
    </row>
    <row r="198" spans="1:37" x14ac:dyDescent="0.25">
      <c r="A198" s="164" t="s">
        <v>221</v>
      </c>
      <c r="B198" s="97"/>
      <c r="C198" s="9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100">
        <v>2</v>
      </c>
      <c r="AH198" s="54"/>
      <c r="AI198" s="55"/>
      <c r="AK198" s="56"/>
    </row>
    <row r="199" spans="1:37" x14ac:dyDescent="0.25">
      <c r="A199" s="164" t="s">
        <v>222</v>
      </c>
      <c r="B199" s="97"/>
      <c r="C199" s="9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100">
        <v>1.8</v>
      </c>
      <c r="AH199" s="54"/>
      <c r="AI199" s="55"/>
      <c r="AK199" s="56"/>
    </row>
    <row r="200" spans="1:37" x14ac:dyDescent="0.25">
      <c r="A200" s="164" t="s">
        <v>223</v>
      </c>
      <c r="B200" s="97"/>
      <c r="C200" s="9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100">
        <v>1.8</v>
      </c>
      <c r="AH200" s="54"/>
      <c r="AI200" s="55"/>
      <c r="AK200" s="56"/>
    </row>
    <row r="201" spans="1:37" x14ac:dyDescent="0.25">
      <c r="A201" s="164" t="s">
        <v>224</v>
      </c>
      <c r="B201" s="97"/>
      <c r="C201" s="9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100">
        <v>1.65</v>
      </c>
      <c r="AH201" s="54"/>
      <c r="AI201" s="55"/>
      <c r="AK201" s="56"/>
    </row>
    <row r="202" spans="1:37" x14ac:dyDescent="0.25">
      <c r="A202" s="164" t="s">
        <v>225</v>
      </c>
      <c r="B202" s="97"/>
      <c r="C202" s="9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100">
        <v>1.5</v>
      </c>
      <c r="AH202" s="54"/>
      <c r="AI202" s="55"/>
      <c r="AK202" s="56"/>
    </row>
    <row r="203" spans="1:37" x14ac:dyDescent="0.25">
      <c r="A203" s="164" t="s">
        <v>226</v>
      </c>
      <c r="B203" s="97"/>
      <c r="C203" s="9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100">
        <v>0.998</v>
      </c>
      <c r="AH203" s="54"/>
      <c r="AI203" s="55"/>
      <c r="AK203" s="56"/>
    </row>
    <row r="204" spans="1:37" x14ac:dyDescent="0.25">
      <c r="A204" s="164" t="s">
        <v>227</v>
      </c>
      <c r="B204" s="97"/>
      <c r="C204" s="9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100">
        <v>0.997</v>
      </c>
      <c r="AH204" s="54"/>
      <c r="AI204" s="55"/>
      <c r="AK204" s="56"/>
    </row>
    <row r="205" spans="1:37" x14ac:dyDescent="0.25">
      <c r="A205" s="164" t="s">
        <v>228</v>
      </c>
      <c r="B205" s="97"/>
      <c r="C205" s="9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100">
        <v>0.997</v>
      </c>
      <c r="AH205" s="54"/>
      <c r="AI205" s="55"/>
      <c r="AK205" s="56"/>
    </row>
    <row r="206" spans="1:37" x14ac:dyDescent="0.25">
      <c r="A206" s="164" t="s">
        <v>229</v>
      </c>
      <c r="B206" s="97"/>
      <c r="C206" s="9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100">
        <v>0.996</v>
      </c>
      <c r="AH206" s="54"/>
      <c r="AI206" s="55"/>
      <c r="AK206" s="56"/>
    </row>
    <row r="207" spans="1:37" x14ac:dyDescent="0.25">
      <c r="A207" s="164" t="s">
        <v>230</v>
      </c>
      <c r="B207" s="97"/>
      <c r="C207" s="9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100">
        <v>0.996</v>
      </c>
      <c r="AH207" s="54"/>
      <c r="AI207" s="55"/>
      <c r="AK207" s="56"/>
    </row>
    <row r="208" spans="1:37" x14ac:dyDescent="0.25">
      <c r="A208" s="164" t="s">
        <v>231</v>
      </c>
      <c r="B208" s="97"/>
      <c r="C208" s="9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100">
        <v>0.996</v>
      </c>
      <c r="AH208" s="54"/>
      <c r="AI208" s="55"/>
      <c r="AK208" s="56"/>
    </row>
    <row r="209" spans="1:37" x14ac:dyDescent="0.25">
      <c r="A209" s="164" t="s">
        <v>232</v>
      </c>
      <c r="B209" s="97"/>
      <c r="C209" s="9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100">
        <v>0.995</v>
      </c>
      <c r="AH209" s="54"/>
      <c r="AI209" s="55"/>
      <c r="AK209" s="56"/>
    </row>
    <row r="210" spans="1:37" x14ac:dyDescent="0.25">
      <c r="A210" s="164" t="s">
        <v>233</v>
      </c>
      <c r="B210" s="97"/>
      <c r="C210" s="98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100">
        <v>0.99299999999999999</v>
      </c>
      <c r="AH210" s="54"/>
      <c r="AI210" s="55"/>
      <c r="AK210" s="56"/>
    </row>
    <row r="211" spans="1:37" x14ac:dyDescent="0.25">
      <c r="A211" s="164" t="s">
        <v>234</v>
      </c>
      <c r="B211" s="97"/>
      <c r="C211" s="53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  <c r="AF211" s="97"/>
      <c r="AG211" s="100">
        <v>0.99</v>
      </c>
      <c r="AH211" s="54"/>
      <c r="AI211" s="55"/>
      <c r="AK211" s="56"/>
    </row>
    <row r="212" spans="1:37" ht="15.75" thickBot="1" x14ac:dyDescent="0.3">
      <c r="A212" s="164" t="s">
        <v>235</v>
      </c>
      <c r="B212" s="102"/>
      <c r="C212" s="166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0">
        <v>0.97899999999999998</v>
      </c>
      <c r="AH212" s="54"/>
      <c r="AI212" s="55"/>
      <c r="AK212" s="56"/>
    </row>
    <row r="213" spans="1:37" ht="15.75" thickBot="1" x14ac:dyDescent="0.3">
      <c r="A213" s="165" t="s">
        <v>82</v>
      </c>
      <c r="B213" s="167">
        <f>SUM(B108:B212)</f>
        <v>0</v>
      </c>
      <c r="C213" s="103">
        <f t="shared" ref="C213:AG213" si="31">SUM(C108:C212)</f>
        <v>0</v>
      </c>
      <c r="D213" s="103">
        <f t="shared" si="31"/>
        <v>0</v>
      </c>
      <c r="E213" s="103">
        <f t="shared" si="31"/>
        <v>0</v>
      </c>
      <c r="F213" s="103">
        <f t="shared" si="31"/>
        <v>0</v>
      </c>
      <c r="G213" s="103">
        <f t="shared" si="31"/>
        <v>0</v>
      </c>
      <c r="H213" s="103">
        <f t="shared" si="31"/>
        <v>0</v>
      </c>
      <c r="I213" s="103">
        <f t="shared" si="31"/>
        <v>0</v>
      </c>
      <c r="J213" s="103">
        <f t="shared" si="31"/>
        <v>0</v>
      </c>
      <c r="K213" s="103">
        <f t="shared" si="31"/>
        <v>0</v>
      </c>
      <c r="L213" s="103">
        <f t="shared" si="31"/>
        <v>0</v>
      </c>
      <c r="M213" s="103">
        <f t="shared" si="31"/>
        <v>0</v>
      </c>
      <c r="N213" s="103">
        <f t="shared" si="31"/>
        <v>0</v>
      </c>
      <c r="O213" s="103">
        <f t="shared" si="31"/>
        <v>0</v>
      </c>
      <c r="P213" s="103">
        <f t="shared" si="31"/>
        <v>0</v>
      </c>
      <c r="Q213" s="103">
        <f t="shared" si="31"/>
        <v>0</v>
      </c>
      <c r="R213" s="103">
        <f t="shared" si="31"/>
        <v>0</v>
      </c>
      <c r="S213" s="103">
        <f t="shared" si="31"/>
        <v>0</v>
      </c>
      <c r="T213" s="103">
        <f t="shared" si="31"/>
        <v>0</v>
      </c>
      <c r="U213" s="103">
        <f t="shared" si="31"/>
        <v>0</v>
      </c>
      <c r="V213" s="103">
        <f t="shared" si="31"/>
        <v>0</v>
      </c>
      <c r="W213" s="103">
        <f t="shared" si="31"/>
        <v>0</v>
      </c>
      <c r="X213" s="103">
        <f t="shared" si="31"/>
        <v>0</v>
      </c>
      <c r="Y213" s="103">
        <f t="shared" si="31"/>
        <v>0</v>
      </c>
      <c r="Z213" s="103">
        <f t="shared" si="31"/>
        <v>0</v>
      </c>
      <c r="AA213" s="103">
        <f t="shared" si="31"/>
        <v>0</v>
      </c>
      <c r="AB213" s="103">
        <f t="shared" si="31"/>
        <v>0</v>
      </c>
      <c r="AC213" s="103">
        <f t="shared" si="31"/>
        <v>0</v>
      </c>
      <c r="AD213" s="103">
        <f t="shared" si="31"/>
        <v>0</v>
      </c>
      <c r="AE213" s="103">
        <f t="shared" si="31"/>
        <v>0</v>
      </c>
      <c r="AF213" s="168">
        <f t="shared" si="31"/>
        <v>0</v>
      </c>
      <c r="AG213" s="169">
        <f t="shared" si="31"/>
        <v>412.72299999999984</v>
      </c>
      <c r="AH213" s="54"/>
      <c r="AI213" s="55"/>
      <c r="AK213" s="56"/>
    </row>
    <row r="214" spans="1:37" ht="15.75" thickBot="1" x14ac:dyDescent="0.3">
      <c r="A214" s="28" t="s">
        <v>35</v>
      </c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149"/>
      <c r="AH214" s="54"/>
      <c r="AI214" s="55"/>
      <c r="AK214" s="56"/>
    </row>
    <row r="215" spans="1:37" x14ac:dyDescent="0.25">
      <c r="A215" s="170" t="s">
        <v>83</v>
      </c>
      <c r="B215" s="101">
        <f t="shared" ref="B215:B220" si="32">AF215</f>
        <v>0</v>
      </c>
      <c r="C215" s="101">
        <v>0.3</v>
      </c>
      <c r="D215" s="101">
        <f t="shared" ref="D215:P220" si="33">C215</f>
        <v>0.3</v>
      </c>
      <c r="E215" s="101">
        <f t="shared" si="33"/>
        <v>0.3</v>
      </c>
      <c r="F215" s="101">
        <f t="shared" si="33"/>
        <v>0.3</v>
      </c>
      <c r="G215" s="101">
        <f t="shared" si="33"/>
        <v>0.3</v>
      </c>
      <c r="H215" s="101">
        <f t="shared" si="33"/>
        <v>0.3</v>
      </c>
      <c r="I215" s="101">
        <f t="shared" si="33"/>
        <v>0.3</v>
      </c>
      <c r="J215" s="101">
        <f t="shared" si="33"/>
        <v>0.3</v>
      </c>
      <c r="K215" s="101">
        <f t="shared" si="33"/>
        <v>0.3</v>
      </c>
      <c r="L215" s="101">
        <f t="shared" si="33"/>
        <v>0.3</v>
      </c>
      <c r="M215" s="101">
        <f t="shared" si="33"/>
        <v>0.3</v>
      </c>
      <c r="N215" s="101">
        <f t="shared" si="33"/>
        <v>0.3</v>
      </c>
      <c r="O215" s="101">
        <f t="shared" si="33"/>
        <v>0.3</v>
      </c>
      <c r="P215" s="101">
        <f t="shared" si="33"/>
        <v>0.3</v>
      </c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  <c r="AE215" s="101"/>
      <c r="AF215" s="101"/>
      <c r="AG215" s="155">
        <v>2.4</v>
      </c>
      <c r="AH215" s="54"/>
      <c r="AI215" s="55"/>
      <c r="AK215" s="56"/>
    </row>
    <row r="216" spans="1:37" x14ac:dyDescent="0.25">
      <c r="A216" s="163" t="s">
        <v>84</v>
      </c>
      <c r="B216" s="97">
        <f t="shared" si="32"/>
        <v>0</v>
      </c>
      <c r="C216" s="97">
        <v>0.4</v>
      </c>
      <c r="D216" s="97">
        <f t="shared" si="33"/>
        <v>0.4</v>
      </c>
      <c r="E216" s="97">
        <f t="shared" si="33"/>
        <v>0.4</v>
      </c>
      <c r="F216" s="97">
        <f t="shared" si="33"/>
        <v>0.4</v>
      </c>
      <c r="G216" s="97">
        <f t="shared" si="33"/>
        <v>0.4</v>
      </c>
      <c r="H216" s="97">
        <f t="shared" si="33"/>
        <v>0.4</v>
      </c>
      <c r="I216" s="97">
        <f t="shared" si="33"/>
        <v>0.4</v>
      </c>
      <c r="J216" s="97">
        <f t="shared" si="33"/>
        <v>0.4</v>
      </c>
      <c r="K216" s="97">
        <f t="shared" si="33"/>
        <v>0.4</v>
      </c>
      <c r="L216" s="97">
        <f t="shared" si="33"/>
        <v>0.4</v>
      </c>
      <c r="M216" s="97">
        <f t="shared" si="33"/>
        <v>0.4</v>
      </c>
      <c r="N216" s="97">
        <f t="shared" si="33"/>
        <v>0.4</v>
      </c>
      <c r="O216" s="97">
        <f t="shared" si="33"/>
        <v>0.4</v>
      </c>
      <c r="P216" s="97">
        <f t="shared" si="33"/>
        <v>0.4</v>
      </c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156">
        <v>2</v>
      </c>
      <c r="AH216" s="54"/>
      <c r="AI216" s="55"/>
      <c r="AK216" s="56"/>
    </row>
    <row r="217" spans="1:37" x14ac:dyDescent="0.25">
      <c r="A217" s="163" t="s">
        <v>85</v>
      </c>
      <c r="B217" s="97">
        <f t="shared" si="32"/>
        <v>0</v>
      </c>
      <c r="C217" s="97">
        <v>1.5</v>
      </c>
      <c r="D217" s="97">
        <f t="shared" si="33"/>
        <v>1.5</v>
      </c>
      <c r="E217" s="97">
        <f t="shared" si="33"/>
        <v>1.5</v>
      </c>
      <c r="F217" s="97">
        <f t="shared" si="33"/>
        <v>1.5</v>
      </c>
      <c r="G217" s="97">
        <f t="shared" si="33"/>
        <v>1.5</v>
      </c>
      <c r="H217" s="97">
        <f t="shared" si="33"/>
        <v>1.5</v>
      </c>
      <c r="I217" s="97">
        <f t="shared" si="33"/>
        <v>1.5</v>
      </c>
      <c r="J217" s="97">
        <f t="shared" si="33"/>
        <v>1.5</v>
      </c>
      <c r="K217" s="97">
        <f t="shared" si="33"/>
        <v>1.5</v>
      </c>
      <c r="L217" s="97">
        <f t="shared" si="33"/>
        <v>1.5</v>
      </c>
      <c r="M217" s="97">
        <f t="shared" si="33"/>
        <v>1.5</v>
      </c>
      <c r="N217" s="97">
        <f t="shared" si="33"/>
        <v>1.5</v>
      </c>
      <c r="O217" s="97">
        <f t="shared" si="33"/>
        <v>1.5</v>
      </c>
      <c r="P217" s="97">
        <f t="shared" si="33"/>
        <v>1.5</v>
      </c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156">
        <v>1.5</v>
      </c>
      <c r="AH217" s="54"/>
      <c r="AI217" s="55"/>
      <c r="AK217" s="56"/>
    </row>
    <row r="218" spans="1:37" x14ac:dyDescent="0.25">
      <c r="A218" s="163" t="s">
        <v>86</v>
      </c>
      <c r="B218" s="97">
        <f t="shared" si="32"/>
        <v>0</v>
      </c>
      <c r="C218" s="97">
        <v>0.3</v>
      </c>
      <c r="D218" s="97">
        <f t="shared" si="33"/>
        <v>0.3</v>
      </c>
      <c r="E218" s="97">
        <f t="shared" si="33"/>
        <v>0.3</v>
      </c>
      <c r="F218" s="97">
        <f t="shared" si="33"/>
        <v>0.3</v>
      </c>
      <c r="G218" s="97">
        <f t="shared" si="33"/>
        <v>0.3</v>
      </c>
      <c r="H218" s="97">
        <f t="shared" si="33"/>
        <v>0.3</v>
      </c>
      <c r="I218" s="97">
        <f t="shared" si="33"/>
        <v>0.3</v>
      </c>
      <c r="J218" s="97">
        <f t="shared" si="33"/>
        <v>0.3</v>
      </c>
      <c r="K218" s="97">
        <f t="shared" si="33"/>
        <v>0.3</v>
      </c>
      <c r="L218" s="97">
        <f t="shared" si="33"/>
        <v>0.3</v>
      </c>
      <c r="M218" s="97">
        <f t="shared" si="33"/>
        <v>0.3</v>
      </c>
      <c r="N218" s="97">
        <f t="shared" si="33"/>
        <v>0.3</v>
      </c>
      <c r="O218" s="97">
        <f t="shared" si="33"/>
        <v>0.3</v>
      </c>
      <c r="P218" s="97">
        <f t="shared" si="33"/>
        <v>0.3</v>
      </c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156">
        <v>1</v>
      </c>
      <c r="AH218" s="54"/>
      <c r="AI218" s="55"/>
      <c r="AK218" s="56"/>
    </row>
    <row r="219" spans="1:37" x14ac:dyDescent="0.25">
      <c r="A219" s="163" t="s">
        <v>87</v>
      </c>
      <c r="B219" s="97">
        <f t="shared" si="32"/>
        <v>0</v>
      </c>
      <c r="C219" s="97">
        <v>0.4</v>
      </c>
      <c r="D219" s="97">
        <f t="shared" si="33"/>
        <v>0.4</v>
      </c>
      <c r="E219" s="97">
        <f t="shared" si="33"/>
        <v>0.4</v>
      </c>
      <c r="F219" s="97">
        <f t="shared" si="33"/>
        <v>0.4</v>
      </c>
      <c r="G219" s="97">
        <f t="shared" si="33"/>
        <v>0.4</v>
      </c>
      <c r="H219" s="97">
        <f t="shared" si="33"/>
        <v>0.4</v>
      </c>
      <c r="I219" s="97">
        <f t="shared" si="33"/>
        <v>0.4</v>
      </c>
      <c r="J219" s="97">
        <f t="shared" si="33"/>
        <v>0.4</v>
      </c>
      <c r="K219" s="97">
        <f t="shared" si="33"/>
        <v>0.4</v>
      </c>
      <c r="L219" s="97">
        <f t="shared" si="33"/>
        <v>0.4</v>
      </c>
      <c r="M219" s="97">
        <f t="shared" si="33"/>
        <v>0.4</v>
      </c>
      <c r="N219" s="97">
        <f t="shared" si="33"/>
        <v>0.4</v>
      </c>
      <c r="O219" s="97">
        <f t="shared" si="33"/>
        <v>0.4</v>
      </c>
      <c r="P219" s="97">
        <f t="shared" si="33"/>
        <v>0.4</v>
      </c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  <c r="AE219" s="97"/>
      <c r="AF219" s="97"/>
      <c r="AG219" s="156">
        <v>1</v>
      </c>
      <c r="AH219" s="54"/>
      <c r="AI219" s="55"/>
      <c r="AK219" s="56"/>
    </row>
    <row r="220" spans="1:37" ht="15.75" thickBot="1" x14ac:dyDescent="0.3">
      <c r="A220" s="164" t="s">
        <v>88</v>
      </c>
      <c r="B220" s="102">
        <f t="shared" si="32"/>
        <v>0</v>
      </c>
      <c r="C220" s="102">
        <v>0.64</v>
      </c>
      <c r="D220" s="102">
        <f t="shared" si="33"/>
        <v>0.64</v>
      </c>
      <c r="E220" s="102">
        <f t="shared" si="33"/>
        <v>0.64</v>
      </c>
      <c r="F220" s="102">
        <f t="shared" si="33"/>
        <v>0.64</v>
      </c>
      <c r="G220" s="102">
        <f t="shared" si="33"/>
        <v>0.64</v>
      </c>
      <c r="H220" s="102">
        <f t="shared" si="33"/>
        <v>0.64</v>
      </c>
      <c r="I220" s="102">
        <f t="shared" si="33"/>
        <v>0.64</v>
      </c>
      <c r="J220" s="102">
        <f t="shared" si="33"/>
        <v>0.64</v>
      </c>
      <c r="K220" s="102">
        <f t="shared" si="33"/>
        <v>0.64</v>
      </c>
      <c r="L220" s="102">
        <f t="shared" si="33"/>
        <v>0.64</v>
      </c>
      <c r="M220" s="102">
        <f t="shared" si="33"/>
        <v>0.64</v>
      </c>
      <c r="N220" s="102">
        <f t="shared" si="33"/>
        <v>0.64</v>
      </c>
      <c r="O220" s="102">
        <f t="shared" si="33"/>
        <v>0.64</v>
      </c>
      <c r="P220" s="102">
        <f t="shared" si="33"/>
        <v>0.64</v>
      </c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57">
        <v>0.66</v>
      </c>
      <c r="AH220" s="54"/>
      <c r="AI220" s="55"/>
    </row>
    <row r="221" spans="1:37" ht="15.75" thickBot="1" x14ac:dyDescent="0.3">
      <c r="A221" s="173" t="s">
        <v>35</v>
      </c>
      <c r="B221" s="103">
        <f>SUM(B215:B220)</f>
        <v>0</v>
      </c>
      <c r="C221" s="103">
        <f>SUM(C215:C220)</f>
        <v>3.54</v>
      </c>
      <c r="D221" s="103">
        <f t="shared" ref="D221:L221" si="34">SUM(D215:D220)</f>
        <v>3.54</v>
      </c>
      <c r="E221" s="103">
        <f t="shared" si="34"/>
        <v>3.54</v>
      </c>
      <c r="F221" s="103">
        <f t="shared" si="34"/>
        <v>3.54</v>
      </c>
      <c r="G221" s="103">
        <f t="shared" si="34"/>
        <v>3.54</v>
      </c>
      <c r="H221" s="103">
        <f t="shared" si="34"/>
        <v>3.54</v>
      </c>
      <c r="I221" s="103">
        <f t="shared" si="34"/>
        <v>3.54</v>
      </c>
      <c r="J221" s="103">
        <f t="shared" si="34"/>
        <v>3.54</v>
      </c>
      <c r="K221" s="103">
        <f t="shared" si="34"/>
        <v>3.54</v>
      </c>
      <c r="L221" s="103">
        <f t="shared" si="34"/>
        <v>3.54</v>
      </c>
      <c r="M221" s="103">
        <f>SUM(M215:M220)</f>
        <v>3.54</v>
      </c>
      <c r="N221" s="103">
        <f t="shared" ref="N221:S221" si="35">SUM(N215:N220)</f>
        <v>3.54</v>
      </c>
      <c r="O221" s="103">
        <f t="shared" si="35"/>
        <v>3.54</v>
      </c>
      <c r="P221" s="103">
        <f t="shared" si="35"/>
        <v>3.54</v>
      </c>
      <c r="Q221" s="103">
        <f t="shared" si="35"/>
        <v>0</v>
      </c>
      <c r="R221" s="103">
        <f t="shared" si="35"/>
        <v>0</v>
      </c>
      <c r="S221" s="103">
        <f t="shared" si="35"/>
        <v>0</v>
      </c>
      <c r="T221" s="103">
        <f>SUM(T215:T220)</f>
        <v>0</v>
      </c>
      <c r="U221" s="103">
        <f t="shared" ref="U221:AG221" si="36">SUM(U215:U220)</f>
        <v>0</v>
      </c>
      <c r="V221" s="103">
        <f t="shared" si="36"/>
        <v>0</v>
      </c>
      <c r="W221" s="103">
        <f t="shared" si="36"/>
        <v>0</v>
      </c>
      <c r="X221" s="103">
        <f t="shared" si="36"/>
        <v>0</v>
      </c>
      <c r="Y221" s="103">
        <f t="shared" si="36"/>
        <v>0</v>
      </c>
      <c r="Z221" s="103">
        <f t="shared" si="36"/>
        <v>0</v>
      </c>
      <c r="AA221" s="103">
        <f t="shared" si="36"/>
        <v>0</v>
      </c>
      <c r="AB221" s="103">
        <f t="shared" si="36"/>
        <v>0</v>
      </c>
      <c r="AC221" s="103">
        <f t="shared" si="36"/>
        <v>0</v>
      </c>
      <c r="AD221" s="103">
        <f t="shared" si="36"/>
        <v>0</v>
      </c>
      <c r="AE221" s="103">
        <f t="shared" si="36"/>
        <v>0</v>
      </c>
      <c r="AF221" s="103">
        <f t="shared" si="36"/>
        <v>0</v>
      </c>
      <c r="AG221" s="158">
        <f t="shared" si="36"/>
        <v>8.56</v>
      </c>
      <c r="AH221" s="54"/>
      <c r="AI221" s="55"/>
    </row>
    <row r="222" spans="1:37" ht="15.75" thickBot="1" x14ac:dyDescent="0.3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84"/>
      <c r="AH222" s="47"/>
    </row>
    <row r="223" spans="1:37" x14ac:dyDescent="0.25">
      <c r="A223" s="79" t="s">
        <v>89</v>
      </c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  <c r="AE223" s="104"/>
      <c r="AF223" s="105"/>
      <c r="AG223" s="47"/>
      <c r="AH223" s="54"/>
      <c r="AI223" s="55"/>
    </row>
    <row r="224" spans="1:37" x14ac:dyDescent="0.25">
      <c r="A224" s="106" t="s">
        <v>90</v>
      </c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8"/>
      <c r="AG224" s="109"/>
      <c r="AH224" s="54"/>
      <c r="AI224" s="55"/>
    </row>
    <row r="225" spans="1:50" x14ac:dyDescent="0.25">
      <c r="A225" s="81" t="s">
        <v>91</v>
      </c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1"/>
      <c r="AG225" s="109"/>
      <c r="AH225" s="54"/>
      <c r="AI225" s="55"/>
    </row>
    <row r="226" spans="1:50" x14ac:dyDescent="0.25">
      <c r="A226" s="81" t="s">
        <v>92</v>
      </c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1"/>
      <c r="AG226" s="109"/>
      <c r="AH226" s="54"/>
      <c r="AI226" s="55"/>
    </row>
    <row r="227" spans="1:50" ht="15.75" thickBot="1" x14ac:dyDescent="0.3">
      <c r="A227" s="112" t="s">
        <v>93</v>
      </c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  <c r="AB227" s="113"/>
      <c r="AC227" s="113"/>
      <c r="AD227" s="113"/>
      <c r="AE227" s="113"/>
      <c r="AF227" s="114"/>
      <c r="AG227" s="109"/>
      <c r="AH227" s="54"/>
      <c r="AI227" s="55"/>
    </row>
    <row r="228" spans="1:50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50" x14ac:dyDescent="0.25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50" x14ac:dyDescent="0.25">
      <c r="A230" s="115" t="s">
        <v>94</v>
      </c>
      <c r="B230" s="116">
        <f>MAX(G79:N79)</f>
        <v>3.54</v>
      </c>
      <c r="C230" s="117">
        <f>INDEX(G9:N9,1,MATCH(MAX(G79:N79),G79:N79,0))</f>
        <v>0.20833333333333301</v>
      </c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50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118" t="str">
        <f ca="1">MID(CELL("filename",C7),FIND("]",CELL("filename",C7))+1,600)</f>
        <v>Sample_new</v>
      </c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50" x14ac:dyDescent="0.25">
      <c r="A232" s="208" t="s">
        <v>95</v>
      </c>
      <c r="B232" s="208"/>
      <c r="C232" s="47"/>
      <c r="D232" s="118" t="e">
        <f ca="1">"Pie Chart of Daily Peak Demand(Inclusive of Export) of Nepal ("&amp;A4&amp;" "&amp;B4&amp;")"</f>
        <v>#VALUE!</v>
      </c>
      <c r="E232" s="47"/>
      <c r="F232" s="47"/>
      <c r="G232" s="118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118" t="e">
        <f ca="1">"Daily Load Curve(Excluding of Export) of Nepal ("&amp;A4&amp;" "&amp;B4&amp;")"</f>
        <v>#VALUE!</v>
      </c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50" ht="12.75" customHeight="1" thickBot="1" x14ac:dyDescent="0.3">
      <c r="A233" s="119" t="s">
        <v>7</v>
      </c>
      <c r="B233" s="120"/>
      <c r="C233" s="47"/>
      <c r="D233" s="121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50" ht="15.75" thickTop="1" x14ac:dyDescent="0.25">
      <c r="A234" s="119" t="s">
        <v>96</v>
      </c>
      <c r="B234" s="120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122" t="s">
        <v>97</v>
      </c>
      <c r="T234" s="123">
        <v>0</v>
      </c>
      <c r="U234" s="124">
        <v>4.1666666666666664E-2</v>
      </c>
      <c r="V234" s="125">
        <v>8.3333333333333301E-2</v>
      </c>
      <c r="W234" s="125">
        <v>0.125</v>
      </c>
      <c r="X234" s="125">
        <v>0.16666666666666699</v>
      </c>
      <c r="Y234" s="125">
        <v>0.20833333333333301</v>
      </c>
      <c r="Z234" s="125">
        <v>0.22916666666666666</v>
      </c>
      <c r="AA234" s="125">
        <v>0.25</v>
      </c>
      <c r="AB234" s="125">
        <v>0.27083333333333331</v>
      </c>
      <c r="AC234" s="125">
        <v>0.29166666666666669</v>
      </c>
      <c r="AD234" s="125">
        <v>0.3125</v>
      </c>
      <c r="AE234" s="126">
        <v>0.33333333333333331</v>
      </c>
      <c r="AF234" s="126">
        <v>0.375</v>
      </c>
      <c r="AG234" s="126">
        <v>0.41666666666666702</v>
      </c>
      <c r="AH234" s="126">
        <v>0.45833333333333298</v>
      </c>
      <c r="AI234" s="126">
        <v>0.5</v>
      </c>
      <c r="AJ234" s="126">
        <v>0.54166666666666696</v>
      </c>
      <c r="AK234" s="126">
        <v>0.58333333333333304</v>
      </c>
      <c r="AL234" s="126">
        <v>0.625</v>
      </c>
      <c r="AM234" s="126">
        <v>0.66666666666666696</v>
      </c>
      <c r="AN234" s="126">
        <v>0.70833333333333304</v>
      </c>
      <c r="AO234" s="126">
        <v>0.72916666666666663</v>
      </c>
      <c r="AP234" s="126">
        <v>0.75</v>
      </c>
      <c r="AQ234" s="126">
        <v>0.77083333333333337</v>
      </c>
      <c r="AR234" s="126">
        <v>0.79166666666666663</v>
      </c>
      <c r="AS234" s="126">
        <v>0.8125</v>
      </c>
      <c r="AT234" s="125">
        <v>0.83333333333333337</v>
      </c>
      <c r="AU234" s="125">
        <v>0.85416666666666663</v>
      </c>
      <c r="AV234" s="125">
        <v>0.875</v>
      </c>
      <c r="AW234" s="125">
        <v>0.91666666666666696</v>
      </c>
      <c r="AX234" s="125">
        <v>0.95833333333333304</v>
      </c>
    </row>
    <row r="235" spans="1:50" x14ac:dyDescent="0.25">
      <c r="A235" s="119" t="s">
        <v>98</v>
      </c>
      <c r="B235" s="120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 t="s">
        <v>99</v>
      </c>
      <c r="T235" s="127">
        <f t="shared" ref="T235:AX235" si="37">B79</f>
        <v>3.54</v>
      </c>
      <c r="U235" s="127">
        <f t="shared" si="37"/>
        <v>3.54</v>
      </c>
      <c r="V235" s="127">
        <f t="shared" si="37"/>
        <v>3.54</v>
      </c>
      <c r="W235" s="127">
        <f t="shared" si="37"/>
        <v>3.54</v>
      </c>
      <c r="X235" s="127">
        <f t="shared" si="37"/>
        <v>3.54</v>
      </c>
      <c r="Y235" s="127">
        <f t="shared" si="37"/>
        <v>3.54</v>
      </c>
      <c r="Z235" s="127">
        <f t="shared" si="37"/>
        <v>3.54</v>
      </c>
      <c r="AA235" s="127">
        <f t="shared" si="37"/>
        <v>3.54</v>
      </c>
      <c r="AB235" s="127">
        <f t="shared" si="37"/>
        <v>3.54</v>
      </c>
      <c r="AC235" s="127">
        <f t="shared" si="37"/>
        <v>3.54</v>
      </c>
      <c r="AD235" s="127">
        <f t="shared" si="37"/>
        <v>3.54</v>
      </c>
      <c r="AE235" s="127">
        <f t="shared" si="37"/>
        <v>3.54</v>
      </c>
      <c r="AF235" s="127">
        <f t="shared" si="37"/>
        <v>3.54</v>
      </c>
      <c r="AG235" s="127">
        <f t="shared" si="37"/>
        <v>3.54</v>
      </c>
      <c r="AH235" s="127">
        <f t="shared" si="37"/>
        <v>3.54</v>
      </c>
      <c r="AI235" s="127">
        <f t="shared" si="37"/>
        <v>3.54</v>
      </c>
      <c r="AJ235" s="127">
        <f t="shared" si="37"/>
        <v>3.54</v>
      </c>
      <c r="AK235" s="127">
        <f t="shared" si="37"/>
        <v>3.54</v>
      </c>
      <c r="AL235" s="127">
        <f t="shared" si="37"/>
        <v>3.54</v>
      </c>
      <c r="AM235" s="127">
        <f t="shared" si="37"/>
        <v>3.54</v>
      </c>
      <c r="AN235" s="127">
        <f t="shared" si="37"/>
        <v>3.54</v>
      </c>
      <c r="AO235" s="127">
        <f t="shared" si="37"/>
        <v>3.54</v>
      </c>
      <c r="AP235" s="127">
        <f t="shared" si="37"/>
        <v>3.54</v>
      </c>
      <c r="AQ235" s="127">
        <f t="shared" si="37"/>
        <v>3.54</v>
      </c>
      <c r="AR235" s="127">
        <f t="shared" si="37"/>
        <v>3.54</v>
      </c>
      <c r="AS235" s="127">
        <f t="shared" si="37"/>
        <v>3.54</v>
      </c>
      <c r="AT235" s="127">
        <f t="shared" si="37"/>
        <v>3.54</v>
      </c>
      <c r="AU235" s="127">
        <f t="shared" si="37"/>
        <v>3.54</v>
      </c>
      <c r="AV235" s="127">
        <f t="shared" si="37"/>
        <v>3.54</v>
      </c>
      <c r="AW235" s="127">
        <f t="shared" si="37"/>
        <v>3.54</v>
      </c>
      <c r="AX235" s="127">
        <f t="shared" si="37"/>
        <v>3.54</v>
      </c>
    </row>
    <row r="236" spans="1:50" x14ac:dyDescent="0.25">
      <c r="A236" s="119" t="s">
        <v>100</v>
      </c>
      <c r="B236" s="120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</row>
    <row r="237" spans="1:50" x14ac:dyDescent="0.25">
      <c r="A237" s="119" t="s">
        <v>101</v>
      </c>
      <c r="B237" s="120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50" x14ac:dyDescent="0.25">
      <c r="A238" s="119" t="s">
        <v>102</v>
      </c>
      <c r="B238" s="120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50" x14ac:dyDescent="0.25">
      <c r="A239" s="119" t="s">
        <v>103</v>
      </c>
      <c r="B239" s="128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50" x14ac:dyDescent="0.25">
      <c r="A240" s="119" t="s">
        <v>104</v>
      </c>
      <c r="B240" s="120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1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1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1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1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1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</row>
    <row r="246" spans="1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</row>
    <row r="247" spans="1:36" x14ac:dyDescent="0.25"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J247"/>
    </row>
    <row r="248" spans="1:36" x14ac:dyDescent="0.25"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J248"/>
    </row>
    <row r="249" spans="1:36" x14ac:dyDescent="0.25"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J249"/>
    </row>
    <row r="250" spans="1:36" x14ac:dyDescent="0.25"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J250"/>
    </row>
    <row r="251" spans="1:36" x14ac:dyDescent="0.25"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J251"/>
    </row>
    <row r="252" spans="1:36" x14ac:dyDescent="0.25"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J252"/>
    </row>
    <row r="253" spans="1:36" x14ac:dyDescent="0.25"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J253"/>
    </row>
    <row r="254" spans="1:36" x14ac:dyDescent="0.25"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J254"/>
    </row>
    <row r="255" spans="1:36" x14ac:dyDescent="0.25"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J255"/>
    </row>
    <row r="256" spans="1:36" x14ac:dyDescent="0.25">
      <c r="A256" s="129" t="s">
        <v>89</v>
      </c>
      <c r="B256" s="130">
        <f t="shared" ref="B256:AE256" si="38">C220</f>
        <v>0.64</v>
      </c>
      <c r="C256" s="130">
        <f t="shared" si="38"/>
        <v>0.64</v>
      </c>
      <c r="D256" s="130">
        <f t="shared" si="38"/>
        <v>0.64</v>
      </c>
      <c r="E256" s="130">
        <f t="shared" si="38"/>
        <v>0.64</v>
      </c>
      <c r="F256" s="130">
        <f t="shared" si="38"/>
        <v>0.64</v>
      </c>
      <c r="G256" s="130">
        <f t="shared" si="38"/>
        <v>0.64</v>
      </c>
      <c r="H256" s="130">
        <f t="shared" si="38"/>
        <v>0.64</v>
      </c>
      <c r="I256" s="130">
        <f t="shared" si="38"/>
        <v>0.64</v>
      </c>
      <c r="J256" s="130">
        <f t="shared" si="38"/>
        <v>0.64</v>
      </c>
      <c r="K256" s="130">
        <f t="shared" si="38"/>
        <v>0.64</v>
      </c>
      <c r="L256" s="130">
        <f t="shared" si="38"/>
        <v>0.64</v>
      </c>
      <c r="M256" s="130">
        <f t="shared" si="38"/>
        <v>0.64</v>
      </c>
      <c r="N256" s="130">
        <f t="shared" si="38"/>
        <v>0.64</v>
      </c>
      <c r="O256" s="130">
        <f t="shared" si="38"/>
        <v>0.64</v>
      </c>
      <c r="P256" s="130">
        <f t="shared" si="38"/>
        <v>0</v>
      </c>
      <c r="Q256" s="130">
        <f t="shared" si="38"/>
        <v>0</v>
      </c>
      <c r="R256" s="130">
        <f t="shared" si="38"/>
        <v>0</v>
      </c>
      <c r="S256" s="130">
        <f t="shared" si="38"/>
        <v>0</v>
      </c>
      <c r="T256" s="130">
        <f t="shared" si="38"/>
        <v>0</v>
      </c>
      <c r="U256" s="130">
        <f t="shared" si="38"/>
        <v>0</v>
      </c>
      <c r="V256" s="130">
        <f t="shared" si="38"/>
        <v>0</v>
      </c>
      <c r="W256" s="130">
        <f t="shared" si="38"/>
        <v>0</v>
      </c>
      <c r="X256" s="130">
        <f t="shared" si="38"/>
        <v>0</v>
      </c>
      <c r="Y256" s="130">
        <f t="shared" si="38"/>
        <v>0</v>
      </c>
      <c r="Z256" s="130">
        <f t="shared" si="38"/>
        <v>0</v>
      </c>
      <c r="AA256" s="130">
        <f t="shared" si="38"/>
        <v>0</v>
      </c>
      <c r="AB256" s="130">
        <f t="shared" si="38"/>
        <v>0</v>
      </c>
      <c r="AC256" s="130">
        <f t="shared" si="38"/>
        <v>0</v>
      </c>
      <c r="AD256" s="130">
        <f t="shared" si="38"/>
        <v>0</v>
      </c>
      <c r="AE256" s="130">
        <f t="shared" si="38"/>
        <v>0</v>
      </c>
      <c r="AF256" s="130">
        <f>B220</f>
        <v>0</v>
      </c>
      <c r="AG256" s="47"/>
      <c r="AH256" s="47"/>
      <c r="AJ256"/>
    </row>
    <row r="257" spans="1:36" x14ac:dyDescent="0.25">
      <c r="A257" s="88" t="str">
        <f>A224</f>
        <v>KGA</v>
      </c>
      <c r="B257" s="88" t="str">
        <f>IF(B224&lt;100,"",B224-520)</f>
        <v/>
      </c>
      <c r="C257" s="88" t="str">
        <f t="shared" ref="C257:AF257" si="39">IF(C224&lt;100,"",C224-520)</f>
        <v/>
      </c>
      <c r="D257" s="88" t="str">
        <f t="shared" si="39"/>
        <v/>
      </c>
      <c r="E257" s="88" t="str">
        <f t="shared" si="39"/>
        <v/>
      </c>
      <c r="F257" s="88" t="str">
        <f t="shared" si="39"/>
        <v/>
      </c>
      <c r="G257" s="88" t="str">
        <f t="shared" si="39"/>
        <v/>
      </c>
      <c r="H257" s="88" t="str">
        <f t="shared" si="39"/>
        <v/>
      </c>
      <c r="I257" s="88" t="str">
        <f t="shared" si="39"/>
        <v/>
      </c>
      <c r="J257" s="88" t="str">
        <f t="shared" si="39"/>
        <v/>
      </c>
      <c r="K257" s="88" t="str">
        <f t="shared" si="39"/>
        <v/>
      </c>
      <c r="L257" s="88" t="str">
        <f t="shared" si="39"/>
        <v/>
      </c>
      <c r="M257" s="88" t="str">
        <f t="shared" si="39"/>
        <v/>
      </c>
      <c r="N257" s="88" t="str">
        <f t="shared" si="39"/>
        <v/>
      </c>
      <c r="O257" s="88" t="str">
        <f t="shared" si="39"/>
        <v/>
      </c>
      <c r="P257" s="88" t="str">
        <f t="shared" si="39"/>
        <v/>
      </c>
      <c r="Q257" s="88" t="str">
        <f t="shared" si="39"/>
        <v/>
      </c>
      <c r="R257" s="88" t="str">
        <f t="shared" si="39"/>
        <v/>
      </c>
      <c r="S257" s="88" t="str">
        <f t="shared" si="39"/>
        <v/>
      </c>
      <c r="T257" s="88" t="str">
        <f t="shared" si="39"/>
        <v/>
      </c>
      <c r="U257" s="88" t="str">
        <f t="shared" si="39"/>
        <v/>
      </c>
      <c r="V257" s="88" t="str">
        <f t="shared" si="39"/>
        <v/>
      </c>
      <c r="W257" s="88" t="str">
        <f t="shared" si="39"/>
        <v/>
      </c>
      <c r="X257" s="88" t="str">
        <f t="shared" si="39"/>
        <v/>
      </c>
      <c r="Y257" s="88" t="str">
        <f t="shared" si="39"/>
        <v/>
      </c>
      <c r="Z257" s="88" t="str">
        <f t="shared" si="39"/>
        <v/>
      </c>
      <c r="AA257" s="88" t="str">
        <f t="shared" si="39"/>
        <v/>
      </c>
      <c r="AB257" s="88" t="str">
        <f t="shared" si="39"/>
        <v/>
      </c>
      <c r="AC257" s="88" t="str">
        <f t="shared" si="39"/>
        <v/>
      </c>
      <c r="AD257" s="88" t="str">
        <f t="shared" si="39"/>
        <v/>
      </c>
      <c r="AE257" s="88" t="str">
        <f t="shared" si="39"/>
        <v/>
      </c>
      <c r="AF257" s="88" t="str">
        <f t="shared" si="39"/>
        <v/>
      </c>
      <c r="AG257" s="47"/>
      <c r="AH257" s="47"/>
      <c r="AJ257"/>
    </row>
    <row r="258" spans="1:36" x14ac:dyDescent="0.25">
      <c r="A258" s="88" t="str">
        <f>A225</f>
        <v>MMRS</v>
      </c>
      <c r="B258" s="88" t="str">
        <f t="shared" ref="B258:AF258" si="40">IF(B225&lt;100,"",B225-620)</f>
        <v/>
      </c>
      <c r="C258" s="88" t="str">
        <f t="shared" si="40"/>
        <v/>
      </c>
      <c r="D258" s="88" t="str">
        <f t="shared" si="40"/>
        <v/>
      </c>
      <c r="E258" s="88" t="str">
        <f t="shared" si="40"/>
        <v/>
      </c>
      <c r="F258" s="88" t="str">
        <f t="shared" si="40"/>
        <v/>
      </c>
      <c r="G258" s="88" t="str">
        <f t="shared" si="40"/>
        <v/>
      </c>
      <c r="H258" s="88" t="str">
        <f t="shared" si="40"/>
        <v/>
      </c>
      <c r="I258" s="88" t="str">
        <f t="shared" si="40"/>
        <v/>
      </c>
      <c r="J258" s="88" t="str">
        <f t="shared" si="40"/>
        <v/>
      </c>
      <c r="K258" s="88" t="str">
        <f t="shared" si="40"/>
        <v/>
      </c>
      <c r="L258" s="88" t="str">
        <f t="shared" si="40"/>
        <v/>
      </c>
      <c r="M258" s="88" t="str">
        <f t="shared" si="40"/>
        <v/>
      </c>
      <c r="N258" s="88" t="str">
        <f t="shared" si="40"/>
        <v/>
      </c>
      <c r="O258" s="88" t="str">
        <f t="shared" si="40"/>
        <v/>
      </c>
      <c r="P258" s="88" t="str">
        <f t="shared" si="40"/>
        <v/>
      </c>
      <c r="Q258" s="88" t="str">
        <f t="shared" si="40"/>
        <v/>
      </c>
      <c r="R258" s="88" t="str">
        <f t="shared" si="40"/>
        <v/>
      </c>
      <c r="S258" s="88" t="str">
        <f t="shared" si="40"/>
        <v/>
      </c>
      <c r="T258" s="88" t="str">
        <f t="shared" si="40"/>
        <v/>
      </c>
      <c r="U258" s="88" t="str">
        <f t="shared" si="40"/>
        <v/>
      </c>
      <c r="V258" s="88" t="str">
        <f t="shared" si="40"/>
        <v/>
      </c>
      <c r="W258" s="88" t="str">
        <f t="shared" si="40"/>
        <v/>
      </c>
      <c r="X258" s="88" t="str">
        <f t="shared" si="40"/>
        <v/>
      </c>
      <c r="Y258" s="88" t="str">
        <f t="shared" si="40"/>
        <v/>
      </c>
      <c r="Z258" s="88" t="str">
        <f t="shared" si="40"/>
        <v/>
      </c>
      <c r="AA258" s="88" t="str">
        <f t="shared" si="40"/>
        <v/>
      </c>
      <c r="AB258" s="88" t="str">
        <f t="shared" si="40"/>
        <v/>
      </c>
      <c r="AC258" s="88" t="str">
        <f t="shared" si="40"/>
        <v/>
      </c>
      <c r="AD258" s="88" t="str">
        <f t="shared" si="40"/>
        <v/>
      </c>
      <c r="AE258" s="88" t="str">
        <f t="shared" si="40"/>
        <v/>
      </c>
      <c r="AF258" s="88" t="str">
        <f t="shared" si="40"/>
        <v/>
      </c>
      <c r="AG258" s="47"/>
      <c r="AH258" s="47"/>
      <c r="AJ258"/>
    </row>
    <row r="259" spans="1:36" x14ac:dyDescent="0.25">
      <c r="A259" s="88" t="str">
        <f>A226</f>
        <v>MRS</v>
      </c>
      <c r="B259" s="88" t="str">
        <f t="shared" ref="B259:AF259" si="41">IF(B226&lt;100,"",B226-330)</f>
        <v/>
      </c>
      <c r="C259" s="88" t="str">
        <f t="shared" si="41"/>
        <v/>
      </c>
      <c r="D259" s="88" t="str">
        <f t="shared" si="41"/>
        <v/>
      </c>
      <c r="E259" s="88" t="str">
        <f t="shared" si="41"/>
        <v/>
      </c>
      <c r="F259" s="88" t="str">
        <f t="shared" si="41"/>
        <v/>
      </c>
      <c r="G259" s="88" t="str">
        <f t="shared" si="41"/>
        <v/>
      </c>
      <c r="H259" s="88" t="str">
        <f t="shared" si="41"/>
        <v/>
      </c>
      <c r="I259" s="88" t="str">
        <f t="shared" si="41"/>
        <v/>
      </c>
      <c r="J259" s="88" t="str">
        <f t="shared" si="41"/>
        <v/>
      </c>
      <c r="K259" s="88" t="str">
        <f t="shared" si="41"/>
        <v/>
      </c>
      <c r="L259" s="88" t="str">
        <f t="shared" si="41"/>
        <v/>
      </c>
      <c r="M259" s="88" t="str">
        <f t="shared" si="41"/>
        <v/>
      </c>
      <c r="N259" s="88" t="str">
        <f t="shared" si="41"/>
        <v/>
      </c>
      <c r="O259" s="88" t="str">
        <f t="shared" si="41"/>
        <v/>
      </c>
      <c r="P259" s="88" t="str">
        <f t="shared" si="41"/>
        <v/>
      </c>
      <c r="Q259" s="88" t="str">
        <f t="shared" si="41"/>
        <v/>
      </c>
      <c r="R259" s="88" t="str">
        <f t="shared" si="41"/>
        <v/>
      </c>
      <c r="S259" s="88" t="str">
        <f t="shared" si="41"/>
        <v/>
      </c>
      <c r="T259" s="88" t="str">
        <f t="shared" si="41"/>
        <v/>
      </c>
      <c r="U259" s="88" t="str">
        <f t="shared" si="41"/>
        <v/>
      </c>
      <c r="V259" s="88" t="str">
        <f t="shared" si="41"/>
        <v/>
      </c>
      <c r="W259" s="88" t="str">
        <f t="shared" si="41"/>
        <v/>
      </c>
      <c r="X259" s="88" t="str">
        <f t="shared" si="41"/>
        <v/>
      </c>
      <c r="Y259" s="88" t="str">
        <f t="shared" si="41"/>
        <v/>
      </c>
      <c r="Z259" s="88" t="str">
        <f t="shared" si="41"/>
        <v/>
      </c>
      <c r="AA259" s="88" t="str">
        <f t="shared" si="41"/>
        <v/>
      </c>
      <c r="AB259" s="88" t="str">
        <f t="shared" si="41"/>
        <v/>
      </c>
      <c r="AC259" s="88" t="str">
        <f t="shared" si="41"/>
        <v/>
      </c>
      <c r="AD259" s="88" t="str">
        <f t="shared" si="41"/>
        <v/>
      </c>
      <c r="AE259" s="88" t="str">
        <f t="shared" si="41"/>
        <v/>
      </c>
      <c r="AF259" s="88" t="str">
        <f t="shared" si="41"/>
        <v/>
      </c>
      <c r="AG259" s="47"/>
      <c r="AH259" s="47"/>
      <c r="AJ259"/>
    </row>
    <row r="260" spans="1:36" x14ac:dyDescent="0.25">
      <c r="A260" s="88" t="str">
        <f>A227</f>
        <v>KL 1</v>
      </c>
      <c r="B260" s="88" t="str">
        <f>IF(B227&lt;100,"",B227-1500)</f>
        <v/>
      </c>
      <c r="C260" s="88" t="str">
        <f t="shared" ref="C260:AF260" si="42">IF(C227&lt;100,"",C227-1500)</f>
        <v/>
      </c>
      <c r="D260" s="88" t="str">
        <f t="shared" si="42"/>
        <v/>
      </c>
      <c r="E260" s="88" t="str">
        <f t="shared" si="42"/>
        <v/>
      </c>
      <c r="F260" s="88" t="str">
        <f t="shared" si="42"/>
        <v/>
      </c>
      <c r="G260" s="88" t="str">
        <f t="shared" si="42"/>
        <v/>
      </c>
      <c r="H260" s="88" t="str">
        <f t="shared" si="42"/>
        <v/>
      </c>
      <c r="I260" s="88" t="str">
        <f t="shared" si="42"/>
        <v/>
      </c>
      <c r="J260" s="88" t="str">
        <f t="shared" si="42"/>
        <v/>
      </c>
      <c r="K260" s="88" t="str">
        <f t="shared" si="42"/>
        <v/>
      </c>
      <c r="L260" s="88" t="str">
        <f t="shared" si="42"/>
        <v/>
      </c>
      <c r="M260" s="88" t="str">
        <f t="shared" si="42"/>
        <v/>
      </c>
      <c r="N260" s="88" t="str">
        <f t="shared" si="42"/>
        <v/>
      </c>
      <c r="O260" s="88" t="str">
        <f t="shared" si="42"/>
        <v/>
      </c>
      <c r="P260" s="88" t="str">
        <f t="shared" si="42"/>
        <v/>
      </c>
      <c r="Q260" s="88" t="str">
        <f t="shared" si="42"/>
        <v/>
      </c>
      <c r="R260" s="88" t="str">
        <f t="shared" si="42"/>
        <v/>
      </c>
      <c r="S260" s="88" t="str">
        <f t="shared" si="42"/>
        <v/>
      </c>
      <c r="T260" s="88" t="str">
        <f t="shared" si="42"/>
        <v/>
      </c>
      <c r="U260" s="88" t="str">
        <f t="shared" si="42"/>
        <v/>
      </c>
      <c r="V260" s="88" t="str">
        <f t="shared" si="42"/>
        <v/>
      </c>
      <c r="W260" s="88" t="str">
        <f t="shared" si="42"/>
        <v/>
      </c>
      <c r="X260" s="88" t="str">
        <f t="shared" si="42"/>
        <v/>
      </c>
      <c r="Y260" s="88" t="str">
        <f t="shared" si="42"/>
        <v/>
      </c>
      <c r="Z260" s="88" t="str">
        <f t="shared" si="42"/>
        <v/>
      </c>
      <c r="AA260" s="88" t="str">
        <f t="shared" si="42"/>
        <v/>
      </c>
      <c r="AB260" s="88" t="str">
        <f t="shared" si="42"/>
        <v/>
      </c>
      <c r="AC260" s="88" t="str">
        <f t="shared" si="42"/>
        <v/>
      </c>
      <c r="AD260" s="88" t="str">
        <f t="shared" si="42"/>
        <v/>
      </c>
      <c r="AE260" s="88" t="str">
        <f t="shared" si="42"/>
        <v/>
      </c>
      <c r="AF260" s="88" t="str">
        <f t="shared" si="42"/>
        <v/>
      </c>
      <c r="AG260" s="47"/>
      <c r="AH260" s="47"/>
      <c r="AJ260"/>
    </row>
    <row r="261" spans="1:36" x14ac:dyDescent="0.25"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J261"/>
    </row>
    <row r="262" spans="1:36" x14ac:dyDescent="0.25"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J262"/>
    </row>
    <row r="263" spans="1:36" x14ac:dyDescent="0.25"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J263"/>
    </row>
    <row r="264" spans="1:36" x14ac:dyDescent="0.25"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J264"/>
    </row>
    <row r="265" spans="1:36" x14ac:dyDescent="0.25"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J265"/>
    </row>
    <row r="266" spans="1:36" x14ac:dyDescent="0.25"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J266"/>
    </row>
    <row r="267" spans="1:36" x14ac:dyDescent="0.25"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J267"/>
    </row>
    <row r="491" spans="36:38" x14ac:dyDescent="0.25">
      <c r="AK491" s="1"/>
    </row>
    <row r="492" spans="36:38" x14ac:dyDescent="0.25">
      <c r="AK492" s="1"/>
      <c r="AL492" s="1"/>
    </row>
    <row r="493" spans="36:38" x14ac:dyDescent="0.25">
      <c r="AJ49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5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C99:AF105 T11:AF11 B9:AF10">
    <cfRule type="expression" dxfId="248" priority="253">
      <formula>B$9&gt;=20/24</formula>
    </cfRule>
    <cfRule type="expression" dxfId="247" priority="254">
      <formula>AND(B$9&gt;=14/24,B$9&lt;20/24)</formula>
    </cfRule>
    <cfRule type="expression" dxfId="246" priority="255">
      <formula>AND(B$9&gt;=8/24,B$9&lt;14/24)</formula>
    </cfRule>
    <cfRule type="expression" dxfId="245" priority="256">
      <formula>B$9&lt;8/24</formula>
    </cfRule>
  </conditionalFormatting>
  <conditionalFormatting sqref="AL4:AL6">
    <cfRule type="iconSet" priority="252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244" priority="248">
      <formula>S$9&gt;=20/24</formula>
    </cfRule>
    <cfRule type="expression" dxfId="243" priority="249">
      <formula>AND(S$9&gt;=14/24,S$9&lt;20/24)</formula>
    </cfRule>
    <cfRule type="expression" dxfId="242" priority="250">
      <formula>AND(S$9&gt;=8/24,S$9&lt;14/24)</formula>
    </cfRule>
    <cfRule type="expression" dxfId="241" priority="251">
      <formula>S$9&lt;8/24</formula>
    </cfRule>
  </conditionalFormatting>
  <conditionalFormatting sqref="AG55 S37:AF37 J11:AF11 O12:AF16 C11:D16 E16:N16 B12:B16 B35:AF35">
    <cfRule type="expression" dxfId="240" priority="247">
      <formula>B11&gt;$AG11</formula>
    </cfRule>
  </conditionalFormatting>
  <conditionalFormatting sqref="A89:A102 A11:A14 A49:A76 A85:A87 A191:A221 A16:A30 A36:A47 A107:A178 A32:A33 A81:A83 A78:A79">
    <cfRule type="expression" dxfId="239" priority="246">
      <formula>$AH11=0</formula>
    </cfRule>
  </conditionalFormatting>
  <conditionalFormatting sqref="A103">
    <cfRule type="expression" dxfId="238" priority="245">
      <formula>$AH103=0</formula>
    </cfRule>
  </conditionalFormatting>
  <conditionalFormatting sqref="AL3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237" priority="243">
      <formula>$AH35=0</formula>
    </cfRule>
  </conditionalFormatting>
  <conditionalFormatting sqref="A88">
    <cfRule type="expression" dxfId="236" priority="242">
      <formula>$AH88=0</formula>
    </cfRule>
  </conditionalFormatting>
  <conditionalFormatting sqref="A15">
    <cfRule type="expression" dxfId="235" priority="241">
      <formula>$AH15=0</formula>
    </cfRule>
  </conditionalFormatting>
  <conditionalFormatting sqref="A185:A190">
    <cfRule type="expression" dxfId="234" priority="240">
      <formula>$AH185=0</formula>
    </cfRule>
  </conditionalFormatting>
  <conditionalFormatting sqref="A179:A184">
    <cfRule type="expression" dxfId="233" priority="239">
      <formula>$AH179=0</formula>
    </cfRule>
  </conditionalFormatting>
  <conditionalFormatting sqref="A48">
    <cfRule type="expression" dxfId="232" priority="238">
      <formula>$AH48=0</formula>
    </cfRule>
  </conditionalFormatting>
  <conditionalFormatting sqref="A84">
    <cfRule type="expression" dxfId="231" priority="237">
      <formula>$AH84=0</formula>
    </cfRule>
  </conditionalFormatting>
  <conditionalFormatting sqref="C89:AF89">
    <cfRule type="expression" dxfId="230" priority="232">
      <formula>C$9&gt;=20/24</formula>
    </cfRule>
    <cfRule type="expression" dxfId="229" priority="233">
      <formula>AND(C$9&gt;=14/24,C$9&lt;20/24)</formula>
    </cfRule>
    <cfRule type="expression" dxfId="228" priority="234">
      <formula>AND(C$9&gt;=8/24,C$9&lt;14/24)</formula>
    </cfRule>
    <cfRule type="expression" dxfId="227" priority="235">
      <formula>C$9&lt;8/24</formula>
    </cfRule>
  </conditionalFormatting>
  <conditionalFormatting sqref="AL34">
    <cfRule type="iconSet" priority="23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26" priority="260">
      <formula>C$9&gt;=20/24</formula>
    </cfRule>
    <cfRule type="expression" dxfId="225" priority="261">
      <formula>AND(C$9&gt;=14/24,C$9&lt;20/24)</formula>
    </cfRule>
    <cfRule type="expression" dxfId="224" priority="262">
      <formula>AND(C$9&gt;=8/24,C$9&lt;14/24)</formula>
    </cfRule>
    <cfRule type="expression" dxfId="223" priority="263">
      <formula>C$9&lt;8/24</formula>
    </cfRule>
  </conditionalFormatting>
  <conditionalFormatting sqref="A222">
    <cfRule type="expression" dxfId="222" priority="264">
      <formula>$AH222=0</formula>
    </cfRule>
  </conditionalFormatting>
  <conditionalFormatting sqref="AG234">
    <cfRule type="expression" dxfId="221" priority="265">
      <formula>B$9&gt;=20/24</formula>
    </cfRule>
    <cfRule type="expression" dxfId="220" priority="266">
      <formula>AND(B$9&gt;=14/24,B$9&lt;20/24)</formula>
    </cfRule>
    <cfRule type="expression" dxfId="219" priority="267">
      <formula>AND(B$9&gt;=8/24,B$9&lt;14/24)</formula>
    </cfRule>
    <cfRule type="expression" dxfId="218" priority="268">
      <formula>B$9&lt;8/24</formula>
    </cfRule>
  </conditionalFormatting>
  <conditionalFormatting sqref="S8">
    <cfRule type="expression" dxfId="217" priority="227">
      <formula>U$9&gt;=20/24</formula>
    </cfRule>
    <cfRule type="expression" dxfId="216" priority="228">
      <formula>AND(U$9&gt;=14/24,U$9&lt;20/24)</formula>
    </cfRule>
    <cfRule type="expression" dxfId="215" priority="229">
      <formula>AND(U$9&gt;=8/24,U$9&lt;14/24)</formula>
    </cfRule>
    <cfRule type="expression" dxfId="214" priority="230">
      <formula>U$9&lt;8/24</formula>
    </cfRule>
  </conditionalFormatting>
  <conditionalFormatting sqref="AB8">
    <cfRule type="expression" dxfId="213" priority="223">
      <formula>AD$9&gt;=20/24</formula>
    </cfRule>
    <cfRule type="expression" dxfId="212" priority="224">
      <formula>AND(AD$9&gt;=14/24,AD$9&lt;20/24)</formula>
    </cfRule>
    <cfRule type="expression" dxfId="211" priority="225">
      <formula>AND(AD$9&gt;=8/24,AD$9&lt;14/24)</formula>
    </cfRule>
    <cfRule type="expression" dxfId="210" priority="226">
      <formula>AD$9&lt;8/24</formula>
    </cfRule>
  </conditionalFormatting>
  <conditionalFormatting sqref="AH234:AX234">
    <cfRule type="expression" dxfId="209" priority="269">
      <formula>AG$9&gt;=20/24</formula>
    </cfRule>
    <cfRule type="expression" dxfId="208" priority="270">
      <formula>AND(AG$9&gt;=14/24,AG$9&lt;20/24)</formula>
    </cfRule>
    <cfRule type="expression" dxfId="207" priority="271">
      <formula>AND(AG$9&gt;=8/24,AG$9&lt;14/24)</formula>
    </cfRule>
    <cfRule type="expression" dxfId="206" priority="272">
      <formula>AG$9&lt;8/24</formula>
    </cfRule>
  </conditionalFormatting>
  <conditionalFormatting sqref="T234">
    <cfRule type="expression" dxfId="205" priority="273">
      <formula>AX$9&gt;=20/24</formula>
    </cfRule>
    <cfRule type="expression" dxfId="204" priority="274">
      <formula>AND(AX$9&gt;=14/24,AX$9&lt;20/24)</formula>
    </cfRule>
    <cfRule type="expression" dxfId="203" priority="275">
      <formula>AND(AX$9&gt;=8/24,AX$9&lt;14/24)</formula>
    </cfRule>
    <cfRule type="expression" dxfId="202" priority="276">
      <formula>AX$9&lt;8/24</formula>
    </cfRule>
  </conditionalFormatting>
  <conditionalFormatting sqref="A104:A105">
    <cfRule type="expression" dxfId="201" priority="222">
      <formula>$AH104=0</formula>
    </cfRule>
  </conditionalFormatting>
  <conditionalFormatting sqref="E11:I11 E44:L45 S44:W45 Y44:AF45 Z36:AF36 C61:AF61">
    <cfRule type="expression" dxfId="200" priority="218">
      <formula>C$9&gt;=20/24</formula>
    </cfRule>
    <cfRule type="expression" dxfId="199" priority="219">
      <formula>AND(C$9&gt;=14/24,C$9&lt;20/24)</formula>
    </cfRule>
    <cfRule type="expression" dxfId="198" priority="220">
      <formula>AND(C$9&gt;=8/24,C$9&lt;14/24)</formula>
    </cfRule>
    <cfRule type="expression" dxfId="197" priority="221">
      <formula>C$9&lt;8/24</formula>
    </cfRule>
  </conditionalFormatting>
  <conditionalFormatting sqref="E43:L43 S43:W43 Y43:AF43">
    <cfRule type="expression" dxfId="196" priority="214">
      <formula>E$9&gt;=20/24</formula>
    </cfRule>
    <cfRule type="expression" dxfId="195" priority="215">
      <formula>AND(E$9&gt;=14/24,E$9&lt;20/24)</formula>
    </cfRule>
    <cfRule type="expression" dxfId="194" priority="216">
      <formula>AND(E$9&gt;=8/24,E$9&lt;14/24)</formula>
    </cfRule>
    <cfRule type="expression" dxfId="193" priority="217">
      <formula>E$9&lt;8/24</formula>
    </cfRule>
  </conditionalFormatting>
  <conditionalFormatting sqref="E11:I11 E43:L45 S43:W45 Y43:AF45 Z36:AF36">
    <cfRule type="expression" dxfId="192" priority="213">
      <formula>E11&gt;$AG11</formula>
    </cfRule>
  </conditionalFormatting>
  <conditionalFormatting sqref="M11:R11 C36:Y36 C86:AF86 C62:AE63 C73:AF76 M68:M70 C71:M71 C66:M67 N66:O71 C65:O65 P65:W71 C64:W64 C90:AF96 X64:AE71 E12:AF14 M16:AF16 M28:AF30 M18:AF22 M24:AF26 C57:AF59 AF62:AF71 M37:R37 M32:AF32">
    <cfRule type="expression" dxfId="191" priority="209">
      <formula>C$9&gt;=20/24</formula>
    </cfRule>
    <cfRule type="expression" dxfId="190" priority="210">
      <formula>AND(C$9&gt;=14/24,C$9&lt;20/24)</formula>
    </cfRule>
    <cfRule type="expression" dxfId="189" priority="211">
      <formula>AND(C$9&gt;=8/24,C$9&lt;14/24)</formula>
    </cfRule>
    <cfRule type="expression" dxfId="188" priority="212">
      <formula>C$9&lt;8/24</formula>
    </cfRule>
  </conditionalFormatting>
  <conditionalFormatting sqref="M33:AF33">
    <cfRule type="expression" dxfId="187" priority="205">
      <formula>M$9&gt;=20/24</formula>
    </cfRule>
    <cfRule type="expression" dxfId="186" priority="206">
      <formula>AND(M$9&gt;=14/24,M$9&lt;20/24)</formula>
    </cfRule>
    <cfRule type="expression" dxfId="185" priority="207">
      <formula>AND(M$9&gt;=8/24,M$9&lt;14/24)</formula>
    </cfRule>
    <cfRule type="expression" dxfId="184" priority="208">
      <formula>M$9&lt;8/24</formula>
    </cfRule>
  </conditionalFormatting>
  <conditionalFormatting sqref="E46:G47 M11:R11 C36:Y36 F48:G48 E12:N15 H46:L48 AB46:AF47 M18:AF22 M24:AF30 C55:AF55 C57:AF59 C37:R37 M32:AF33">
    <cfRule type="expression" dxfId="183" priority="200">
      <formula>C11&gt;$AG11</formula>
    </cfRule>
  </conditionalFormatting>
  <conditionalFormatting sqref="M35:AF35">
    <cfRule type="expression" dxfId="182" priority="196">
      <formula>M$9&gt;=20/24</formula>
    </cfRule>
    <cfRule type="expression" dxfId="181" priority="197">
      <formula>AND(M$9&gt;=14/24,M$9&lt;20/24)</formula>
    </cfRule>
    <cfRule type="expression" dxfId="180" priority="198">
      <formula>AND(M$9&gt;=8/24,M$9&lt;14/24)</formula>
    </cfRule>
    <cfRule type="expression" dxfId="179" priority="199">
      <formula>M$9&lt;8/24</formula>
    </cfRule>
  </conditionalFormatting>
  <conditionalFormatting sqref="E15:AF15">
    <cfRule type="expression" dxfId="178" priority="192">
      <formula>E$9&gt;=20/24</formula>
    </cfRule>
    <cfRule type="expression" dxfId="177" priority="193">
      <formula>AND(E$9&gt;=14/24,E$9&lt;20/24)</formula>
    </cfRule>
    <cfRule type="expression" dxfId="176" priority="194">
      <formula>AND(E$9&gt;=8/24,E$9&lt;14/24)</formula>
    </cfRule>
    <cfRule type="expression" dxfId="175" priority="195">
      <formula>E$9&lt;8/24</formula>
    </cfRule>
  </conditionalFormatting>
  <conditionalFormatting sqref="M34:AF34">
    <cfRule type="expression" dxfId="174" priority="188">
      <formula>M$9&gt;=20/24</formula>
    </cfRule>
    <cfRule type="expression" dxfId="173" priority="189">
      <formula>AND(M$9&gt;=14/24,M$9&lt;20/24)</formula>
    </cfRule>
    <cfRule type="expression" dxfId="172" priority="190">
      <formula>AND(M$9&gt;=8/24,M$9&lt;14/24)</formula>
    </cfRule>
    <cfRule type="expression" dxfId="171" priority="191">
      <formula>M$9&lt;8/24</formula>
    </cfRule>
  </conditionalFormatting>
  <conditionalFormatting sqref="M34:AF34">
    <cfRule type="expression" dxfId="170" priority="187">
      <formula>M34&gt;$AG34</formula>
    </cfRule>
  </conditionalFormatting>
  <conditionalFormatting sqref="S11">
    <cfRule type="expression" dxfId="169" priority="183">
      <formula>S$9&gt;=20/24</formula>
    </cfRule>
    <cfRule type="expression" dxfId="168" priority="184">
      <formula>AND(S$9&gt;=14/24,S$9&lt;20/24)</formula>
    </cfRule>
    <cfRule type="expression" dxfId="167" priority="185">
      <formula>AND(S$9&gt;=8/24,S$9&lt;14/24)</formula>
    </cfRule>
    <cfRule type="expression" dxfId="166" priority="186">
      <formula>S$9&lt;8/24</formula>
    </cfRule>
  </conditionalFormatting>
  <conditionalFormatting sqref="V46:AA47 AB48:AF54">
    <cfRule type="expression" dxfId="165" priority="179">
      <formula>V$9&gt;=20/24</formula>
    </cfRule>
    <cfRule type="expression" dxfId="164" priority="180">
      <formula>AND(V$9&gt;=14/24,V$9&lt;20/24)</formula>
    </cfRule>
    <cfRule type="expression" dxfId="163" priority="181">
      <formula>AND(V$9&gt;=8/24,V$9&lt;14/24)</formula>
    </cfRule>
    <cfRule type="expression" dxfId="162" priority="182">
      <formula>V$9&lt;8/24</formula>
    </cfRule>
  </conditionalFormatting>
  <conditionalFormatting sqref="V46:AA47 AB48:AF54">
    <cfRule type="expression" dxfId="161" priority="178">
      <formula>V46&gt;$AG46</formula>
    </cfRule>
  </conditionalFormatting>
  <conditionalFormatting sqref="M43:R54 S46:U54 V48:AA54">
    <cfRule type="expression" dxfId="160" priority="174">
      <formula>M$9&gt;=20/24</formula>
    </cfRule>
    <cfRule type="expression" dxfId="159" priority="175">
      <formula>AND(M$9&gt;=14/24,M$9&lt;20/24)</formula>
    </cfRule>
    <cfRule type="expression" dxfId="158" priority="176">
      <formula>AND(M$9&gt;=8/24,M$9&lt;14/24)</formula>
    </cfRule>
    <cfRule type="expression" dxfId="157" priority="177">
      <formula>M$9&lt;8/24</formula>
    </cfRule>
  </conditionalFormatting>
  <conditionalFormatting sqref="M43:R54 S46:U54 V48:AA54">
    <cfRule type="expression" dxfId="156" priority="173">
      <formula>M43&gt;$AG43</formula>
    </cfRule>
  </conditionalFormatting>
  <conditionalFormatting sqref="M27:AF27">
    <cfRule type="expression" dxfId="155" priority="169">
      <formula>M$9&gt;=20/24</formula>
    </cfRule>
    <cfRule type="expression" dxfId="154" priority="170">
      <formula>AND(M$9&gt;=14/24,M$9&lt;20/24)</formula>
    </cfRule>
    <cfRule type="expression" dxfId="153" priority="171">
      <formula>AND(M$9&gt;=8/24,M$9&lt;14/24)</formula>
    </cfRule>
    <cfRule type="expression" dxfId="152" priority="172">
      <formula>M$9&lt;8/24</formula>
    </cfRule>
  </conditionalFormatting>
  <conditionalFormatting sqref="C11:D14 C16:L16 C18:L22 C24:L30 C17:AF17 C23:AF23 C32:L32">
    <cfRule type="expression" dxfId="151" priority="165">
      <formula>C$9&gt;=20/24</formula>
    </cfRule>
    <cfRule type="expression" dxfId="150" priority="166">
      <formula>AND(C$9&gt;=14/24,C$9&lt;20/24)</formula>
    </cfRule>
    <cfRule type="expression" dxfId="149" priority="167">
      <formula>AND(C$9&gt;=8/24,C$9&lt;14/24)</formula>
    </cfRule>
    <cfRule type="expression" dxfId="148" priority="168">
      <formula>C$9&lt;8/24</formula>
    </cfRule>
  </conditionalFormatting>
  <conditionalFormatting sqref="C33:L33">
    <cfRule type="expression" dxfId="147" priority="161">
      <formula>C$9&gt;=20/24</formula>
    </cfRule>
    <cfRule type="expression" dxfId="146" priority="162">
      <formula>AND(C$9&gt;=14/24,C$9&lt;20/24)</formula>
    </cfRule>
    <cfRule type="expression" dxfId="145" priority="163">
      <formula>AND(C$9&gt;=8/24,C$9&lt;14/24)</formula>
    </cfRule>
    <cfRule type="expression" dxfId="144" priority="164">
      <formula>C$9&lt;8/24</formula>
    </cfRule>
  </conditionalFormatting>
  <conditionalFormatting sqref="C18:L22 C24:L30 C17:AF17 C23:AF23 C32:L33">
    <cfRule type="expression" dxfId="143" priority="156">
      <formula>C17&gt;$AG17</formula>
    </cfRule>
  </conditionalFormatting>
  <conditionalFormatting sqref="C35:L35">
    <cfRule type="expression" dxfId="142" priority="152">
      <formula>C$9&gt;=20/24</formula>
    </cfRule>
    <cfRule type="expression" dxfId="141" priority="153">
      <formula>AND(C$9&gt;=14/24,C$9&lt;20/24)</formula>
    </cfRule>
    <cfRule type="expression" dxfId="140" priority="154">
      <formula>AND(C$9&gt;=8/24,C$9&lt;14/24)</formula>
    </cfRule>
    <cfRule type="expression" dxfId="139" priority="155">
      <formula>C$9&lt;8/24</formula>
    </cfRule>
  </conditionalFormatting>
  <conditionalFormatting sqref="C15:D15">
    <cfRule type="expression" dxfId="138" priority="148">
      <formula>C$9&gt;=20/24</formula>
    </cfRule>
    <cfRule type="expression" dxfId="137" priority="149">
      <formula>AND(C$9&gt;=14/24,C$9&lt;20/24)</formula>
    </cfRule>
    <cfRule type="expression" dxfId="136" priority="150">
      <formula>AND(C$9&gt;=8/24,C$9&lt;14/24)</formula>
    </cfRule>
    <cfRule type="expression" dxfId="135" priority="151">
      <formula>C$9&lt;8/24</formula>
    </cfRule>
  </conditionalFormatting>
  <conditionalFormatting sqref="C34:L34">
    <cfRule type="expression" dxfId="134" priority="144">
      <formula>C$9&gt;=20/24</formula>
    </cfRule>
    <cfRule type="expression" dxfId="133" priority="145">
      <formula>AND(C$9&gt;=14/24,C$9&lt;20/24)</formula>
    </cfRule>
    <cfRule type="expression" dxfId="132" priority="146">
      <formula>AND(C$9&gt;=8/24,C$9&lt;14/24)</formula>
    </cfRule>
    <cfRule type="expression" dxfId="131" priority="147">
      <formula>C$9&lt;8/24</formula>
    </cfRule>
  </conditionalFormatting>
  <conditionalFormatting sqref="C34:L34">
    <cfRule type="expression" dxfId="130" priority="143">
      <formula>C34&gt;$AG34</formula>
    </cfRule>
  </conditionalFormatting>
  <conditionalFormatting sqref="C44:D45">
    <cfRule type="expression" dxfId="129" priority="139">
      <formula>C$9&gt;=20/24</formula>
    </cfRule>
    <cfRule type="expression" dxfId="128" priority="140">
      <formula>AND(C$9&gt;=14/24,C$9&lt;20/24)</formula>
    </cfRule>
    <cfRule type="expression" dxfId="127" priority="141">
      <formula>AND(C$9&gt;=8/24,C$9&lt;14/24)</formula>
    </cfRule>
    <cfRule type="expression" dxfId="126" priority="142">
      <formula>C$9&lt;8/24</formula>
    </cfRule>
  </conditionalFormatting>
  <conditionalFormatting sqref="C43:D43">
    <cfRule type="expression" dxfId="125" priority="135">
      <formula>C$9&gt;=20/24</formula>
    </cfRule>
    <cfRule type="expression" dxfId="124" priority="136">
      <formula>AND(C$9&gt;=14/24,C$9&lt;20/24)</formula>
    </cfRule>
    <cfRule type="expression" dxfId="123" priority="137">
      <formula>AND(C$9&gt;=8/24,C$9&lt;14/24)</formula>
    </cfRule>
    <cfRule type="expression" dxfId="122" priority="138">
      <formula>C$9&lt;8/24</formula>
    </cfRule>
  </conditionalFormatting>
  <conditionalFormatting sqref="C43:D45">
    <cfRule type="expression" dxfId="121" priority="134">
      <formula>C43&gt;$AG43</formula>
    </cfRule>
  </conditionalFormatting>
  <conditionalFormatting sqref="C68:L70">
    <cfRule type="expression" dxfId="120" priority="130">
      <formula>C$9&gt;=20/24</formula>
    </cfRule>
    <cfRule type="expression" dxfId="119" priority="131">
      <formula>AND(C$9&gt;=14/24,C$9&lt;20/24)</formula>
    </cfRule>
    <cfRule type="expression" dxfId="118" priority="132">
      <formula>AND(C$9&gt;=8/24,C$9&lt;14/24)</formula>
    </cfRule>
    <cfRule type="expression" dxfId="117" priority="133">
      <formula>C$9&lt;8/24</formula>
    </cfRule>
  </conditionalFormatting>
  <conditionalFormatting sqref="C46:D47">
    <cfRule type="expression" dxfId="116" priority="129">
      <formula>C46&gt;$AG46</formula>
    </cfRule>
  </conditionalFormatting>
  <conditionalFormatting sqref="C48:E54 F49:L54">
    <cfRule type="expression" dxfId="115" priority="125">
      <formula>C$9&gt;=20/24</formula>
    </cfRule>
    <cfRule type="expression" dxfId="114" priority="126">
      <formula>AND(C$9&gt;=14/24,C$9&lt;20/24)</formula>
    </cfRule>
    <cfRule type="expression" dxfId="113" priority="127">
      <formula>AND(C$9&gt;=8/24,C$9&lt;14/24)</formula>
    </cfRule>
    <cfRule type="expression" dxfId="112" priority="128">
      <formula>C$9&lt;8/24</formula>
    </cfRule>
  </conditionalFormatting>
  <conditionalFormatting sqref="C48:E54 F49:L54">
    <cfRule type="expression" dxfId="111" priority="124">
      <formula>C48&gt;$AG48</formula>
    </cfRule>
  </conditionalFormatting>
  <conditionalFormatting sqref="X44:X45">
    <cfRule type="expression" dxfId="110" priority="120">
      <formula>X$9&gt;=20/24</formula>
    </cfRule>
    <cfRule type="expression" dxfId="109" priority="121">
      <formula>AND(X$9&gt;=14/24,X$9&lt;20/24)</formula>
    </cfRule>
    <cfRule type="expression" dxfId="108" priority="122">
      <formula>AND(X$9&gt;=8/24,X$9&lt;14/24)</formula>
    </cfRule>
    <cfRule type="expression" dxfId="107" priority="123">
      <formula>X$9&lt;8/24</formula>
    </cfRule>
  </conditionalFormatting>
  <conditionalFormatting sqref="X43">
    <cfRule type="expression" dxfId="106" priority="116">
      <formula>X$9&gt;=20/24</formula>
    </cfRule>
    <cfRule type="expression" dxfId="105" priority="117">
      <formula>AND(X$9&gt;=14/24,X$9&lt;20/24)</formula>
    </cfRule>
    <cfRule type="expression" dxfId="104" priority="118">
      <formula>AND(X$9&gt;=8/24,X$9&lt;14/24)</formula>
    </cfRule>
    <cfRule type="expression" dxfId="103" priority="119">
      <formula>X$9&lt;8/24</formula>
    </cfRule>
  </conditionalFormatting>
  <conditionalFormatting sqref="X43:X45">
    <cfRule type="expression" dxfId="102" priority="115">
      <formula>X43&gt;$AG43</formula>
    </cfRule>
  </conditionalFormatting>
  <conditionalFormatting sqref="B99:B105 B11 B78:AF78 B87:AF87">
    <cfRule type="expression" dxfId="101" priority="111">
      <formula>B$9&gt;=20/24</formula>
    </cfRule>
    <cfRule type="expression" dxfId="100" priority="112">
      <formula>AND(B$9&gt;=14/24,B$9&lt;20/24)</formula>
    </cfRule>
    <cfRule type="expression" dxfId="99" priority="113">
      <formula>AND(B$9&gt;=8/24,B$9&lt;14/24)</formula>
    </cfRule>
    <cfRule type="expression" dxfId="98" priority="114">
      <formula>B$9&lt;8/24</formula>
    </cfRule>
  </conditionalFormatting>
  <conditionalFormatting sqref="B37">
    <cfRule type="expression" dxfId="97" priority="107">
      <formula>B$9&gt;=20/24</formula>
    </cfRule>
    <cfRule type="expression" dxfId="96" priority="108">
      <formula>AND(B$9&gt;=14/24,B$9&lt;20/24)</formula>
    </cfRule>
    <cfRule type="expression" dxfId="95" priority="109">
      <formula>AND(B$9&gt;=8/24,B$9&lt;14/24)</formula>
    </cfRule>
    <cfRule type="expression" dxfId="94" priority="110">
      <formula>B$9&lt;8/24</formula>
    </cfRule>
  </conditionalFormatting>
  <conditionalFormatting sqref="B37 B11">
    <cfRule type="expression" dxfId="93" priority="106">
      <formula>B11&gt;$AG11</formula>
    </cfRule>
  </conditionalFormatting>
  <conditionalFormatting sqref="B89">
    <cfRule type="expression" dxfId="92" priority="102">
      <formula>B$9&gt;=20/24</formula>
    </cfRule>
    <cfRule type="expression" dxfId="91" priority="103">
      <formula>AND(B$9&gt;=14/24,B$9&lt;20/24)</formula>
    </cfRule>
    <cfRule type="expression" dxfId="90" priority="104">
      <formula>AND(B$9&gt;=8/24,B$9&lt;14/24)</formula>
    </cfRule>
    <cfRule type="expression" dxfId="89" priority="105">
      <formula>B$9&lt;8/24</formula>
    </cfRule>
  </conditionalFormatting>
  <conditionalFormatting sqref="B44:B45 B36 B61">
    <cfRule type="expression" dxfId="88" priority="98">
      <formula>B$9&gt;=20/24</formula>
    </cfRule>
    <cfRule type="expression" dxfId="87" priority="99">
      <formula>AND(B$9&gt;=14/24,B$9&lt;20/24)</formula>
    </cfRule>
    <cfRule type="expression" dxfId="86" priority="100">
      <formula>AND(B$9&gt;=8/24,B$9&lt;14/24)</formula>
    </cfRule>
    <cfRule type="expression" dxfId="85" priority="101">
      <formula>B$9&lt;8/24</formula>
    </cfRule>
  </conditionalFormatting>
  <conditionalFormatting sqref="B43">
    <cfRule type="expression" dxfId="84" priority="94">
      <formula>B$9&gt;=20/24</formula>
    </cfRule>
    <cfRule type="expression" dxfId="83" priority="95">
      <formula>AND(B$9&gt;=14/24,B$9&lt;20/24)</formula>
    </cfRule>
    <cfRule type="expression" dxfId="82" priority="96">
      <formula>AND(B$9&gt;=8/24,B$9&lt;14/24)</formula>
    </cfRule>
    <cfRule type="expression" dxfId="81" priority="97">
      <formula>B$9&lt;8/24</formula>
    </cfRule>
  </conditionalFormatting>
  <conditionalFormatting sqref="B43:B45 B36">
    <cfRule type="expression" dxfId="80" priority="93">
      <formula>B36&gt;$AG36</formula>
    </cfRule>
  </conditionalFormatting>
  <conditionalFormatting sqref="B90:B96 B12:B14 B16 B28:B30 B18:B22 B24:B26 B57:B60 B62:B71 B73:B77 B79:AF79 B86 C60:AG60 C77:AG77 B88:AF88 B32">
    <cfRule type="expression" dxfId="79" priority="89">
      <formula>B$9&gt;=20/24</formula>
    </cfRule>
    <cfRule type="expression" dxfId="78" priority="90">
      <formula>AND(B$9&gt;=14/24,B$9&lt;20/24)</formula>
    </cfRule>
    <cfRule type="expression" dxfId="77" priority="91">
      <formula>AND(B$9&gt;=8/24,B$9&lt;14/24)</formula>
    </cfRule>
    <cfRule type="expression" dxfId="76" priority="92">
      <formula>B$9&lt;8/24</formula>
    </cfRule>
  </conditionalFormatting>
  <conditionalFormatting sqref="B33">
    <cfRule type="expression" dxfId="75" priority="85">
      <formula>B$9&gt;=20/24</formula>
    </cfRule>
    <cfRule type="expression" dxfId="74" priority="86">
      <formula>AND(B$9&gt;=14/24,B$9&lt;20/24)</formula>
    </cfRule>
    <cfRule type="expression" dxfId="73" priority="87">
      <formula>AND(B$9&gt;=8/24,B$9&lt;14/24)</formula>
    </cfRule>
    <cfRule type="expression" dxfId="72" priority="88">
      <formula>B$9&lt;8/24</formula>
    </cfRule>
  </conditionalFormatting>
  <conditionalFormatting sqref="B46:B47 B18:B22 B24:B30 B55:B60 B38:AG38 C56:AG56 C60:AG60 B32:B33">
    <cfRule type="expression" dxfId="71" priority="80">
      <formula>B18&gt;$AG18</formula>
    </cfRule>
  </conditionalFormatting>
  <conditionalFormatting sqref="B35">
    <cfRule type="expression" dxfId="70" priority="76">
      <formula>B$9&gt;=20/24</formula>
    </cfRule>
    <cfRule type="expression" dxfId="69" priority="77">
      <formula>AND(B$9&gt;=14/24,B$9&lt;20/24)</formula>
    </cfRule>
    <cfRule type="expression" dxfId="68" priority="78">
      <formula>AND(B$9&gt;=8/24,B$9&lt;14/24)</formula>
    </cfRule>
    <cfRule type="expression" dxfId="67" priority="79">
      <formula>B$9&lt;8/24</formula>
    </cfRule>
  </conditionalFormatting>
  <conditionalFormatting sqref="B15">
    <cfRule type="expression" dxfId="66" priority="72">
      <formula>B$9&gt;=20/24</formula>
    </cfRule>
    <cfRule type="expression" dxfId="65" priority="73">
      <formula>AND(B$9&gt;=14/24,B$9&lt;20/24)</formula>
    </cfRule>
    <cfRule type="expression" dxfId="64" priority="74">
      <formula>AND(B$9&gt;=8/24,B$9&lt;14/24)</formula>
    </cfRule>
    <cfRule type="expression" dxfId="63" priority="75">
      <formula>B$9&lt;8/24</formula>
    </cfRule>
  </conditionalFormatting>
  <conditionalFormatting sqref="B34">
    <cfRule type="expression" dxfId="62" priority="68">
      <formula>B$9&gt;=20/24</formula>
    </cfRule>
    <cfRule type="expression" dxfId="61" priority="69">
      <formula>AND(B$9&gt;=14/24,B$9&lt;20/24)</formula>
    </cfRule>
    <cfRule type="expression" dxfId="60" priority="70">
      <formula>AND(B$9&gt;=8/24,B$9&lt;14/24)</formula>
    </cfRule>
    <cfRule type="expression" dxfId="59" priority="71">
      <formula>B$9&lt;8/24</formula>
    </cfRule>
  </conditionalFormatting>
  <conditionalFormatting sqref="B34">
    <cfRule type="expression" dxfId="58" priority="67">
      <formula>B34&gt;$AG34</formula>
    </cfRule>
  </conditionalFormatting>
  <conditionalFormatting sqref="B48:B54">
    <cfRule type="expression" dxfId="57" priority="63">
      <formula>B$9&gt;=20/24</formula>
    </cfRule>
    <cfRule type="expression" dxfId="56" priority="64">
      <formula>AND(B$9&gt;=14/24,B$9&lt;20/24)</formula>
    </cfRule>
    <cfRule type="expression" dxfId="55" priority="65">
      <formula>AND(B$9&gt;=8/24,B$9&lt;14/24)</formula>
    </cfRule>
    <cfRule type="expression" dxfId="54" priority="66">
      <formula>B$9&lt;8/24</formula>
    </cfRule>
  </conditionalFormatting>
  <conditionalFormatting sqref="B48:B54">
    <cfRule type="expression" dxfId="53" priority="62">
      <formula>B48&gt;$AG48</formula>
    </cfRule>
  </conditionalFormatting>
  <conditionalFormatting sqref="B27">
    <cfRule type="expression" dxfId="52" priority="58">
      <formula>B$9&gt;=20/24</formula>
    </cfRule>
    <cfRule type="expression" dxfId="51" priority="59">
      <formula>AND(B$9&gt;=14/24,B$9&lt;20/24)</formula>
    </cfRule>
    <cfRule type="expression" dxfId="50" priority="60">
      <formula>AND(B$9&gt;=8/24,B$9&lt;14/24)</formula>
    </cfRule>
    <cfRule type="expression" dxfId="49" priority="61">
      <formula>B$9&lt;8/24</formula>
    </cfRule>
  </conditionalFormatting>
  <conditionalFormatting sqref="B17 B23">
    <cfRule type="expression" dxfId="48" priority="54">
      <formula>B$9&gt;=20/24</formula>
    </cfRule>
    <cfRule type="expression" dxfId="47" priority="55">
      <formula>AND(B$9&gt;=14/24,B$9&lt;20/24)</formula>
    </cfRule>
    <cfRule type="expression" dxfId="46" priority="56">
      <formula>AND(B$9&gt;=8/24,B$9&lt;14/24)</formula>
    </cfRule>
    <cfRule type="expression" dxfId="45" priority="57">
      <formula>B$9&lt;8/24</formula>
    </cfRule>
  </conditionalFormatting>
  <conditionalFormatting sqref="B17 B23">
    <cfRule type="expression" dxfId="44" priority="53">
      <formula>B17&gt;$AG17</formula>
    </cfRule>
  </conditionalFormatting>
  <conditionalFormatting sqref="A34">
    <cfRule type="expression" dxfId="43" priority="52">
      <formula>$AH34=0</formula>
    </cfRule>
  </conditionalFormatting>
  <conditionalFormatting sqref="B72:AF72">
    <cfRule type="expression" dxfId="42" priority="48">
      <formula>B$9&gt;=20/24</formula>
    </cfRule>
    <cfRule type="expression" dxfId="41" priority="49">
      <formula>AND(B$9&gt;=14/24,B$9&lt;20/24)</formula>
    </cfRule>
    <cfRule type="expression" dxfId="40" priority="50">
      <formula>AND(B$9&gt;=8/24,B$9&lt;14/24)</formula>
    </cfRule>
    <cfRule type="expression" dxfId="39" priority="51">
      <formula>B$9&lt;8/24</formula>
    </cfRule>
  </conditionalFormatting>
  <conditionalFormatting sqref="B81:AF85">
    <cfRule type="expression" dxfId="38" priority="44">
      <formula>B$9&gt;=20/24</formula>
    </cfRule>
    <cfRule type="expression" dxfId="37" priority="45">
      <formula>AND(B$9&gt;=14/24,B$9&lt;20/24)</formula>
    </cfRule>
    <cfRule type="expression" dxfId="36" priority="46">
      <formula>AND(B$9&gt;=8/24,B$9&lt;14/24)</formula>
    </cfRule>
    <cfRule type="expression" dxfId="35" priority="47">
      <formula>B$9&lt;8/24</formula>
    </cfRule>
  </conditionalFormatting>
  <conditionalFormatting sqref="AL35 AL7:AL30 AL32">
    <cfRule type="iconSet" priority="433">
      <iconSet iconSet="3TrafficLights2" reverse="1">
        <cfvo type="percent" val="0"/>
        <cfvo type="num" val="1"/>
        <cfvo type="num" val="1"/>
      </iconSet>
    </cfRule>
  </conditionalFormatting>
  <conditionalFormatting sqref="C39:AF41">
    <cfRule type="expression" dxfId="34" priority="40">
      <formula>C$9&gt;=20/24</formula>
    </cfRule>
    <cfRule type="expression" dxfId="33" priority="41">
      <formula>AND(C$9&gt;=14/24,C$9&lt;20/24)</formula>
    </cfRule>
    <cfRule type="expression" dxfId="32" priority="42">
      <formula>AND(C$9&gt;=8/24,C$9&lt;14/24)</formula>
    </cfRule>
    <cfRule type="expression" dxfId="31" priority="43">
      <formula>C$9&lt;8/24</formula>
    </cfRule>
  </conditionalFormatting>
  <conditionalFormatting sqref="C39:AF41">
    <cfRule type="expression" dxfId="30" priority="39">
      <formula>C39&gt;$AG39</formula>
    </cfRule>
  </conditionalFormatting>
  <conditionalFormatting sqref="B39:B42 C42:AG42">
    <cfRule type="expression" dxfId="29" priority="35">
      <formula>B$9&gt;=20/24</formula>
    </cfRule>
    <cfRule type="expression" dxfId="28" priority="36">
      <formula>AND(B$9&gt;=14/24,B$9&lt;20/24)</formula>
    </cfRule>
    <cfRule type="expression" dxfId="27" priority="37">
      <formula>AND(B$9&gt;=8/24,B$9&lt;14/24)</formula>
    </cfRule>
    <cfRule type="expression" dxfId="26" priority="38">
      <formula>B$9&lt;8/24</formula>
    </cfRule>
  </conditionalFormatting>
  <conditionalFormatting sqref="B39:B42 C42:AG42">
    <cfRule type="expression" dxfId="25" priority="34">
      <formula>B39&gt;$AG39</formula>
    </cfRule>
  </conditionalFormatting>
  <conditionalFormatting sqref="C97:AF97">
    <cfRule type="expression" dxfId="24" priority="30">
      <formula>C$9&gt;=20/24</formula>
    </cfRule>
    <cfRule type="expression" dxfId="23" priority="31">
      <formula>AND(C$9&gt;=14/24,C$9&lt;20/24)</formula>
    </cfRule>
    <cfRule type="expression" dxfId="22" priority="32">
      <formula>AND(C$9&gt;=8/24,C$9&lt;14/24)</formula>
    </cfRule>
    <cfRule type="expression" dxfId="21" priority="33">
      <formula>C$9&lt;8/24</formula>
    </cfRule>
  </conditionalFormatting>
  <conditionalFormatting sqref="B97">
    <cfRule type="expression" dxfId="20" priority="26">
      <formula>B$9&gt;=20/24</formula>
    </cfRule>
    <cfRule type="expression" dxfId="19" priority="27">
      <formula>AND(B$9&gt;=14/24,B$9&lt;20/24)</formula>
    </cfRule>
    <cfRule type="expression" dxfId="18" priority="28">
      <formula>AND(B$9&gt;=8/24,B$9&lt;14/24)</formula>
    </cfRule>
    <cfRule type="expression" dxfId="17" priority="29">
      <formula>B$9&lt;8/24</formula>
    </cfRule>
  </conditionalFormatting>
  <conditionalFormatting sqref="AL31">
    <cfRule type="iconSet" priority="25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16" priority="18">
      <formula>$AH31=0</formula>
    </cfRule>
  </conditionalFormatting>
  <conditionalFormatting sqref="A80">
    <cfRule type="expression" dxfId="15" priority="11">
      <formula>$AH80=0</formula>
    </cfRule>
  </conditionalFormatting>
  <conditionalFormatting sqref="A77">
    <cfRule type="expression" dxfId="14" priority="12">
      <formula>$AH77=0</formula>
    </cfRule>
  </conditionalFormatting>
  <conditionalFormatting sqref="A106">
    <cfRule type="expression" dxfId="13" priority="1">
      <formula>$AH106=0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" id="{20310595-9013-4188-A652-595FE9E516C4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1" id="{AEFE75D0-74CE-4208-A29A-DF978F40401D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" id="{6A838F20-3A0A-4983-AFF0-9743BBD31F15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3" id="{204BC8A6-D531-4758-87A1-7E4D8F21C2FF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B31:AF31 B80:AF80</xm:sqref>
        </x14:conditionalFormatting>
        <x14:conditionalFormatting xmlns:xm="http://schemas.microsoft.com/office/excel/2006/main">
          <x14:cfRule type="expression" priority="19" id="{5C2B9E67-5A9B-42C5-BDA2-D84114EA694B}">
            <xm:f>'2'!B31&gt;'2'!$AG31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  <x14:conditionalFormatting xmlns:xm="http://schemas.microsoft.com/office/excel/2006/main">
          <x14:cfRule type="expression" priority="7" id="{0232AC6C-37BF-4B48-925E-92FB7C09BB72}">
            <xm:f>'28'!C$9&gt;=20/24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8" id="{17B964FA-14C3-410E-B143-A71ED5856B43}">
            <xm:f>AND('28'!C$9&gt;=14/24,'28'!C$9&lt;20/24)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" id="{FC8FFB39-46FE-4322-B9CD-6CADADC67BE1}">
            <xm:f>AND('28'!C$9&gt;=8/24,'28'!C$9&lt;14/24)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0" id="{6173AC96-F580-4005-B452-C13588F4DAE6}">
            <xm:f>'28'!C$9&lt;8/24</xm:f>
            <x14:dxf>
              <fill>
                <patternFill>
                  <bgColor rgb="FFFFFF66"/>
                </patternFill>
              </fill>
            </x14:dxf>
          </x14:cfRule>
          <xm:sqref>C106:AF106</xm:sqref>
        </x14:conditionalFormatting>
        <x14:conditionalFormatting xmlns:xm="http://schemas.microsoft.com/office/excel/2006/main">
          <x14:cfRule type="expression" priority="2" id="{045BCB84-BAD4-4963-A562-BA2727EE664D}">
            <xm:f>'28'!B$9&gt;=20/24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" id="{D027D862-A11E-4785-ACB5-D84DDB09E9FE}">
            <xm:f>AND('28'!B$9&gt;=14/24,'28'!B$9&lt;20/24)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" id="{CE61CC66-0187-4D1E-B36D-9EC3E5B39E09}">
            <xm:f>AND('28'!B$9&gt;=8/24,'28'!B$9&lt;14/24)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" id="{E615B511-F78A-4636-9448-1D3826CB5A1F}">
            <xm:f>'28'!B$9&lt;8/24</xm:f>
            <x14:dxf>
              <fill>
                <patternFill>
                  <bgColor rgb="FFFFFF66"/>
                </patternFill>
              </fill>
            </x14:dxf>
          </x14:cfRule>
          <xm:sqref>B106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E18"/>
  <sheetViews>
    <sheetView workbookViewId="0">
      <selection activeCell="H15" sqref="H15"/>
    </sheetView>
  </sheetViews>
  <sheetFormatPr defaultRowHeight="15" x14ac:dyDescent="0.25"/>
  <cols>
    <col min="5" max="5" width="26.42578125" bestFit="1" customWidth="1"/>
  </cols>
  <sheetData>
    <row r="7" spans="2:5" x14ac:dyDescent="0.25">
      <c r="E7" s="30" t="s">
        <v>277</v>
      </c>
    </row>
    <row r="8" spans="2:5" x14ac:dyDescent="0.25">
      <c r="B8" t="s">
        <v>259</v>
      </c>
      <c r="E8" s="182">
        <v>8.5</v>
      </c>
    </row>
    <row r="9" spans="2:5" x14ac:dyDescent="0.25">
      <c r="B9" t="s">
        <v>260</v>
      </c>
      <c r="D9" t="s">
        <v>261</v>
      </c>
      <c r="E9" s="182">
        <v>4</v>
      </c>
    </row>
    <row r="10" spans="2:5" x14ac:dyDescent="0.25">
      <c r="B10" t="s">
        <v>262</v>
      </c>
      <c r="D10" t="s">
        <v>278</v>
      </c>
      <c r="E10" s="182">
        <v>4.3600000000000003</v>
      </c>
    </row>
    <row r="11" spans="2:5" x14ac:dyDescent="0.25">
      <c r="B11" t="s">
        <v>263</v>
      </c>
      <c r="D11" t="s">
        <v>264</v>
      </c>
      <c r="E11" s="182">
        <v>5</v>
      </c>
    </row>
    <row r="12" spans="2:5" x14ac:dyDescent="0.25">
      <c r="B12" t="s">
        <v>265</v>
      </c>
      <c r="D12" t="s">
        <v>266</v>
      </c>
      <c r="E12" s="182">
        <v>4</v>
      </c>
    </row>
    <row r="13" spans="2:5" x14ac:dyDescent="0.25">
      <c r="B13" t="s">
        <v>267</v>
      </c>
      <c r="E13" s="182">
        <v>30</v>
      </c>
    </row>
    <row r="14" spans="2:5" x14ac:dyDescent="0.25">
      <c r="B14" t="s">
        <v>268</v>
      </c>
      <c r="D14" t="s">
        <v>269</v>
      </c>
      <c r="E14" s="182">
        <v>3</v>
      </c>
    </row>
    <row r="15" spans="2:5" x14ac:dyDescent="0.25">
      <c r="B15" t="s">
        <v>270</v>
      </c>
      <c r="D15" t="s">
        <v>271</v>
      </c>
      <c r="E15" s="182">
        <v>9.6</v>
      </c>
    </row>
    <row r="16" spans="2:5" x14ac:dyDescent="0.25">
      <c r="B16" t="s">
        <v>272</v>
      </c>
      <c r="D16" t="s">
        <v>273</v>
      </c>
      <c r="E16" s="182">
        <v>8</v>
      </c>
    </row>
    <row r="17" spans="2:5" x14ac:dyDescent="0.25">
      <c r="B17" t="s">
        <v>274</v>
      </c>
      <c r="D17" t="s">
        <v>266</v>
      </c>
      <c r="E17" s="182">
        <v>7</v>
      </c>
    </row>
    <row r="18" spans="2:5" x14ac:dyDescent="0.25">
      <c r="B18" t="s">
        <v>275</v>
      </c>
      <c r="D18" t="s">
        <v>276</v>
      </c>
      <c r="E18" s="182">
        <v>7.5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P17" sqref="P17"/>
    </sheetView>
  </sheetViews>
  <sheetFormatPr defaultRowHeight="15" x14ac:dyDescent="0.25"/>
  <sheetData>
    <row r="1" spans="1:1" x14ac:dyDescent="0.25">
      <c r="A1" s="212"/>
    </row>
    <row r="2" spans="1:1" x14ac:dyDescent="0.25">
      <c r="A2" s="212"/>
    </row>
    <row r="3" spans="1:1" x14ac:dyDescent="0.25">
      <c r="A3" s="212"/>
    </row>
    <row r="4" spans="1:1" x14ac:dyDescent="0.25">
      <c r="A4" s="212"/>
    </row>
    <row r="5" spans="1:1" x14ac:dyDescent="0.25">
      <c r="A5" s="212"/>
    </row>
    <row r="6" spans="1:1" x14ac:dyDescent="0.25">
      <c r="A6" s="212"/>
    </row>
    <row r="7" spans="1:1" x14ac:dyDescent="0.25">
      <c r="A7" s="212"/>
    </row>
  </sheetData>
  <mergeCells count="2">
    <mergeCell ref="A1:A3"/>
    <mergeCell ref="A4:A7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Sample_new</vt:lpstr>
      <vt:lpstr>Sheet7</vt:lpstr>
      <vt:lpstr>Sheet8</vt:lpstr>
      <vt:lpstr>Sheet9</vt:lpstr>
      <vt:lpstr>Sheet15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Server</dc:creator>
  <cp:lastModifiedBy>Data Server</cp:lastModifiedBy>
  <dcterms:created xsi:type="dcterms:W3CDTF">2022-06-14T03:43:02Z</dcterms:created>
  <dcterms:modified xsi:type="dcterms:W3CDTF">2023-03-15T08:32:47Z</dcterms:modified>
</cp:coreProperties>
</file>